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3.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1.xml" ContentType="application/vnd.openxmlformats-officedocument.drawingml.chartshapes+xml"/>
  <Override PartName="/xl/drawings/drawing22.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3.xml" ContentType="application/vnd.openxmlformats-officedocument.drawingml.chartshapes+xml"/>
  <Override PartName="/xl/drawings/drawing24.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5.xml" ContentType="application/vnd.openxmlformats-officedocument.drawingml.chartshapes+xml"/>
  <Override PartName="/xl/drawings/drawing26.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9.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D:\work\标准\"/>
    </mc:Choice>
  </mc:AlternateContent>
  <xr:revisionPtr revIDLastSave="0" documentId="13_ncr:1_{5C2093A7-A46E-4F29-B0DA-454BA1AB47C9}" xr6:coauthVersionLast="47" xr6:coauthVersionMax="47" xr10:uidLastSave="{00000000-0000-0000-0000-000000000000}"/>
  <bookViews>
    <workbookView xWindow="-120" yWindow="-120" windowWidth="29040" windowHeight="15720" tabRatio="696" firstSheet="2" activeTab="6" xr2:uid="{00000000-000D-0000-FFFF-FFFF00000000}"/>
  </bookViews>
  <sheets>
    <sheet name="Big Infant Anthro" sheetId="10" state="hidden" r:id="rId1"/>
    <sheet name="Chart w-ATDs" sheetId="8" state="hidden" r:id="rId2"/>
    <sheet name="GPS Anthro Tool" sheetId="12" r:id="rId3"/>
    <sheet name="Solution" sheetId="18" state="hidden" r:id="rId4"/>
    <sheet name="Easy Buttons" sheetId="46" r:id="rId5"/>
    <sheet name="Output Map" sheetId="49" r:id="rId6"/>
    <sheet name="GPS-CRS-Source" sheetId="41" r:id="rId7"/>
    <sheet name="Reigon Map" sheetId="50" r:id="rId8"/>
    <sheet name="Applicability Tables" sheetId="48" state="hidden" r:id="rId9"/>
    <sheet name="Biacromal Conversion" sheetId="38" state="hidden" r:id="rId10"/>
    <sheet name="R129 Annex 18 Data" sheetId="2" state="hidden" r:id="rId11"/>
    <sheet name="US Child Data" sheetId="35" state="hidden" r:id="rId12"/>
    <sheet name="Head Anthro" sheetId="31" state="hidden" r:id="rId13"/>
    <sheet name="little Lambs Data" sheetId="11" state="hidden" r:id="rId14"/>
    <sheet name="Lambs Chart" sheetId="33" state="hidden" r:id="rId15"/>
    <sheet name="EU Child Data" sheetId="36" state="hidden" r:id="rId16"/>
    <sheet name="China Child Data" sheetId="37" state="hidden" r:id="rId17"/>
    <sheet name="Big Data" sheetId="40" state="hidden" r:id="rId18"/>
    <sheet name="CFR" sheetId="5" state="hidden" r:id="rId19"/>
    <sheet name="Parking Lot" sheetId="47" state="hidden" r:id="rId20"/>
    <sheet name="GPS Input to NPD Process" sheetId="44" state="hidden" r:id="rId21"/>
    <sheet name="NPD Process Deliverables" sheetId="45" state="hidden" r:id="rId22"/>
    <sheet name="GPS Line Counts" sheetId="42" state="hidden" r:id="rId23"/>
    <sheet name="Dummies" sheetId="6" state="hidden" r:id="rId24"/>
    <sheet name="Infant" sheetId="4" state="hidden" r:id="rId25"/>
    <sheet name="Infant (2)" sheetId="14" state="hidden" r:id="rId26"/>
    <sheet name="Infant (3)" sheetId="15" state="hidden" r:id="rId27"/>
    <sheet name="Infant (4)" sheetId="16" state="hidden" r:id="rId28"/>
    <sheet name="Infant (5)" sheetId="17" state="hidden" r:id="rId29"/>
    <sheet name="Anthro Lambs" sheetId="9" state="hidden" r:id="rId30"/>
    <sheet name="US vs Euro Group" sheetId="7" state="hidden" r:id="rId31"/>
  </sheets>
  <definedNames>
    <definedName name="_xlnm._FilterDatabase" localSheetId="2" hidden="1">'GPS Anthro Tool'!$B$9:$T$214</definedName>
    <definedName name="_xlnm._FilterDatabase" localSheetId="6" hidden="1">'GPS-CRS-Source'!$B$9:$T$1734</definedName>
    <definedName name="_xlnm.Print_Area" localSheetId="2">'GPS Anthro Tool'!$A$1:$Q$93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1" i="12" l="1"/>
  <c r="B93" i="12" s="1"/>
  <c r="B89" i="12"/>
  <c r="B88" i="12"/>
  <c r="B7" i="12"/>
  <c r="AE46" i="18" l="1"/>
  <c r="AD46" i="18"/>
  <c r="X37" i="18" l="1"/>
  <c r="AD42" i="18"/>
  <c r="AE42" i="18"/>
  <c r="AD43" i="18"/>
  <c r="AE43" i="18"/>
  <c r="AD44" i="18"/>
  <c r="AE44" i="18"/>
  <c r="AD45" i="18"/>
  <c r="AE45" i="18"/>
  <c r="AD47" i="18"/>
  <c r="AE47" i="18"/>
  <c r="AD48" i="18"/>
  <c r="AE48" i="18"/>
  <c r="AD49" i="18"/>
  <c r="AE49" i="18"/>
  <c r="AD50" i="18"/>
  <c r="AE50" i="18"/>
  <c r="AD51" i="18"/>
  <c r="AE51" i="18"/>
  <c r="AD52" i="18"/>
  <c r="AE52" i="18"/>
  <c r="Z53" i="18"/>
  <c r="AD53" i="18" s="1"/>
  <c r="AE53" i="18"/>
  <c r="Z54" i="18"/>
  <c r="AD54" i="18" s="1"/>
  <c r="AE54" i="18"/>
  <c r="Z55" i="18"/>
  <c r="AD55" i="18" s="1"/>
  <c r="AE55" i="18"/>
  <c r="AD56" i="18"/>
  <c r="AE56" i="18"/>
  <c r="AD57" i="18"/>
  <c r="AF57" i="18" s="1"/>
  <c r="AE57" i="18"/>
  <c r="AF55" i="18" l="1"/>
  <c r="AF54" i="18"/>
  <c r="AF53" i="18"/>
  <c r="AF51" i="18"/>
  <c r="AF56" i="18"/>
  <c r="AF52" i="18"/>
  <c r="AF50" i="18"/>
  <c r="AF48" i="18"/>
  <c r="AF45" i="18"/>
  <c r="AF43" i="18"/>
  <c r="AF49" i="18"/>
  <c r="AF47" i="18"/>
  <c r="AF44" i="18"/>
  <c r="AF42" i="18"/>
  <c r="AB91" i="12"/>
  <c r="AB93" i="12" s="1"/>
  <c r="AB89" i="12"/>
  <c r="AB88" i="12"/>
  <c r="AB22" i="12"/>
  <c r="AB7" i="12"/>
  <c r="C24" i="12"/>
  <c r="E5" i="41" l="1"/>
  <c r="E198" i="41"/>
  <c r="E197" i="41"/>
  <c r="E196" i="41"/>
  <c r="E195" i="41"/>
  <c r="E194" i="41"/>
  <c r="E193" i="41"/>
  <c r="E192" i="41"/>
  <c r="E191" i="41"/>
  <c r="E190" i="41"/>
  <c r="E189" i="41"/>
  <c r="E188" i="41"/>
  <c r="E187" i="41"/>
  <c r="E186" i="41"/>
  <c r="E185" i="41"/>
  <c r="E184" i="41"/>
  <c r="E183" i="41"/>
  <c r="E182" i="41"/>
  <c r="E181" i="41"/>
  <c r="E180" i="41"/>
  <c r="E179" i="41"/>
  <c r="E178" i="41"/>
  <c r="E177" i="41"/>
  <c r="E176" i="41"/>
  <c r="E175" i="41"/>
  <c r="E174" i="41"/>
  <c r="E173" i="41"/>
  <c r="E172" i="41"/>
  <c r="E171" i="41"/>
  <c r="E170" i="41"/>
  <c r="E169" i="41"/>
  <c r="E168" i="41"/>
  <c r="E167" i="41"/>
  <c r="E166" i="41"/>
  <c r="E165" i="41"/>
  <c r="E164" i="41"/>
  <c r="E163" i="41"/>
  <c r="E162" i="41"/>
  <c r="E161" i="41"/>
  <c r="E160" i="41"/>
  <c r="E159" i="41"/>
  <c r="E158" i="41"/>
  <c r="E157" i="41"/>
  <c r="E156" i="41"/>
  <c r="E155" i="41"/>
  <c r="E154" i="41"/>
  <c r="E153" i="41"/>
  <c r="E152" i="41"/>
  <c r="E151" i="41"/>
  <c r="E150" i="41"/>
  <c r="E149" i="41"/>
  <c r="E148" i="41"/>
  <c r="E147" i="41"/>
  <c r="E146" i="41"/>
  <c r="E145" i="41"/>
  <c r="E144" i="41"/>
  <c r="E143" i="41"/>
  <c r="E142" i="41"/>
  <c r="E141" i="41"/>
  <c r="E140" i="41"/>
  <c r="E139" i="41"/>
  <c r="E138" i="41"/>
  <c r="E137" i="41"/>
  <c r="E136" i="41"/>
  <c r="E135" i="41"/>
  <c r="E134" i="41"/>
  <c r="E133" i="41"/>
  <c r="E132" i="41"/>
  <c r="E131" i="41"/>
  <c r="E130" i="41"/>
  <c r="E129" i="41"/>
  <c r="E128" i="41"/>
  <c r="E127" i="41"/>
  <c r="E126" i="41"/>
  <c r="E125" i="41"/>
  <c r="E124" i="41"/>
  <c r="E123" i="41"/>
  <c r="E122" i="41"/>
  <c r="E121" i="41"/>
  <c r="E120" i="41"/>
  <c r="E119" i="41"/>
  <c r="E118" i="41"/>
  <c r="E117" i="41"/>
  <c r="E116" i="41"/>
  <c r="E115" i="41"/>
  <c r="E114" i="41"/>
  <c r="E113" i="41"/>
  <c r="E112" i="41"/>
  <c r="E111" i="41"/>
  <c r="E110" i="41"/>
  <c r="E109" i="41"/>
  <c r="E108" i="41"/>
  <c r="E107" i="41"/>
  <c r="E106" i="41"/>
  <c r="E105" i="41"/>
  <c r="E104" i="41"/>
  <c r="E103" i="41"/>
  <c r="E102" i="41"/>
  <c r="E101" i="41"/>
  <c r="E100" i="41"/>
  <c r="E99" i="41"/>
  <c r="E98" i="41"/>
  <c r="E97" i="41"/>
  <c r="E96" i="41"/>
  <c r="E95" i="41"/>
  <c r="E94" i="41"/>
  <c r="E93" i="41"/>
  <c r="E92" i="41"/>
  <c r="E91" i="41"/>
  <c r="E90" i="41"/>
  <c r="E89" i="41"/>
  <c r="E88" i="41"/>
  <c r="E87" i="41"/>
  <c r="E86" i="41"/>
  <c r="E85" i="41"/>
  <c r="E84" i="41"/>
  <c r="E83" i="41"/>
  <c r="E82" i="41"/>
  <c r="E81" i="41"/>
  <c r="E80" i="41"/>
  <c r="E79" i="41"/>
  <c r="E78" i="41"/>
  <c r="E77" i="41"/>
  <c r="E76" i="41"/>
  <c r="E75" i="41"/>
  <c r="E74" i="41"/>
  <c r="E73" i="41"/>
  <c r="E72" i="41"/>
  <c r="E71" i="41"/>
  <c r="E70" i="41"/>
  <c r="E69" i="41"/>
  <c r="E68" i="41"/>
  <c r="E67" i="41"/>
  <c r="E66" i="41"/>
  <c r="E65" i="41"/>
  <c r="E64" i="41"/>
  <c r="E63" i="41"/>
  <c r="E62" i="41"/>
  <c r="E61" i="41"/>
  <c r="E60" i="41"/>
  <c r="E59" i="41"/>
  <c r="E58" i="41"/>
  <c r="E57" i="41"/>
  <c r="E56" i="41"/>
  <c r="E55" i="41"/>
  <c r="E54" i="41"/>
  <c r="E53" i="41"/>
  <c r="E52" i="41"/>
  <c r="E51" i="41"/>
  <c r="E50" i="41"/>
  <c r="E49" i="41"/>
  <c r="E48" i="41"/>
  <c r="E47" i="41"/>
  <c r="E46" i="41"/>
  <c r="E45" i="41"/>
  <c r="E44" i="41"/>
  <c r="E43" i="41"/>
  <c r="E42" i="41"/>
  <c r="E41" i="41"/>
  <c r="E40" i="41"/>
  <c r="E39" i="41"/>
  <c r="E38" i="41"/>
  <c r="E37" i="41"/>
  <c r="E36" i="41"/>
  <c r="E35" i="41"/>
  <c r="E34" i="41"/>
  <c r="E33" i="41"/>
  <c r="E32" i="41"/>
  <c r="E31" i="41"/>
  <c r="E30" i="41"/>
  <c r="E29" i="41"/>
  <c r="E28" i="41"/>
  <c r="E27" i="41"/>
  <c r="E26" i="41"/>
  <c r="E25" i="41"/>
  <c r="E24" i="41"/>
  <c r="E23" i="41"/>
  <c r="E22" i="41"/>
  <c r="E21" i="41"/>
  <c r="E20" i="41"/>
  <c r="E19" i="41"/>
  <c r="E18" i="41"/>
  <c r="E17" i="41"/>
  <c r="E16" i="41"/>
  <c r="E15" i="41"/>
  <c r="E14" i="41"/>
  <c r="E13" i="41"/>
  <c r="E12" i="41"/>
  <c r="E11" i="41"/>
  <c r="E10" i="41"/>
  <c r="C1" i="12" l="1"/>
  <c r="E939" i="41"/>
  <c r="E938" i="41"/>
  <c r="E937" i="41"/>
  <c r="E936" i="41"/>
  <c r="E935" i="41"/>
  <c r="E934" i="41"/>
  <c r="E933" i="41"/>
  <c r="E932" i="41"/>
  <c r="E931" i="41"/>
  <c r="E930" i="41"/>
  <c r="E929" i="41"/>
  <c r="E928" i="41"/>
  <c r="E927" i="41"/>
  <c r="E926" i="41"/>
  <c r="E925" i="41"/>
  <c r="E924" i="41"/>
  <c r="E923" i="41"/>
  <c r="E922" i="41"/>
  <c r="E921" i="41"/>
  <c r="E920" i="41"/>
  <c r="E919" i="41"/>
  <c r="E918" i="41"/>
  <c r="E917" i="41"/>
  <c r="E916" i="41"/>
  <c r="E915" i="41"/>
  <c r="E914" i="41"/>
  <c r="E913" i="41"/>
  <c r="E912" i="41"/>
  <c r="E911" i="41"/>
  <c r="E910" i="41"/>
  <c r="E909" i="41"/>
  <c r="E908" i="41"/>
  <c r="E907" i="41"/>
  <c r="E906" i="41"/>
  <c r="E905" i="41"/>
  <c r="E904" i="41"/>
  <c r="E903" i="41"/>
  <c r="E902" i="41"/>
  <c r="E901" i="41"/>
  <c r="E900" i="41"/>
  <c r="E899" i="41"/>
  <c r="E898" i="41"/>
  <c r="E897" i="41"/>
  <c r="E896" i="41"/>
  <c r="E895" i="41"/>
  <c r="E894" i="41"/>
  <c r="E893" i="41"/>
  <c r="E892" i="41"/>
  <c r="E891" i="41"/>
  <c r="E890" i="41"/>
  <c r="E889" i="41"/>
  <c r="E888" i="41"/>
  <c r="E887" i="41"/>
  <c r="E886" i="41"/>
  <c r="E885" i="41"/>
  <c r="E884" i="41"/>
  <c r="E883" i="41"/>
  <c r="E882" i="41"/>
  <c r="E881" i="41"/>
  <c r="E880" i="41"/>
  <c r="E879" i="41"/>
  <c r="E878" i="41"/>
  <c r="E877" i="41"/>
  <c r="E876" i="41"/>
  <c r="E875" i="41"/>
  <c r="E874" i="41"/>
  <c r="E873" i="41"/>
  <c r="E872" i="41"/>
  <c r="E871" i="41"/>
  <c r="E870" i="41"/>
  <c r="E869" i="41"/>
  <c r="E868" i="41"/>
  <c r="E867" i="41"/>
  <c r="E866" i="41"/>
  <c r="E865" i="41"/>
  <c r="E864" i="41"/>
  <c r="E863" i="41"/>
  <c r="E862" i="41"/>
  <c r="E861" i="41"/>
  <c r="E860" i="41"/>
  <c r="E859" i="41"/>
  <c r="E858" i="41"/>
  <c r="E857" i="41"/>
  <c r="E856" i="41"/>
  <c r="E855" i="41"/>
  <c r="E854" i="41"/>
  <c r="E853" i="41"/>
  <c r="E852" i="41"/>
  <c r="E851" i="41"/>
  <c r="E850" i="41"/>
  <c r="E849" i="41"/>
  <c r="E848" i="41"/>
  <c r="E847" i="41"/>
  <c r="E846" i="41"/>
  <c r="E845" i="41"/>
  <c r="E844" i="41"/>
  <c r="E843" i="41"/>
  <c r="E842" i="41"/>
  <c r="E841" i="41"/>
  <c r="E840" i="41"/>
  <c r="E839" i="41"/>
  <c r="E838" i="41"/>
  <c r="E837" i="41"/>
  <c r="E836" i="41"/>
  <c r="E835" i="41"/>
  <c r="E834" i="41"/>
  <c r="E833" i="41"/>
  <c r="E832" i="41"/>
  <c r="E831" i="41"/>
  <c r="E830" i="41"/>
  <c r="E829" i="41"/>
  <c r="E828" i="41"/>
  <c r="E827" i="41"/>
  <c r="E826" i="41"/>
  <c r="E825" i="41"/>
  <c r="E824" i="41"/>
  <c r="E823" i="41"/>
  <c r="E822" i="41"/>
  <c r="E821" i="41"/>
  <c r="E820" i="41"/>
  <c r="E819" i="41"/>
  <c r="E818" i="41"/>
  <c r="E817" i="41"/>
  <c r="E816" i="41"/>
  <c r="E815" i="41"/>
  <c r="E814" i="41"/>
  <c r="E813" i="41"/>
  <c r="E812" i="41"/>
  <c r="E811" i="41"/>
  <c r="E1484" i="41"/>
  <c r="E1033" i="41"/>
  <c r="E1006" i="41"/>
  <c r="E1004" i="41"/>
  <c r="E940" i="41"/>
  <c r="E664" i="41"/>
  <c r="E663" i="41"/>
  <c r="E662" i="41"/>
  <c r="E661" i="41"/>
  <c r="E654" i="41"/>
  <c r="E653" i="41"/>
  <c r="I811" i="41"/>
  <c r="E772" i="41"/>
  <c r="E771" i="41"/>
  <c r="E770" i="41"/>
  <c r="E769" i="41"/>
  <c r="E768" i="41"/>
  <c r="E767" i="41"/>
  <c r="E766" i="41"/>
  <c r="E765" i="41"/>
  <c r="E764" i="41"/>
  <c r="E763" i="41"/>
  <c r="E762" i="41"/>
  <c r="E761" i="41"/>
  <c r="E760" i="41"/>
  <c r="E759" i="41"/>
  <c r="E758" i="41"/>
  <c r="E757" i="41"/>
  <c r="E756" i="41"/>
  <c r="E755" i="41"/>
  <c r="E754" i="41"/>
  <c r="E753" i="41"/>
  <c r="E752" i="41"/>
  <c r="E751" i="41"/>
  <c r="E750" i="41"/>
  <c r="E749" i="41"/>
  <c r="E748" i="41"/>
  <c r="E747" i="41"/>
  <c r="E746" i="41"/>
  <c r="E745" i="41"/>
  <c r="E744" i="41"/>
  <c r="E743" i="41"/>
  <c r="E742" i="41"/>
  <c r="E741" i="41"/>
  <c r="E740" i="41"/>
  <c r="E739" i="41"/>
  <c r="E738" i="41"/>
  <c r="E737" i="41"/>
  <c r="E736" i="41"/>
  <c r="E735" i="41"/>
  <c r="E734" i="41"/>
  <c r="E733" i="41"/>
  <c r="E732" i="41"/>
  <c r="E731" i="41"/>
  <c r="E730" i="41"/>
  <c r="E729" i="41"/>
  <c r="E728" i="41"/>
  <c r="E727" i="41"/>
  <c r="E726" i="41"/>
  <c r="E725" i="41"/>
  <c r="E724" i="41"/>
  <c r="E723" i="41"/>
  <c r="E722" i="41"/>
  <c r="E721" i="41"/>
  <c r="E720" i="41"/>
  <c r="E719" i="41"/>
  <c r="E718" i="41"/>
  <c r="E717" i="41"/>
  <c r="E716" i="41"/>
  <c r="E715" i="41"/>
  <c r="E714" i="41"/>
  <c r="E713" i="41"/>
  <c r="E712" i="41"/>
  <c r="E711" i="41"/>
  <c r="E710" i="41"/>
  <c r="E709" i="41"/>
  <c r="E708" i="41"/>
  <c r="E707" i="41"/>
  <c r="E706" i="41"/>
  <c r="E705" i="41"/>
  <c r="E704" i="41"/>
  <c r="E703" i="41"/>
  <c r="E702" i="41"/>
  <c r="E701" i="41"/>
  <c r="E700" i="41"/>
  <c r="E699" i="41"/>
  <c r="E698" i="41"/>
  <c r="E697" i="41"/>
  <c r="E696" i="41"/>
  <c r="E695" i="41"/>
  <c r="E694" i="41"/>
  <c r="E693" i="41"/>
  <c r="E692" i="41"/>
  <c r="E691" i="41"/>
  <c r="E690" i="41"/>
  <c r="E689" i="41"/>
  <c r="E688" i="41"/>
  <c r="E687" i="41"/>
  <c r="E686" i="41"/>
  <c r="E685" i="41"/>
  <c r="E684" i="41"/>
  <c r="E683" i="41"/>
  <c r="E682" i="41"/>
  <c r="E1733" i="41"/>
  <c r="E1732" i="41"/>
  <c r="E967" i="41"/>
  <c r="E1706" i="41"/>
  <c r="E1694" i="41"/>
  <c r="E1693" i="41"/>
  <c r="E1692" i="41"/>
  <c r="E1691" i="41"/>
  <c r="E1690" i="41"/>
  <c r="E1689" i="41"/>
  <c r="E1688" i="41"/>
  <c r="E1687" i="41"/>
  <c r="E1686" i="41"/>
  <c r="E1685" i="41"/>
  <c r="E1684" i="41"/>
  <c r="E1683" i="41"/>
  <c r="E1682" i="41"/>
  <c r="E1681" i="41"/>
  <c r="E1680" i="41"/>
  <c r="E1679" i="41"/>
  <c r="E1678" i="41"/>
  <c r="E1677" i="41"/>
  <c r="E1676" i="41"/>
  <c r="E1675" i="41"/>
  <c r="E1674" i="41"/>
  <c r="E1673" i="41"/>
  <c r="E1672" i="41"/>
  <c r="E1671" i="41"/>
  <c r="E1670" i="41"/>
  <c r="E1669" i="41"/>
  <c r="E1731" i="41"/>
  <c r="E1668" i="41"/>
  <c r="E1730" i="41"/>
  <c r="E1729" i="41"/>
  <c r="E1728" i="41"/>
  <c r="E1727" i="41"/>
  <c r="E1726" i="41"/>
  <c r="E1725" i="41"/>
  <c r="E1667" i="41"/>
  <c r="E1724" i="41"/>
  <c r="E1666" i="41"/>
  <c r="E1723" i="41"/>
  <c r="E1722" i="41"/>
  <c r="E1665" i="41"/>
  <c r="E1721" i="41"/>
  <c r="E1664" i="41"/>
  <c r="E1663" i="41"/>
  <c r="E1662" i="41"/>
  <c r="E1720" i="41"/>
  <c r="E1661" i="41"/>
  <c r="E1719" i="41"/>
  <c r="E1660" i="41"/>
  <c r="E1718" i="41"/>
  <c r="E1659" i="41"/>
  <c r="E1717" i="41"/>
  <c r="E1658" i="41"/>
  <c r="E1716" i="41"/>
  <c r="E1715" i="41"/>
  <c r="E1714" i="41"/>
  <c r="E1713" i="41"/>
  <c r="E1712" i="41"/>
  <c r="E1711" i="41"/>
  <c r="E1657" i="41"/>
  <c r="E1656" i="41"/>
  <c r="E1655" i="41"/>
  <c r="E1654" i="41"/>
  <c r="E1653" i="41"/>
  <c r="E1710" i="41"/>
  <c r="E1652" i="41"/>
  <c r="E1709" i="41"/>
  <c r="E1651" i="41"/>
  <c r="E1650" i="41"/>
  <c r="E1708" i="41"/>
  <c r="E1707" i="41"/>
  <c r="E1649" i="41"/>
  <c r="E1648" i="41"/>
  <c r="E1647" i="41"/>
  <c r="E1646" i="41"/>
  <c r="E1645" i="41"/>
  <c r="E1644" i="41"/>
  <c r="E1643" i="41"/>
  <c r="E1642" i="41"/>
  <c r="E1641" i="41"/>
  <c r="E1640" i="41"/>
  <c r="E1639" i="41"/>
  <c r="E1638" i="41"/>
  <c r="E1637" i="41"/>
  <c r="E1636" i="41"/>
  <c r="E1635" i="41"/>
  <c r="E1634" i="41"/>
  <c r="E1633" i="41"/>
  <c r="E1632" i="41"/>
  <c r="E1631" i="41"/>
  <c r="E1630" i="41"/>
  <c r="E1629" i="41"/>
  <c r="E1628" i="41"/>
  <c r="E1627" i="41"/>
  <c r="E1626" i="41"/>
  <c r="E1625" i="41"/>
  <c r="E1705" i="41"/>
  <c r="E1624" i="41"/>
  <c r="E1704" i="41"/>
  <c r="E1703" i="41"/>
  <c r="E1702" i="41"/>
  <c r="E1623" i="41"/>
  <c r="E1622" i="41"/>
  <c r="E1621" i="41"/>
  <c r="E1620" i="41"/>
  <c r="E1701" i="41"/>
  <c r="E1619" i="41"/>
  <c r="E1618" i="41"/>
  <c r="E1700" i="41"/>
  <c r="E1617" i="41"/>
  <c r="E1699" i="41"/>
  <c r="E1698" i="41"/>
  <c r="E1697" i="41"/>
  <c r="E1696" i="41"/>
  <c r="E1695" i="41"/>
  <c r="E1616" i="41"/>
  <c r="E1615" i="41"/>
  <c r="E1614" i="41"/>
  <c r="E1613" i="41"/>
  <c r="E1612" i="41"/>
  <c r="E1611" i="41"/>
  <c r="E805" i="41"/>
  <c r="E804" i="41"/>
  <c r="E803" i="41"/>
  <c r="E802" i="41"/>
  <c r="E801" i="41"/>
  <c r="E800" i="41"/>
  <c r="E810" i="41"/>
  <c r="E941" i="41"/>
  <c r="E809" i="41"/>
  <c r="E808" i="41"/>
  <c r="E807" i="41"/>
  <c r="E806" i="41"/>
  <c r="E1002" i="41"/>
  <c r="E1000" i="41"/>
  <c r="E999" i="41"/>
  <c r="E998" i="41"/>
  <c r="E996" i="41"/>
  <c r="E995" i="41"/>
  <c r="E994" i="41"/>
  <c r="E988" i="41"/>
  <c r="E987" i="41"/>
  <c r="E1610" i="41"/>
  <c r="E1609" i="41"/>
  <c r="E1608" i="41"/>
  <c r="E1607" i="41"/>
  <c r="E1606" i="41"/>
  <c r="E1605" i="41"/>
  <c r="E986" i="41"/>
  <c r="E985" i="41"/>
  <c r="E984" i="41"/>
  <c r="E983" i="41"/>
  <c r="E982" i="41"/>
  <c r="E981" i="41"/>
  <c r="E1604" i="41"/>
  <c r="E1603" i="41"/>
  <c r="E1602" i="41"/>
  <c r="E1601" i="41"/>
  <c r="E1600" i="41"/>
  <c r="E1599" i="41"/>
  <c r="E1598" i="41"/>
  <c r="E1597" i="41"/>
  <c r="E1596" i="41"/>
  <c r="E1595" i="41"/>
  <c r="E1594" i="41"/>
  <c r="E1593" i="41"/>
  <c r="E1592" i="41"/>
  <c r="E1591" i="41"/>
  <c r="E1590" i="41"/>
  <c r="E1589" i="41"/>
  <c r="E1588" i="41"/>
  <c r="E1587" i="41"/>
  <c r="E1586" i="41"/>
  <c r="E1585" i="41"/>
  <c r="E1584" i="41"/>
  <c r="E1583" i="41"/>
  <c r="E1582" i="41"/>
  <c r="E1581" i="41"/>
  <c r="E1580" i="41"/>
  <c r="E1579" i="41"/>
  <c r="E1578" i="41"/>
  <c r="E1577" i="41"/>
  <c r="E1576" i="41"/>
  <c r="E1575" i="41"/>
  <c r="E1574" i="41"/>
  <c r="E1573" i="41"/>
  <c r="E1572" i="41"/>
  <c r="E1571" i="41"/>
  <c r="E1570" i="41"/>
  <c r="E1569" i="41"/>
  <c r="E1568" i="41"/>
  <c r="E1567" i="41"/>
  <c r="E1566" i="41"/>
  <c r="E1565" i="41"/>
  <c r="E1564" i="41"/>
  <c r="E1563" i="41"/>
  <c r="E1562" i="41"/>
  <c r="E1561" i="41"/>
  <c r="E1560" i="41"/>
  <c r="E1559" i="41"/>
  <c r="E1558" i="41"/>
  <c r="E1557" i="41"/>
  <c r="E1556" i="41"/>
  <c r="E1555" i="41"/>
  <c r="E1554" i="41"/>
  <c r="E1553" i="41"/>
  <c r="E1552" i="41"/>
  <c r="E1551" i="41"/>
  <c r="E1550" i="41"/>
  <c r="E1549" i="41"/>
  <c r="E1548" i="41"/>
  <c r="E1547" i="41"/>
  <c r="E1546" i="41"/>
  <c r="E1545" i="41"/>
  <c r="E1544" i="41"/>
  <c r="E1543" i="41"/>
  <c r="E1542" i="41"/>
  <c r="E1541" i="41"/>
  <c r="E1540" i="41"/>
  <c r="E1539" i="41"/>
  <c r="E1538" i="41"/>
  <c r="E1537" i="41"/>
  <c r="E1536" i="41"/>
  <c r="E1535" i="41"/>
  <c r="E1534" i="41"/>
  <c r="E1533" i="41"/>
  <c r="E1532" i="41"/>
  <c r="E1531" i="41"/>
  <c r="E1530" i="41"/>
  <c r="E1529" i="41"/>
  <c r="E1528" i="41"/>
  <c r="E1527" i="41"/>
  <c r="E1526" i="41"/>
  <c r="E1525" i="41"/>
  <c r="E1524" i="41"/>
  <c r="E1523" i="41"/>
  <c r="E1522" i="41"/>
  <c r="E1521" i="41"/>
  <c r="E1520" i="41"/>
  <c r="E1519" i="41"/>
  <c r="E1518" i="41"/>
  <c r="E1517" i="41"/>
  <c r="E1516" i="41"/>
  <c r="E1515" i="41"/>
  <c r="E1514" i="41"/>
  <c r="E1513" i="41"/>
  <c r="E1512" i="41"/>
  <c r="E1511" i="41"/>
  <c r="E1510" i="41"/>
  <c r="E1509" i="41"/>
  <c r="E1508" i="41"/>
  <c r="E1507" i="41"/>
  <c r="E1506" i="41"/>
  <c r="E1505" i="41"/>
  <c r="E1504" i="41"/>
  <c r="E1503" i="41"/>
  <c r="E1502" i="41"/>
  <c r="E1501" i="41"/>
  <c r="E1500" i="41"/>
  <c r="E1499" i="41"/>
  <c r="E1498" i="41"/>
  <c r="E1497" i="41"/>
  <c r="E1496" i="41"/>
  <c r="E1495" i="41"/>
  <c r="E1494" i="41"/>
  <c r="E1493" i="41"/>
  <c r="E1492" i="41"/>
  <c r="E1491" i="41"/>
  <c r="E1490" i="41"/>
  <c r="E1489" i="41"/>
  <c r="E1488" i="41"/>
  <c r="E1487" i="41"/>
  <c r="E1486" i="41"/>
  <c r="E1485" i="41"/>
  <c r="E1483" i="41"/>
  <c r="E1482" i="41"/>
  <c r="E1481" i="41"/>
  <c r="E1480" i="41"/>
  <c r="E1479" i="41"/>
  <c r="E1478" i="41"/>
  <c r="E1477" i="41"/>
  <c r="E1476" i="41"/>
  <c r="E1475" i="41"/>
  <c r="E1474" i="41"/>
  <c r="E1473" i="41"/>
  <c r="E1472" i="41"/>
  <c r="E1471" i="41"/>
  <c r="E1470" i="41"/>
  <c r="E1469" i="41"/>
  <c r="E1468" i="41"/>
  <c r="E1467" i="41"/>
  <c r="E1466" i="41"/>
  <c r="E1465" i="41"/>
  <c r="E1464" i="41"/>
  <c r="E1463" i="41"/>
  <c r="E1462" i="41"/>
  <c r="E1461" i="41"/>
  <c r="E1460" i="41"/>
  <c r="E1459" i="41"/>
  <c r="E1458" i="41"/>
  <c r="E1457" i="41"/>
  <c r="E1456" i="41"/>
  <c r="E1455" i="41"/>
  <c r="E1454" i="41"/>
  <c r="E1453" i="41"/>
  <c r="E1452" i="41"/>
  <c r="E1451" i="41"/>
  <c r="E1450" i="41"/>
  <c r="E1449" i="41"/>
  <c r="E1448" i="41"/>
  <c r="E1447" i="41"/>
  <c r="E1446" i="41"/>
  <c r="E1445" i="41"/>
  <c r="E1444" i="41"/>
  <c r="E1443" i="41"/>
  <c r="E1442" i="41"/>
  <c r="E1441" i="41"/>
  <c r="E1440" i="41"/>
  <c r="E1439" i="41"/>
  <c r="E1438" i="41"/>
  <c r="E1437" i="41"/>
  <c r="E1436" i="41"/>
  <c r="E1435" i="41"/>
  <c r="E1434" i="41"/>
  <c r="E1433" i="41"/>
  <c r="E1432" i="41"/>
  <c r="E1431" i="41"/>
  <c r="E1430" i="41"/>
  <c r="E1429" i="41"/>
  <c r="E1428" i="41"/>
  <c r="E1427" i="41"/>
  <c r="E1426" i="41"/>
  <c r="E1425" i="41"/>
  <c r="E1424" i="41"/>
  <c r="E1423" i="41"/>
  <c r="E1422" i="41"/>
  <c r="E1421" i="41"/>
  <c r="E1420" i="41"/>
  <c r="E1419" i="41"/>
  <c r="E1418" i="41"/>
  <c r="E1417" i="41"/>
  <c r="E1416" i="41"/>
  <c r="E1415" i="41"/>
  <c r="E1414" i="41"/>
  <c r="E1413" i="41"/>
  <c r="E1412" i="41"/>
  <c r="E1411" i="41"/>
  <c r="E1410" i="41"/>
  <c r="E1409" i="41"/>
  <c r="E1408" i="41"/>
  <c r="E1407" i="41"/>
  <c r="E1406" i="41"/>
  <c r="E1405" i="41"/>
  <c r="E1404" i="41"/>
  <c r="E1403" i="41"/>
  <c r="E1402" i="41"/>
  <c r="E1401" i="41"/>
  <c r="E1400" i="41"/>
  <c r="E1399" i="41"/>
  <c r="E1398" i="41"/>
  <c r="E1397" i="41"/>
  <c r="E1396" i="41"/>
  <c r="E1395" i="41"/>
  <c r="E1394" i="41"/>
  <c r="E1393" i="41"/>
  <c r="E1392" i="41"/>
  <c r="E1391" i="41"/>
  <c r="E1390" i="41"/>
  <c r="E1389" i="41"/>
  <c r="E1388" i="41"/>
  <c r="E1387" i="41"/>
  <c r="E1386" i="41"/>
  <c r="E1385" i="41"/>
  <c r="E1384" i="41"/>
  <c r="E1383" i="41"/>
  <c r="E1382" i="41"/>
  <c r="E1381" i="41"/>
  <c r="E1380" i="41"/>
  <c r="E1379" i="41"/>
  <c r="E1378" i="41"/>
  <c r="E1377" i="41"/>
  <c r="E1376" i="41"/>
  <c r="E1375" i="41"/>
  <c r="E1374" i="41"/>
  <c r="E1373" i="41"/>
  <c r="E1372" i="41"/>
  <c r="E1371" i="41"/>
  <c r="E1370" i="41"/>
  <c r="E1369" i="41"/>
  <c r="E1368" i="41"/>
  <c r="E1367" i="41"/>
  <c r="E1366" i="41"/>
  <c r="E1365" i="41"/>
  <c r="E1364" i="41"/>
  <c r="E1363" i="41"/>
  <c r="E1362" i="41"/>
  <c r="E1361" i="41"/>
  <c r="E1360" i="41"/>
  <c r="E1359" i="41"/>
  <c r="E1358" i="41"/>
  <c r="E1357" i="41"/>
  <c r="E1356" i="41"/>
  <c r="E1355" i="41"/>
  <c r="E1354" i="41"/>
  <c r="E1353" i="41"/>
  <c r="E1352" i="41"/>
  <c r="E1351" i="41"/>
  <c r="E1350" i="41"/>
  <c r="E1349" i="41"/>
  <c r="E1348" i="41"/>
  <c r="E1347" i="41"/>
  <c r="E1346" i="41"/>
  <c r="E1345" i="41"/>
  <c r="E1344" i="41"/>
  <c r="E1343" i="41"/>
  <c r="E1342" i="41"/>
  <c r="E1341" i="41"/>
  <c r="E1340" i="41"/>
  <c r="E1339" i="41"/>
  <c r="E1338" i="41"/>
  <c r="E1337" i="41"/>
  <c r="E1336" i="41"/>
  <c r="E1335" i="41"/>
  <c r="E1334" i="41"/>
  <c r="E1333" i="41"/>
  <c r="E1332" i="41"/>
  <c r="E1331" i="41"/>
  <c r="E1330" i="41"/>
  <c r="E1329" i="41"/>
  <c r="E1328" i="41"/>
  <c r="E1327" i="41"/>
  <c r="E1326" i="41"/>
  <c r="E1325" i="41"/>
  <c r="E1324" i="41"/>
  <c r="E1323" i="41"/>
  <c r="E1322" i="41"/>
  <c r="E1321" i="41"/>
  <c r="E1320" i="41"/>
  <c r="E1319" i="41"/>
  <c r="E1318" i="41"/>
  <c r="E1317" i="41"/>
  <c r="E1316" i="41"/>
  <c r="E1315" i="41"/>
  <c r="E1314" i="41"/>
  <c r="E1313" i="41"/>
  <c r="E1312" i="41"/>
  <c r="E1311" i="41"/>
  <c r="E1310" i="41"/>
  <c r="E1309" i="41"/>
  <c r="E1308" i="41"/>
  <c r="E1307" i="41"/>
  <c r="E1306" i="41"/>
  <c r="E1305" i="41"/>
  <c r="E1304" i="41"/>
  <c r="E1303" i="41"/>
  <c r="E1302" i="41"/>
  <c r="E1301" i="41"/>
  <c r="E1300" i="41"/>
  <c r="E1299" i="41"/>
  <c r="E1298" i="41"/>
  <c r="E1297" i="41"/>
  <c r="E1296" i="41"/>
  <c r="E1295" i="41"/>
  <c r="E1294" i="41"/>
  <c r="E1293" i="41"/>
  <c r="E1292" i="41"/>
  <c r="E1291" i="41"/>
  <c r="E1290" i="41"/>
  <c r="E1289" i="41"/>
  <c r="E1288" i="41"/>
  <c r="E1287" i="41"/>
  <c r="E1286" i="41"/>
  <c r="E980" i="41"/>
  <c r="E1285" i="41"/>
  <c r="E1284" i="41"/>
  <c r="E1283" i="41"/>
  <c r="E1282" i="41"/>
  <c r="E1281" i="41"/>
  <c r="E1280" i="41"/>
  <c r="E1279" i="41"/>
  <c r="E1278" i="41"/>
  <c r="E1277" i="41"/>
  <c r="E1276" i="41"/>
  <c r="E1275" i="41"/>
  <c r="E1274" i="41"/>
  <c r="E1273" i="41"/>
  <c r="E1272" i="41"/>
  <c r="E1271" i="41"/>
  <c r="E1270" i="41"/>
  <c r="E1269" i="41"/>
  <c r="E1268" i="41"/>
  <c r="E1265" i="41"/>
  <c r="E1264" i="41"/>
  <c r="E1263" i="41"/>
  <c r="E1262" i="41"/>
  <c r="E1261" i="41"/>
  <c r="E1260" i="41"/>
  <c r="E1259" i="41"/>
  <c r="E1258" i="41"/>
  <c r="E1257" i="41"/>
  <c r="E1256" i="41"/>
  <c r="E1255" i="41"/>
  <c r="E1254" i="41"/>
  <c r="E1253" i="41"/>
  <c r="E1252" i="41"/>
  <c r="E1251" i="41"/>
  <c r="E1250" i="41"/>
  <c r="E1249" i="41"/>
  <c r="E1248" i="41"/>
  <c r="E1247" i="41"/>
  <c r="E1246" i="41"/>
  <c r="E1245" i="41"/>
  <c r="E1244" i="41"/>
  <c r="E1243" i="41"/>
  <c r="E1242" i="41"/>
  <c r="E1241" i="41"/>
  <c r="E1240" i="41"/>
  <c r="E1239" i="41"/>
  <c r="E1238" i="41"/>
  <c r="E1237" i="41"/>
  <c r="E1236" i="41"/>
  <c r="E1235" i="41"/>
  <c r="E1234" i="41"/>
  <c r="E1233" i="41"/>
  <c r="E1232" i="41"/>
  <c r="E1231" i="41"/>
  <c r="E1230" i="41"/>
  <c r="E1229" i="41"/>
  <c r="E1228" i="41"/>
  <c r="E1227" i="41"/>
  <c r="E1226" i="41"/>
  <c r="E1225" i="41"/>
  <c r="E1224" i="41"/>
  <c r="E1223" i="41"/>
  <c r="E1222" i="41"/>
  <c r="E1221" i="41"/>
  <c r="E1220" i="41"/>
  <c r="E1219" i="41"/>
  <c r="E1218" i="41"/>
  <c r="E1217" i="41"/>
  <c r="E1216" i="41"/>
  <c r="E1215" i="41"/>
  <c r="E1214" i="41"/>
  <c r="E1213" i="41"/>
  <c r="E1212" i="41"/>
  <c r="E1211" i="41"/>
  <c r="E1210" i="41"/>
  <c r="E1209" i="41"/>
  <c r="E1208" i="41"/>
  <c r="E1207" i="41"/>
  <c r="E1206" i="41"/>
  <c r="E1205" i="41"/>
  <c r="E1204" i="41"/>
  <c r="E1203" i="41"/>
  <c r="E1202" i="41"/>
  <c r="E1201" i="41"/>
  <c r="E1200" i="41"/>
  <c r="E1199" i="41"/>
  <c r="E1198" i="41"/>
  <c r="E1197" i="41"/>
  <c r="E1196" i="41"/>
  <c r="E1195" i="41"/>
  <c r="E1194" i="41"/>
  <c r="E1193" i="41"/>
  <c r="E1192" i="41"/>
  <c r="E1191" i="41"/>
  <c r="E1190" i="41"/>
  <c r="E1189" i="41"/>
  <c r="E1188" i="41"/>
  <c r="E1187" i="41"/>
  <c r="E1186" i="41"/>
  <c r="E1185" i="41"/>
  <c r="E1184" i="41"/>
  <c r="E1183" i="41"/>
  <c r="E1182" i="41"/>
  <c r="E1181" i="41"/>
  <c r="E1180" i="41"/>
  <c r="E1179" i="41"/>
  <c r="E1178" i="41"/>
  <c r="E1177" i="41"/>
  <c r="E1176" i="41"/>
  <c r="E1175" i="41"/>
  <c r="E1174" i="41"/>
  <c r="E1173" i="41"/>
  <c r="E1172" i="41"/>
  <c r="E1171" i="41"/>
  <c r="E1170" i="41"/>
  <c r="E1169" i="41"/>
  <c r="E1168" i="41"/>
  <c r="E1167" i="41"/>
  <c r="E1166" i="41"/>
  <c r="E1165" i="41"/>
  <c r="E1164" i="41"/>
  <c r="E1163" i="41"/>
  <c r="E1162" i="41"/>
  <c r="E1161" i="41"/>
  <c r="E1160" i="41"/>
  <c r="E1159" i="41"/>
  <c r="E1158" i="41"/>
  <c r="E1157" i="41"/>
  <c r="E1156" i="41"/>
  <c r="E1155" i="41"/>
  <c r="E1154" i="41"/>
  <c r="E1153" i="41"/>
  <c r="E1152" i="41"/>
  <c r="E1151" i="41"/>
  <c r="E1150" i="41"/>
  <c r="E1149" i="41"/>
  <c r="E1148" i="41"/>
  <c r="E1147" i="41"/>
  <c r="E1146" i="41"/>
  <c r="E1145" i="41"/>
  <c r="E1144" i="41"/>
  <c r="E1143" i="41"/>
  <c r="E1142" i="41"/>
  <c r="E1141" i="41"/>
  <c r="E1140" i="41"/>
  <c r="E1139" i="41"/>
  <c r="E1138" i="41"/>
  <c r="E1137" i="41"/>
  <c r="E1136" i="41"/>
  <c r="E1135" i="41"/>
  <c r="E1134" i="41"/>
  <c r="E1133" i="41"/>
  <c r="E1132" i="41"/>
  <c r="E1131" i="41"/>
  <c r="E1130" i="41"/>
  <c r="E1129" i="41"/>
  <c r="E1128" i="41"/>
  <c r="E1127" i="41"/>
  <c r="E1126" i="41"/>
  <c r="E1125" i="41"/>
  <c r="E1124" i="41"/>
  <c r="E1123" i="41"/>
  <c r="E1122" i="41"/>
  <c r="E1121" i="41"/>
  <c r="E1120" i="41"/>
  <c r="E1119" i="41"/>
  <c r="E1118" i="41"/>
  <c r="E1117" i="41"/>
  <c r="E1116" i="41"/>
  <c r="E1115" i="41"/>
  <c r="E1114" i="41"/>
  <c r="E1113" i="41"/>
  <c r="E1112" i="41"/>
  <c r="E1111" i="41"/>
  <c r="E1110" i="41"/>
  <c r="E1109" i="41"/>
  <c r="E1108" i="41"/>
  <c r="E1107" i="41"/>
  <c r="E1106" i="41"/>
  <c r="E1105" i="41"/>
  <c r="E1104" i="41"/>
  <c r="E1103" i="41"/>
  <c r="E1102" i="41"/>
  <c r="E1101" i="41"/>
  <c r="E1100" i="41"/>
  <c r="E1099" i="41"/>
  <c r="E1098" i="41"/>
  <c r="E1097" i="41"/>
  <c r="E1096" i="41"/>
  <c r="E1095" i="41"/>
  <c r="E1094" i="41"/>
  <c r="E1093" i="41"/>
  <c r="E1092" i="41"/>
  <c r="E1091" i="41"/>
  <c r="E1090" i="41"/>
  <c r="E1089" i="41"/>
  <c r="E1088" i="41"/>
  <c r="E1087" i="41"/>
  <c r="E1086" i="41"/>
  <c r="E1085" i="41"/>
  <c r="E1084" i="41"/>
  <c r="E1083" i="41"/>
  <c r="E1082" i="41"/>
  <c r="E1081" i="41"/>
  <c r="E1080" i="41"/>
  <c r="E1079" i="41"/>
  <c r="E1078" i="41"/>
  <c r="E1077" i="41"/>
  <c r="E1076" i="41"/>
  <c r="E1075" i="41"/>
  <c r="E1074" i="41"/>
  <c r="E1073" i="41"/>
  <c r="E1072" i="41"/>
  <c r="E1071" i="41"/>
  <c r="E1070" i="41"/>
  <c r="E1069" i="41"/>
  <c r="E1068" i="41"/>
  <c r="E1067" i="41"/>
  <c r="E1066" i="41"/>
  <c r="E1065" i="41"/>
  <c r="E1064" i="41"/>
  <c r="E1063" i="41"/>
  <c r="E1062" i="41"/>
  <c r="E1061" i="41"/>
  <c r="E1060" i="41"/>
  <c r="E1059" i="41"/>
  <c r="E1058" i="41"/>
  <c r="E1057" i="41"/>
  <c r="E1056" i="41"/>
  <c r="E1055" i="41"/>
  <c r="E1054" i="41"/>
  <c r="E1053" i="41"/>
  <c r="E1052" i="41"/>
  <c r="E1051" i="41"/>
  <c r="E1050" i="41"/>
  <c r="E1049" i="41"/>
  <c r="E1048" i="41"/>
  <c r="E1047" i="41"/>
  <c r="E1044" i="41"/>
  <c r="E1043" i="41"/>
  <c r="E1042" i="41"/>
  <c r="E1041" i="41"/>
  <c r="E1040" i="41"/>
  <c r="E1039" i="41"/>
  <c r="E1038" i="41"/>
  <c r="E1037" i="41"/>
  <c r="E1036" i="41"/>
  <c r="E1035" i="41"/>
  <c r="E1034" i="41"/>
  <c r="E979" i="41"/>
  <c r="E978" i="41"/>
  <c r="E977" i="41"/>
  <c r="E976" i="41"/>
  <c r="E975" i="41"/>
  <c r="E974" i="41"/>
  <c r="E973" i="41"/>
  <c r="E972" i="41"/>
  <c r="E971" i="41"/>
  <c r="E970" i="41"/>
  <c r="E969" i="41"/>
  <c r="E968" i="41"/>
  <c r="E966" i="41"/>
  <c r="E1032" i="41"/>
  <c r="E1031" i="41"/>
  <c r="E1030" i="41"/>
  <c r="E1029" i="41"/>
  <c r="E1028" i="41"/>
  <c r="E1027" i="41"/>
  <c r="E1026" i="41"/>
  <c r="E1025" i="41"/>
  <c r="E1024" i="41"/>
  <c r="E1023" i="41"/>
  <c r="E1022" i="41"/>
  <c r="E1021" i="41"/>
  <c r="E1020" i="41"/>
  <c r="E1019" i="41"/>
  <c r="E1018" i="41"/>
  <c r="E1017" i="41"/>
  <c r="E1016" i="41"/>
  <c r="E1015" i="41"/>
  <c r="E1014" i="41"/>
  <c r="E1013" i="41"/>
  <c r="E1012" i="41"/>
  <c r="E1011" i="41"/>
  <c r="E1010" i="41"/>
  <c r="E1009" i="41"/>
  <c r="E1008" i="41"/>
  <c r="E1007" i="41"/>
  <c r="E965" i="41"/>
  <c r="E1005" i="41"/>
  <c r="E1003" i="41"/>
  <c r="E942" i="41"/>
  <c r="E964" i="41"/>
  <c r="E963" i="41"/>
  <c r="E962" i="41"/>
  <c r="E961" i="41"/>
  <c r="E960" i="41"/>
  <c r="E959" i="41"/>
  <c r="E958" i="41"/>
  <c r="E957" i="41"/>
  <c r="E956" i="41"/>
  <c r="E955" i="41"/>
  <c r="E954" i="41"/>
  <c r="E953" i="41"/>
  <c r="E952" i="41"/>
  <c r="E951" i="41"/>
  <c r="E950" i="41"/>
  <c r="E949" i="41"/>
  <c r="E948" i="41"/>
  <c r="E947" i="41"/>
  <c r="E946" i="41"/>
  <c r="E945" i="41"/>
  <c r="E944" i="41"/>
  <c r="E943" i="41"/>
  <c r="E1001" i="41"/>
  <c r="E997" i="41"/>
  <c r="E993" i="41"/>
  <c r="E992" i="41"/>
  <c r="E991" i="41"/>
  <c r="E990" i="41"/>
  <c r="E989" i="41"/>
  <c r="E1267" i="41"/>
  <c r="E1266" i="41"/>
  <c r="E1046" i="41"/>
  <c r="E1045" i="41"/>
  <c r="E781" i="41"/>
  <c r="E780" i="41"/>
  <c r="E779" i="41"/>
  <c r="E778" i="41"/>
  <c r="E777" i="41"/>
  <c r="E776" i="41"/>
  <c r="E775" i="41"/>
  <c r="E774" i="41"/>
  <c r="E773" i="41"/>
  <c r="E799" i="41"/>
  <c r="E798" i="41"/>
  <c r="E797" i="41"/>
  <c r="E796" i="41"/>
  <c r="E795" i="41"/>
  <c r="E794" i="41"/>
  <c r="E793" i="41"/>
  <c r="E782" i="41"/>
  <c r="E792" i="41"/>
  <c r="E791" i="41"/>
  <c r="E790" i="41"/>
  <c r="E789" i="41"/>
  <c r="E788" i="41"/>
  <c r="E787" i="41"/>
  <c r="E786" i="41"/>
  <c r="E785" i="41"/>
  <c r="E784" i="41"/>
  <c r="E783" i="41"/>
  <c r="E1734" i="41"/>
  <c r="D3" i="46" l="1"/>
  <c r="E302" i="41"/>
  <c r="E301" i="41"/>
  <c r="E300" i="41"/>
  <c r="E299" i="41"/>
  <c r="E298" i="41"/>
  <c r="E297" i="41"/>
  <c r="E296" i="41"/>
  <c r="E295" i="41"/>
  <c r="E294" i="41"/>
  <c r="E373" i="41"/>
  <c r="E372" i="41"/>
  <c r="E371" i="41"/>
  <c r="E370" i="41"/>
  <c r="E323" i="41"/>
  <c r="E324" i="41"/>
  <c r="E316" i="41"/>
  <c r="E328" i="41"/>
  <c r="E357" i="41"/>
  <c r="E285" i="41"/>
  <c r="E284" i="41"/>
  <c r="E283" i="41"/>
  <c r="E282" i="41"/>
  <c r="E280" i="41"/>
  <c r="E293" i="41"/>
  <c r="E292" i="41"/>
  <c r="E291" i="41"/>
  <c r="E290" i="41"/>
  <c r="E289" i="41"/>
  <c r="E288" i="41"/>
  <c r="E287" i="41"/>
  <c r="E286" i="41"/>
  <c r="E281" i="41"/>
  <c r="E322" i="41"/>
  <c r="E375" i="41"/>
  <c r="E341" i="41"/>
  <c r="E340" i="41"/>
  <c r="E344" i="41"/>
  <c r="E345" i="41"/>
  <c r="E327" i="41"/>
  <c r="E346" i="41"/>
  <c r="E343" i="41"/>
  <c r="E339" i="41"/>
  <c r="E342" i="41"/>
  <c r="E347" i="41"/>
  <c r="E348" i="41"/>
  <c r="E338" i="41"/>
  <c r="E320" i="41"/>
  <c r="E368" i="41"/>
  <c r="E367" i="41"/>
  <c r="E369" i="41"/>
  <c r="E330" i="41"/>
  <c r="E331" i="41"/>
  <c r="E329" i="41"/>
  <c r="E333" i="41"/>
  <c r="E335" i="41"/>
  <c r="E336" i="41"/>
  <c r="E334" i="41"/>
  <c r="E332" i="41"/>
  <c r="E354" i="41"/>
  <c r="E352" i="41"/>
  <c r="E350" i="41"/>
  <c r="E304" i="41"/>
  <c r="E313" i="41"/>
  <c r="E312" i="41"/>
  <c r="E311" i="41"/>
  <c r="E310" i="41"/>
  <c r="E309" i="41"/>
  <c r="E308" i="41"/>
  <c r="E307" i="41"/>
  <c r="E306" i="41"/>
  <c r="E305" i="41"/>
  <c r="E303" i="41"/>
  <c r="E351" i="41"/>
  <c r="E356" i="41"/>
  <c r="E315" i="41"/>
  <c r="E314" i="41"/>
  <c r="E353" i="41"/>
  <c r="E355" i="41"/>
  <c r="E349" i="41"/>
  <c r="E374" i="41"/>
  <c r="E325" i="41"/>
  <c r="E337" i="41"/>
  <c r="E279" i="41"/>
  <c r="E278" i="41"/>
  <c r="E277" i="41"/>
  <c r="E276" i="41"/>
  <c r="E275" i="41"/>
  <c r="E274" i="41"/>
  <c r="E273" i="41"/>
  <c r="E272" i="41"/>
  <c r="E271" i="41"/>
  <c r="E270" i="41"/>
  <c r="E269" i="41"/>
  <c r="E268" i="41"/>
  <c r="E267" i="41"/>
  <c r="E266" i="41"/>
  <c r="E265" i="41"/>
  <c r="E264" i="41"/>
  <c r="E263" i="41"/>
  <c r="E262" i="41"/>
  <c r="E321" i="41"/>
  <c r="E261" i="41"/>
  <c r="E260" i="41"/>
  <c r="E259" i="41"/>
  <c r="E258" i="41"/>
  <c r="E257" i="41"/>
  <c r="E256" i="41"/>
  <c r="E255" i="41"/>
  <c r="E245" i="41"/>
  <c r="E254" i="41"/>
  <c r="E253" i="41"/>
  <c r="E252" i="41"/>
  <c r="E251" i="41"/>
  <c r="E250" i="41"/>
  <c r="E249" i="41"/>
  <c r="E248" i="41"/>
  <c r="E247" i="41"/>
  <c r="E246" i="41"/>
  <c r="E233" i="41"/>
  <c r="E238" i="41"/>
  <c r="E236" i="41"/>
  <c r="E235" i="41"/>
  <c r="E364" i="41"/>
  <c r="E317" i="41"/>
  <c r="E363" i="41"/>
  <c r="E365" i="41"/>
  <c r="E326" i="41"/>
  <c r="E366" i="41"/>
  <c r="E232" i="41"/>
  <c r="E231" i="41"/>
  <c r="E230" i="41"/>
  <c r="E229" i="41"/>
  <c r="E244" i="41"/>
  <c r="E243" i="41"/>
  <c r="E242" i="41"/>
  <c r="E241" i="41"/>
  <c r="E240" i="41"/>
  <c r="E239" i="41"/>
  <c r="E237" i="41"/>
  <c r="E234" i="41"/>
  <c r="E228" i="41"/>
  <c r="E360" i="41"/>
  <c r="E318" i="41"/>
  <c r="E358" i="41"/>
  <c r="E359" i="41"/>
  <c r="E362" i="41"/>
  <c r="E361" i="41"/>
  <c r="E319" i="41"/>
  <c r="E219" i="41"/>
  <c r="E227" i="41"/>
  <c r="E226" i="41"/>
  <c r="E225" i="41"/>
  <c r="E224" i="41"/>
  <c r="E223" i="41"/>
  <c r="E222" i="41"/>
  <c r="E221" i="41"/>
  <c r="E220" i="41"/>
  <c r="E218" i="41"/>
  <c r="E217" i="41"/>
  <c r="E216" i="41"/>
  <c r="E215" i="41"/>
  <c r="E214" i="41"/>
  <c r="E213" i="41"/>
  <c r="E212" i="41"/>
  <c r="E211" i="41"/>
  <c r="E210" i="41"/>
  <c r="E209" i="41"/>
  <c r="E208" i="41"/>
  <c r="E207" i="41"/>
  <c r="E206" i="41"/>
  <c r="E205" i="41"/>
  <c r="E204" i="41"/>
  <c r="E203" i="41"/>
  <c r="E202" i="41"/>
  <c r="E201" i="41"/>
  <c r="E200" i="41"/>
  <c r="E199" i="41"/>
  <c r="AA7" i="12" l="1"/>
  <c r="Z7" i="12"/>
  <c r="Y7" i="12"/>
  <c r="X7" i="12"/>
  <c r="W7" i="12"/>
  <c r="V7" i="12"/>
  <c r="U7" i="12"/>
  <c r="T7" i="12"/>
  <c r="S7" i="12"/>
  <c r="E4" i="41" l="1"/>
  <c r="B3" i="41" l="1"/>
  <c r="D7" i="41"/>
  <c r="C7" i="41"/>
  <c r="B7" i="41"/>
  <c r="T3" i="46" l="1"/>
  <c r="T9" i="46"/>
  <c r="S3" i="46"/>
  <c r="S9" i="46"/>
  <c r="S5" i="46"/>
  <c r="S4" i="46"/>
  <c r="T5" i="46"/>
  <c r="T4" i="46"/>
  <c r="S7" i="46"/>
  <c r="S6" i="46"/>
  <c r="T7" i="46"/>
  <c r="T6" i="46"/>
  <c r="T8" i="46"/>
  <c r="T12" i="46"/>
  <c r="S8" i="46"/>
  <c r="S12" i="46"/>
  <c r="W4" i="46" l="1"/>
  <c r="V4" i="46"/>
  <c r="U4" i="46"/>
  <c r="R4" i="46"/>
  <c r="Q4" i="46"/>
  <c r="O4" i="46"/>
  <c r="N4" i="46"/>
  <c r="W3" i="46"/>
  <c r="V3" i="46"/>
  <c r="U3" i="46"/>
  <c r="R3" i="46"/>
  <c r="Q3" i="46"/>
  <c r="O3" i="46"/>
  <c r="N3" i="46"/>
  <c r="W5" i="46"/>
  <c r="U5" i="46"/>
  <c r="R5" i="46"/>
  <c r="Q5" i="46"/>
  <c r="O5" i="46"/>
  <c r="N5" i="46"/>
  <c r="W8" i="46"/>
  <c r="U8" i="46"/>
  <c r="R8" i="46"/>
  <c r="Q8" i="46"/>
  <c r="O8" i="46"/>
  <c r="N8" i="46"/>
  <c r="W6" i="46"/>
  <c r="V6" i="46"/>
  <c r="U6" i="46"/>
  <c r="R6" i="46"/>
  <c r="Q6" i="46"/>
  <c r="O6" i="46"/>
  <c r="N6" i="46"/>
  <c r="W7" i="46"/>
  <c r="V7" i="46"/>
  <c r="U7" i="46"/>
  <c r="R7" i="46"/>
  <c r="Q7" i="46"/>
  <c r="O7" i="46"/>
  <c r="N7" i="46"/>
  <c r="V8" i="46"/>
  <c r="L8" i="46" l="1"/>
  <c r="L3" i="46"/>
  <c r="L7" i="46"/>
  <c r="L6" i="46"/>
  <c r="L5" i="46"/>
  <c r="L4" i="46"/>
  <c r="S91" i="12"/>
  <c r="S93" i="12" s="1"/>
  <c r="S89" i="12"/>
  <c r="S88" i="12"/>
  <c r="S22" i="12"/>
  <c r="U91" i="12"/>
  <c r="U93" i="12" s="1"/>
  <c r="U89" i="12"/>
  <c r="U88" i="12"/>
  <c r="U22" i="12"/>
  <c r="V93" i="12"/>
  <c r="V91" i="12"/>
  <c r="V89" i="12"/>
  <c r="V88" i="12"/>
  <c r="V22" i="12"/>
  <c r="X91" i="12"/>
  <c r="X93" i="12" s="1"/>
  <c r="X89" i="12"/>
  <c r="X88" i="12"/>
  <c r="X22" i="12"/>
  <c r="Y91" i="12"/>
  <c r="Y89" i="12"/>
  <c r="Y88" i="12"/>
  <c r="Y22" i="12"/>
  <c r="AG9" i="46"/>
  <c r="AG8" i="46"/>
  <c r="AG7" i="46"/>
  <c r="AG6" i="46"/>
  <c r="AG5" i="46"/>
  <c r="AG4" i="46"/>
  <c r="Y93" i="12" l="1"/>
  <c r="AA91" i="12"/>
  <c r="Z91" i="12"/>
  <c r="W91" i="12"/>
  <c r="T91" i="12"/>
  <c r="AG3" i="46"/>
  <c r="L9" i="46" l="1"/>
  <c r="A69" i="12"/>
  <c r="U9" i="46" l="1"/>
  <c r="W9" i="46"/>
  <c r="O9" i="46"/>
  <c r="R9" i="46"/>
  <c r="U12" i="46"/>
  <c r="O12" i="46"/>
  <c r="R12" i="46"/>
  <c r="V9" i="46"/>
  <c r="W12" i="46"/>
  <c r="V12" i="46"/>
  <c r="L12" i="46"/>
  <c r="V5" i="46"/>
  <c r="Z9" i="46"/>
  <c r="Z8" i="46"/>
  <c r="Z7" i="46"/>
  <c r="Z6" i="46"/>
  <c r="Y3" i="46"/>
  <c r="H7" i="46"/>
  <c r="H9" i="46"/>
  <c r="H8" i="46"/>
  <c r="H6" i="46"/>
  <c r="G3" i="46"/>
  <c r="G9" i="46"/>
  <c r="N9" i="46" l="1"/>
  <c r="Q9" i="46"/>
  <c r="N12" i="46"/>
  <c r="Q12" i="46"/>
  <c r="Y9" i="46"/>
  <c r="Y8" i="46"/>
  <c r="Y7" i="46"/>
  <c r="Y6" i="46"/>
  <c r="Y5" i="46"/>
  <c r="Y4" i="46"/>
  <c r="G7" i="46"/>
  <c r="G8" i="46"/>
  <c r="G4" i="46"/>
  <c r="G6" i="46"/>
  <c r="G5" i="46"/>
  <c r="Z89" i="12"/>
  <c r="Z88" i="12"/>
  <c r="Z22" i="12"/>
  <c r="AA89" i="12" l="1"/>
  <c r="AA88" i="12"/>
  <c r="AA22" i="12"/>
  <c r="C29" i="12" l="1"/>
  <c r="D12" i="46" l="1"/>
  <c r="F12" i="46" s="1"/>
  <c r="I12" i="46" l="1"/>
  <c r="E12" i="46"/>
  <c r="A72" i="12" l="1"/>
  <c r="Z80" i="18"/>
  <c r="D11" i="46"/>
  <c r="F11" i="46" s="1"/>
  <c r="D10" i="46"/>
  <c r="F10" i="46" s="1"/>
  <c r="D9" i="46"/>
  <c r="F9" i="46" s="1"/>
  <c r="D8" i="46"/>
  <c r="F8" i="46" s="1"/>
  <c r="D7" i="46"/>
  <c r="F7" i="46" s="1"/>
  <c r="D6" i="46"/>
  <c r="F6" i="46" s="1"/>
  <c r="D5" i="46"/>
  <c r="F5" i="46" s="1"/>
  <c r="D4" i="46"/>
  <c r="F4" i="46" s="1"/>
  <c r="F3" i="46"/>
  <c r="W89" i="12"/>
  <c r="W88" i="12"/>
  <c r="W22" i="12"/>
  <c r="AA79" i="18"/>
  <c r="AB79" i="18"/>
  <c r="AA80" i="18"/>
  <c r="AB80" i="18"/>
  <c r="Z81" i="18"/>
  <c r="AA81" i="18"/>
  <c r="AB81" i="18"/>
  <c r="Z78" i="18"/>
  <c r="AB77" i="18"/>
  <c r="Z77" i="18"/>
  <c r="AB78" i="18"/>
  <c r="AA78" i="18"/>
  <c r="C5" i="12"/>
  <c r="T89" i="12"/>
  <c r="T88" i="12"/>
  <c r="T22" i="12"/>
  <c r="E4" i="46" l="1"/>
  <c r="E8" i="46"/>
  <c r="E9" i="46"/>
  <c r="E6" i="46"/>
  <c r="E10" i="46"/>
  <c r="E5" i="46"/>
  <c r="E3" i="46"/>
  <c r="E7" i="46"/>
  <c r="E11" i="46"/>
  <c r="A64" i="12"/>
  <c r="A63" i="12"/>
  <c r="A71" i="12"/>
  <c r="A70" i="12"/>
  <c r="A68" i="12"/>
  <c r="A67" i="12"/>
  <c r="A66" i="12"/>
  <c r="A65" i="12"/>
  <c r="CL78" i="18"/>
  <c r="CC95" i="18" l="1"/>
  <c r="CC94" i="18"/>
  <c r="CC100" i="18"/>
  <c r="CC101" i="18"/>
  <c r="C34" i="12" l="1"/>
  <c r="AE3" i="18"/>
  <c r="AF2" i="18"/>
  <c r="I3" i="36" l="1"/>
  <c r="BE3" i="36" s="1"/>
  <c r="H3" i="36"/>
  <c r="BD3" i="36" s="1"/>
  <c r="G3" i="36"/>
  <c r="S3" i="36" s="1"/>
  <c r="D3" i="36"/>
  <c r="C3" i="36"/>
  <c r="E3" i="36"/>
  <c r="AO124" i="18"/>
  <c r="AO122" i="18"/>
  <c r="AO117" i="18"/>
  <c r="AO110" i="18"/>
  <c r="AO103" i="18"/>
  <c r="AO96" i="18"/>
  <c r="AO94" i="18"/>
  <c r="AO89" i="18"/>
  <c r="AO82" i="18"/>
  <c r="AO80" i="18"/>
  <c r="AO75" i="18"/>
  <c r="AO68" i="18"/>
  <c r="AO66" i="18"/>
  <c r="AO61" i="18"/>
  <c r="AO54" i="18"/>
  <c r="AO52" i="18"/>
  <c r="AO47" i="18"/>
  <c r="AO45" i="18"/>
  <c r="AO40" i="18"/>
  <c r="AO33" i="18"/>
  <c r="AO31" i="18"/>
  <c r="AO26" i="18"/>
  <c r="AO24" i="18"/>
  <c r="AO19" i="18"/>
  <c r="U3" i="36" l="1"/>
  <c r="AN3" i="36"/>
  <c r="AV3" i="36"/>
  <c r="T3" i="36"/>
  <c r="AW3" i="36"/>
  <c r="AG3" i="36"/>
  <c r="AO3" i="36"/>
  <c r="BC3" i="36"/>
  <c r="AA3" i="36"/>
  <c r="L3" i="36"/>
  <c r="AB3" i="36"/>
  <c r="AZ3" i="36"/>
  <c r="K3" i="36"/>
  <c r="Y3" i="36"/>
  <c r="AC3" i="36"/>
  <c r="AF3" i="36"/>
  <c r="AS3" i="36"/>
  <c r="BA3" i="36"/>
  <c r="M3" i="36"/>
  <c r="AM3" i="36"/>
  <c r="AY3" i="36"/>
  <c r="AE3" i="36"/>
  <c r="AU3" i="36"/>
  <c r="AQ3" i="36"/>
  <c r="AR3" i="36"/>
  <c r="W3" i="36"/>
  <c r="X3" i="36"/>
  <c r="O3" i="36"/>
  <c r="Q3" i="36"/>
  <c r="P3" i="36"/>
  <c r="AJ3" i="36"/>
  <c r="AK3" i="36"/>
  <c r="AI3" i="36"/>
  <c r="C27" i="12"/>
  <c r="F25" i="2"/>
  <c r="F24" i="2"/>
  <c r="F23" i="2"/>
  <c r="F22" i="2"/>
  <c r="F21" i="2"/>
  <c r="F20" i="2"/>
  <c r="F19" i="2"/>
  <c r="F18" i="2"/>
  <c r="F17" i="2"/>
  <c r="F16" i="2"/>
  <c r="F15" i="2"/>
  <c r="F14" i="2"/>
  <c r="F13" i="2"/>
  <c r="F12" i="2"/>
  <c r="F11" i="2"/>
  <c r="F10" i="2"/>
  <c r="F9" i="2"/>
  <c r="F8" i="2"/>
  <c r="F7" i="2"/>
  <c r="F6" i="2"/>
  <c r="F5" i="2"/>
  <c r="F4" i="2"/>
  <c r="F3" i="2"/>
  <c r="BJ66" i="18"/>
  <c r="BJ35" i="18"/>
  <c r="BJ34" i="18"/>
  <c r="BN75" i="18"/>
  <c r="BN74" i="18"/>
  <c r="BL75" i="18"/>
  <c r="BL74" i="18"/>
  <c r="BN71" i="18"/>
  <c r="BN70" i="18"/>
  <c r="BL71" i="18"/>
  <c r="BL70" i="18"/>
  <c r="BN67" i="18"/>
  <c r="BN66" i="18"/>
  <c r="BL67" i="18"/>
  <c r="BL66" i="18"/>
  <c r="BN63" i="18"/>
  <c r="BN62" i="18"/>
  <c r="BL63" i="18"/>
  <c r="BL62" i="18"/>
  <c r="BN59" i="18"/>
  <c r="BN58" i="18"/>
  <c r="BL59" i="18"/>
  <c r="BL58" i="18"/>
  <c r="BN55" i="18"/>
  <c r="BN54" i="18"/>
  <c r="BL55" i="18"/>
  <c r="BL54" i="18"/>
  <c r="BN51" i="18"/>
  <c r="BN50" i="18"/>
  <c r="BL51" i="18"/>
  <c r="BL50" i="18"/>
  <c r="BN47" i="18"/>
  <c r="BN46" i="18"/>
  <c r="BL47" i="18"/>
  <c r="BL46" i="18"/>
  <c r="BN43" i="18"/>
  <c r="BN42" i="18"/>
  <c r="BL43" i="18"/>
  <c r="BL42" i="18"/>
  <c r="BN39" i="18"/>
  <c r="BN38" i="18"/>
  <c r="BL39" i="18"/>
  <c r="BL38" i="18"/>
  <c r="BN35" i="18"/>
  <c r="BN34" i="18"/>
  <c r="BL35" i="18"/>
  <c r="BL34" i="18"/>
  <c r="BN31" i="18"/>
  <c r="BN30" i="18"/>
  <c r="BL31" i="18"/>
  <c r="BL30" i="18"/>
  <c r="BN27" i="18"/>
  <c r="BN26" i="18"/>
  <c r="BL27" i="18"/>
  <c r="BL26" i="18"/>
  <c r="BN23" i="18"/>
  <c r="BN22" i="18"/>
  <c r="BL23" i="18"/>
  <c r="BL22" i="18"/>
  <c r="BN19" i="18"/>
  <c r="BL19" i="18"/>
  <c r="BN78" i="18"/>
  <c r="BL78" i="18"/>
  <c r="BJ78" i="18"/>
  <c r="BJ75" i="18"/>
  <c r="BJ74" i="18"/>
  <c r="BJ71" i="18"/>
  <c r="BJ70" i="18"/>
  <c r="BJ67" i="18"/>
  <c r="BJ63" i="18"/>
  <c r="BJ62" i="18"/>
  <c r="BJ59" i="18"/>
  <c r="BJ58" i="18"/>
  <c r="BJ55" i="18"/>
  <c r="BJ54" i="18"/>
  <c r="BJ51" i="18"/>
  <c r="BJ50" i="18"/>
  <c r="BJ47" i="18"/>
  <c r="BJ46" i="18"/>
  <c r="BJ43" i="18"/>
  <c r="BJ42" i="18"/>
  <c r="BJ39" i="18"/>
  <c r="BJ38" i="18"/>
  <c r="BJ31" i="18"/>
  <c r="BJ30" i="18"/>
  <c r="BJ27" i="18"/>
  <c r="BJ26" i="18"/>
  <c r="BJ23" i="18"/>
  <c r="BJ22" i="18"/>
  <c r="BJ19" i="18"/>
  <c r="C11" i="12"/>
  <c r="C10" i="12"/>
  <c r="C9" i="12"/>
  <c r="C6" i="12"/>
  <c r="C4" i="12"/>
  <c r="C44" i="12"/>
  <c r="C38" i="12"/>
  <c r="C31" i="12"/>
  <c r="C25" i="12"/>
  <c r="C35" i="12"/>
  <c r="G12" i="2"/>
  <c r="C42" i="12" l="1"/>
  <c r="C41" i="12"/>
  <c r="C39" i="12"/>
  <c r="C40" i="12"/>
  <c r="A32" i="2" l="1"/>
  <c r="A29" i="2"/>
  <c r="D29" i="2" s="1"/>
  <c r="A31" i="2"/>
  <c r="G31" i="2" s="1"/>
  <c r="A30" i="2"/>
  <c r="G30" i="2" s="1"/>
  <c r="A39" i="2"/>
  <c r="H39" i="2" s="1"/>
  <c r="A38" i="2"/>
  <c r="G38" i="2" s="1"/>
  <c r="A35" i="2"/>
  <c r="H35" i="2" s="1"/>
  <c r="A34" i="2"/>
  <c r="G34" i="2" s="1"/>
  <c r="A37" i="2"/>
  <c r="J37" i="2" s="1"/>
  <c r="A33" i="2"/>
  <c r="D33" i="2" s="1"/>
  <c r="A36" i="2"/>
  <c r="D36" i="2" s="1"/>
  <c r="A40" i="2"/>
  <c r="D40" i="2" s="1"/>
  <c r="J12" i="2"/>
  <c r="H40" i="2" l="1"/>
  <c r="D38" i="2"/>
  <c r="D37" i="2"/>
  <c r="J40" i="2"/>
  <c r="I37" i="2"/>
  <c r="I29" i="2"/>
  <c r="I40" i="2"/>
  <c r="G40" i="2"/>
  <c r="G29" i="2"/>
  <c r="H33" i="2"/>
  <c r="H37" i="2"/>
  <c r="H36" i="2"/>
  <c r="I39" i="2"/>
  <c r="D34" i="2"/>
  <c r="G37" i="2"/>
  <c r="J39" i="2"/>
  <c r="G39" i="2"/>
  <c r="G36" i="2"/>
  <c r="D31" i="2"/>
  <c r="H31" i="2"/>
  <c r="I33" i="2"/>
  <c r="J33" i="2"/>
  <c r="J36" i="2"/>
  <c r="G33" i="2"/>
  <c r="J32" i="2"/>
  <c r="G32" i="2"/>
  <c r="D39" i="2"/>
  <c r="I36" i="2"/>
  <c r="H34" i="2"/>
  <c r="I35" i="2"/>
  <c r="J31" i="2"/>
  <c r="I31" i="2"/>
  <c r="D35" i="2"/>
  <c r="G35" i="2"/>
  <c r="J35" i="2"/>
  <c r="I30" i="2"/>
  <c r="J30" i="2"/>
  <c r="H38" i="2"/>
  <c r="H30" i="2"/>
  <c r="J29" i="2"/>
  <c r="J34" i="2"/>
  <c r="I34" i="2"/>
  <c r="H29" i="2"/>
  <c r="D30" i="2"/>
  <c r="J38" i="2"/>
  <c r="I38" i="2"/>
  <c r="H12" i="2"/>
  <c r="H32" i="2" s="1"/>
  <c r="G46" i="2" l="1"/>
  <c r="G54" i="2"/>
  <c r="G55" i="2" s="1"/>
  <c r="G51" i="2" s="1"/>
  <c r="G53" i="2"/>
  <c r="G52" i="2" s="1"/>
  <c r="E401" i="41" l="1"/>
  <c r="E400" i="41"/>
  <c r="E399" i="41"/>
  <c r="E398" i="41"/>
  <c r="E397" i="41"/>
  <c r="E396" i="41"/>
  <c r="E395" i="41"/>
  <c r="E394" i="41"/>
  <c r="E410" i="41"/>
  <c r="E409" i="41"/>
  <c r="E408" i="41"/>
  <c r="E407" i="41"/>
  <c r="E406" i="41"/>
  <c r="E405" i="41"/>
  <c r="E404" i="41"/>
  <c r="E403" i="41"/>
  <c r="E402" i="41"/>
  <c r="E393" i="41"/>
  <c r="E392" i="41"/>
  <c r="E391" i="41"/>
  <c r="E390" i="41"/>
  <c r="E389" i="41"/>
  <c r="E388" i="41"/>
  <c r="E387" i="41"/>
  <c r="E386" i="41"/>
  <c r="E385" i="41"/>
  <c r="E384" i="41"/>
  <c r="E383" i="41"/>
  <c r="E382" i="41"/>
  <c r="E381" i="41"/>
  <c r="E380" i="41"/>
  <c r="E379" i="41"/>
  <c r="E378" i="41"/>
  <c r="E377" i="41"/>
  <c r="E376" i="41"/>
  <c r="E451" i="41"/>
  <c r="E450" i="41"/>
  <c r="E449" i="41"/>
  <c r="E448" i="41"/>
  <c r="E447" i="41"/>
  <c r="E446" i="41"/>
  <c r="E445" i="41"/>
  <c r="E444" i="41"/>
  <c r="E443" i="41"/>
  <c r="E442" i="41"/>
  <c r="E441" i="41"/>
  <c r="E440" i="41"/>
  <c r="E439" i="41"/>
  <c r="E438" i="41"/>
  <c r="E437" i="41"/>
  <c r="E436" i="41"/>
  <c r="E435" i="41"/>
  <c r="E434" i="41"/>
  <c r="E433" i="41"/>
  <c r="E432" i="41"/>
  <c r="E431" i="41"/>
  <c r="E430" i="41"/>
  <c r="E429" i="41"/>
  <c r="E428" i="41"/>
  <c r="E427" i="41"/>
  <c r="E426" i="41"/>
  <c r="E425" i="41"/>
  <c r="E424" i="41"/>
  <c r="E423" i="41"/>
  <c r="E422" i="41"/>
  <c r="E421" i="41"/>
  <c r="E420" i="41"/>
  <c r="E419" i="41"/>
  <c r="E418" i="41"/>
  <c r="E417" i="41"/>
  <c r="E416" i="41"/>
  <c r="E415" i="41"/>
  <c r="E414" i="41"/>
  <c r="E413" i="41"/>
  <c r="E412" i="41"/>
  <c r="E411" i="41"/>
  <c r="E667" i="41"/>
  <c r="E666" i="41"/>
  <c r="E665" i="41"/>
  <c r="E660" i="41"/>
  <c r="E609" i="41"/>
  <c r="E608" i="41"/>
  <c r="E572" i="41"/>
  <c r="E571" i="41"/>
  <c r="E570" i="41"/>
  <c r="E569" i="41"/>
  <c r="E568" i="41"/>
  <c r="E659" i="41"/>
  <c r="E658" i="41"/>
  <c r="E657" i="41"/>
  <c r="E656" i="41"/>
  <c r="E655" i="41"/>
  <c r="E652" i="41"/>
  <c r="E651" i="41"/>
  <c r="E650" i="41"/>
  <c r="E649" i="41"/>
  <c r="E648" i="41"/>
  <c r="E647" i="41"/>
  <c r="E646" i="41"/>
  <c r="E645" i="41"/>
  <c r="E644" i="41"/>
  <c r="E643" i="41"/>
  <c r="E642" i="41"/>
  <c r="E641" i="41"/>
  <c r="E640" i="41"/>
  <c r="E639" i="41"/>
  <c r="E638" i="41"/>
  <c r="E637" i="41"/>
  <c r="E636" i="41"/>
  <c r="E635" i="41"/>
  <c r="E634" i="41"/>
  <c r="E633" i="41"/>
  <c r="E632" i="41"/>
  <c r="E631" i="41"/>
  <c r="E630" i="41"/>
  <c r="E629" i="41"/>
  <c r="E628" i="41"/>
  <c r="E627" i="41"/>
  <c r="E626" i="41"/>
  <c r="E625" i="41"/>
  <c r="E624" i="41"/>
  <c r="E623" i="41"/>
  <c r="E622" i="41"/>
  <c r="E621" i="41"/>
  <c r="E620" i="41"/>
  <c r="E619" i="41"/>
  <c r="E618" i="41"/>
  <c r="E617" i="41"/>
  <c r="E616" i="41"/>
  <c r="E615" i="41"/>
  <c r="E614" i="41"/>
  <c r="E613" i="41"/>
  <c r="E612" i="41"/>
  <c r="E611" i="41"/>
  <c r="E610" i="41"/>
  <c r="E589" i="41"/>
  <c r="E601" i="41"/>
  <c r="E600" i="41"/>
  <c r="E599" i="41"/>
  <c r="E598" i="41"/>
  <c r="E597" i="41"/>
  <c r="E596" i="41"/>
  <c r="E595" i="41"/>
  <c r="E594" i="41"/>
  <c r="E593" i="41"/>
  <c r="E592" i="41"/>
  <c r="E591" i="41"/>
  <c r="E590" i="41"/>
  <c r="E588" i="41"/>
  <c r="E607" i="41"/>
  <c r="E606" i="41"/>
  <c r="E605" i="41"/>
  <c r="E604" i="41"/>
  <c r="E603" i="41"/>
  <c r="E602" i="41"/>
  <c r="E587" i="41"/>
  <c r="E586" i="41"/>
  <c r="E567" i="41"/>
  <c r="E566" i="41"/>
  <c r="E565" i="41"/>
  <c r="E564" i="41"/>
  <c r="E563" i="41"/>
  <c r="E562" i="41"/>
  <c r="E561" i="41"/>
  <c r="E560" i="41"/>
  <c r="E559" i="41"/>
  <c r="E558" i="41"/>
  <c r="E557" i="41"/>
  <c r="E556" i="41"/>
  <c r="E555" i="41"/>
  <c r="E554" i="41"/>
  <c r="E553" i="41"/>
  <c r="E552" i="41"/>
  <c r="E551" i="41"/>
  <c r="E550" i="41"/>
  <c r="E549" i="41"/>
  <c r="E548" i="41"/>
  <c r="E547" i="41"/>
  <c r="E546" i="41"/>
  <c r="E545" i="41"/>
  <c r="E544" i="41"/>
  <c r="E543" i="41"/>
  <c r="E542" i="41"/>
  <c r="E541" i="41"/>
  <c r="E540" i="41"/>
  <c r="E539" i="41"/>
  <c r="E538" i="41"/>
  <c r="E537" i="41"/>
  <c r="E536" i="41"/>
  <c r="E535" i="41"/>
  <c r="E534" i="41"/>
  <c r="E533" i="41"/>
  <c r="E532" i="41"/>
  <c r="E531" i="41"/>
  <c r="E530" i="41"/>
  <c r="E529" i="41"/>
  <c r="E497" i="41"/>
  <c r="E496" i="41"/>
  <c r="E495" i="41"/>
  <c r="E494" i="41"/>
  <c r="E493" i="41"/>
  <c r="E492" i="41"/>
  <c r="E491" i="41"/>
  <c r="E480" i="41"/>
  <c r="E490" i="41"/>
  <c r="E489" i="41"/>
  <c r="E488" i="41"/>
  <c r="E487" i="41"/>
  <c r="E486" i="41"/>
  <c r="E485" i="41"/>
  <c r="E484" i="41"/>
  <c r="E483" i="41"/>
  <c r="E482" i="41"/>
  <c r="E481" i="41"/>
  <c r="E479" i="41"/>
  <c r="E478" i="41"/>
  <c r="E477" i="41"/>
  <c r="E528" i="41"/>
  <c r="E527" i="41"/>
  <c r="E526" i="41"/>
  <c r="E525" i="41"/>
  <c r="E524" i="41"/>
  <c r="E523" i="41"/>
  <c r="E522" i="41"/>
  <c r="E521" i="41"/>
  <c r="E520" i="41"/>
  <c r="E519" i="41"/>
  <c r="E518" i="41"/>
  <c r="E517" i="41"/>
  <c r="E516" i="41"/>
  <c r="E515" i="41"/>
  <c r="E514" i="41"/>
  <c r="E513" i="41"/>
  <c r="E512" i="41"/>
  <c r="E511" i="41"/>
  <c r="E510" i="41"/>
  <c r="E476" i="41"/>
  <c r="E475" i="41"/>
  <c r="E474" i="41"/>
  <c r="E509" i="41"/>
  <c r="E508" i="41"/>
  <c r="E507" i="41"/>
  <c r="E506" i="41"/>
  <c r="E505" i="41"/>
  <c r="E504" i="41"/>
  <c r="E503" i="41"/>
  <c r="E502" i="41"/>
  <c r="E501" i="41"/>
  <c r="E500" i="41"/>
  <c r="E499" i="41"/>
  <c r="E498" i="41"/>
  <c r="E468" i="41"/>
  <c r="E460" i="41"/>
  <c r="E467" i="41"/>
  <c r="E459" i="41"/>
  <c r="E466" i="41"/>
  <c r="E458" i="41"/>
  <c r="E457" i="41"/>
  <c r="E456" i="41"/>
  <c r="E455" i="41"/>
  <c r="E454" i="41"/>
  <c r="E453" i="41"/>
  <c r="E452" i="41"/>
  <c r="E681" i="41"/>
  <c r="E680" i="41"/>
  <c r="E679" i="41"/>
  <c r="E678" i="41"/>
  <c r="E677" i="41"/>
  <c r="E676" i="41"/>
  <c r="E675" i="41"/>
  <c r="E674" i="41"/>
  <c r="E673" i="41"/>
  <c r="E672" i="41"/>
  <c r="E671" i="41"/>
  <c r="E670" i="41"/>
  <c r="E669" i="41"/>
  <c r="E668" i="41"/>
  <c r="E585" i="41"/>
  <c r="E584" i="41"/>
  <c r="E583" i="41"/>
  <c r="E582" i="41"/>
  <c r="E581" i="41"/>
  <c r="E580" i="41"/>
  <c r="E579" i="41"/>
  <c r="E577" i="41"/>
  <c r="E576" i="41"/>
  <c r="E575" i="41"/>
  <c r="E578" i="41"/>
  <c r="E574" i="41"/>
  <c r="E573" i="41"/>
  <c r="E473" i="41"/>
  <c r="E472" i="41"/>
  <c r="E471" i="41"/>
  <c r="E470" i="41"/>
  <c r="E469" i="41"/>
  <c r="E465" i="41"/>
  <c r="E464" i="41"/>
  <c r="E463" i="41"/>
  <c r="E462" i="41"/>
  <c r="E461" i="41"/>
  <c r="B12" i="42" l="1"/>
  <c r="B11" i="42"/>
  <c r="B10" i="42"/>
  <c r="B9" i="42"/>
  <c r="B8" i="42"/>
  <c r="B7" i="42"/>
  <c r="B6" i="42"/>
  <c r="B5" i="42"/>
  <c r="B4" i="42"/>
  <c r="B3" i="42"/>
  <c r="B2" i="42"/>
  <c r="B13" i="42" l="1"/>
  <c r="Y34" i="37" l="1"/>
  <c r="X34" i="37"/>
  <c r="W34" i="37"/>
  <c r="Y33" i="37"/>
  <c r="X33" i="37"/>
  <c r="W33" i="37"/>
  <c r="Y32" i="37"/>
  <c r="X32" i="37"/>
  <c r="W32" i="37"/>
  <c r="Y31" i="37"/>
  <c r="X31" i="37"/>
  <c r="W31" i="37"/>
  <c r="Y30" i="37"/>
  <c r="X30" i="37"/>
  <c r="W30" i="37"/>
  <c r="Y29" i="37"/>
  <c r="X29" i="37"/>
  <c r="W29" i="37"/>
  <c r="Y28" i="37"/>
  <c r="X28" i="37"/>
  <c r="W28" i="37"/>
  <c r="Y27" i="37"/>
  <c r="X27" i="37"/>
  <c r="W27" i="37"/>
  <c r="Y26" i="37"/>
  <c r="X26" i="37"/>
  <c r="W26" i="37"/>
  <c r="Y25" i="37"/>
  <c r="X25" i="37"/>
  <c r="W25" i="37"/>
  <c r="Y24" i="37"/>
  <c r="X24" i="37"/>
  <c r="W24" i="37"/>
  <c r="Y23" i="37"/>
  <c r="X23" i="37"/>
  <c r="W23" i="37"/>
  <c r="Y22" i="37"/>
  <c r="X22" i="37"/>
  <c r="W22" i="37"/>
  <c r="Y21" i="37"/>
  <c r="X21" i="37"/>
  <c r="W21" i="37"/>
  <c r="E16" i="37"/>
  <c r="D16" i="37"/>
  <c r="C16" i="37"/>
  <c r="E15" i="37"/>
  <c r="D15" i="37"/>
  <c r="C15" i="37"/>
  <c r="E14" i="37"/>
  <c r="D14" i="37"/>
  <c r="C14" i="37"/>
  <c r="E13" i="37"/>
  <c r="D13" i="37"/>
  <c r="C13" i="37"/>
  <c r="E12" i="37"/>
  <c r="D12" i="37"/>
  <c r="C12" i="37"/>
  <c r="E11" i="37"/>
  <c r="D11" i="37"/>
  <c r="C11" i="37"/>
  <c r="E10" i="37"/>
  <c r="D10" i="37"/>
  <c r="C10" i="37"/>
  <c r="E9" i="37"/>
  <c r="D9" i="37"/>
  <c r="C9" i="37"/>
  <c r="E8" i="37"/>
  <c r="D8" i="37"/>
  <c r="C8" i="37"/>
  <c r="E7" i="37"/>
  <c r="D7" i="37"/>
  <c r="C7" i="37"/>
  <c r="E6" i="37"/>
  <c r="D6" i="37"/>
  <c r="C6" i="37"/>
  <c r="E5" i="37"/>
  <c r="D5" i="37"/>
  <c r="C5" i="37"/>
  <c r="E4" i="37"/>
  <c r="D4" i="37"/>
  <c r="C4" i="37"/>
  <c r="E3" i="37"/>
  <c r="D3" i="37"/>
  <c r="C3" i="37"/>
  <c r="G4" i="37" l="1"/>
  <c r="H4" i="37"/>
  <c r="I4" i="37"/>
  <c r="G5" i="37"/>
  <c r="H5" i="37"/>
  <c r="I5" i="37"/>
  <c r="G6" i="37"/>
  <c r="H6" i="37"/>
  <c r="I6" i="37"/>
  <c r="G7" i="37"/>
  <c r="H7" i="37"/>
  <c r="I7" i="37"/>
  <c r="G8" i="37"/>
  <c r="H8" i="37"/>
  <c r="I8" i="37"/>
  <c r="G9" i="37"/>
  <c r="H9" i="37"/>
  <c r="I9" i="37"/>
  <c r="G10" i="37"/>
  <c r="H10" i="37"/>
  <c r="I10" i="37"/>
  <c r="G11" i="37"/>
  <c r="H11" i="37"/>
  <c r="I11" i="37"/>
  <c r="G12" i="37"/>
  <c r="H12" i="37"/>
  <c r="I12" i="37"/>
  <c r="G13" i="37"/>
  <c r="H13" i="37"/>
  <c r="I13" i="37"/>
  <c r="G14" i="37"/>
  <c r="H14" i="37"/>
  <c r="I14" i="37"/>
  <c r="G15" i="37"/>
  <c r="H15" i="37"/>
  <c r="I15" i="37"/>
  <c r="G16" i="37"/>
  <c r="H16" i="37"/>
  <c r="I16" i="37"/>
  <c r="I3" i="37"/>
  <c r="H3" i="37"/>
  <c r="G3" i="37"/>
  <c r="Q3" i="37" l="1"/>
  <c r="M3" i="37"/>
  <c r="K3" i="37"/>
  <c r="O3" i="37"/>
  <c r="L3" i="37"/>
  <c r="P3" i="37"/>
  <c r="BC16" i="37"/>
  <c r="AM16" i="37"/>
  <c r="W16" i="37"/>
  <c r="AY16" i="37"/>
  <c r="AI16" i="37"/>
  <c r="S16" i="37"/>
  <c r="AU16" i="37"/>
  <c r="O16" i="37"/>
  <c r="AQ16" i="37"/>
  <c r="K16" i="37"/>
  <c r="AE16" i="37"/>
  <c r="AA16" i="37"/>
  <c r="BC12" i="37"/>
  <c r="AM12" i="37"/>
  <c r="W12" i="37"/>
  <c r="AY12" i="37"/>
  <c r="AI12" i="37"/>
  <c r="S12" i="37"/>
  <c r="AU12" i="37"/>
  <c r="O12" i="37"/>
  <c r="AQ12" i="37"/>
  <c r="K12" i="37"/>
  <c r="AE12" i="37"/>
  <c r="AA12" i="37"/>
  <c r="BC8" i="37"/>
  <c r="AM8" i="37"/>
  <c r="W8" i="37"/>
  <c r="AY8" i="37"/>
  <c r="AI8" i="37"/>
  <c r="S8" i="37"/>
  <c r="AU8" i="37"/>
  <c r="O8" i="37"/>
  <c r="AQ8" i="37"/>
  <c r="K8" i="37"/>
  <c r="AE8" i="37"/>
  <c r="AA8" i="37"/>
  <c r="BC4" i="37"/>
  <c r="AM4" i="37"/>
  <c r="W4" i="37"/>
  <c r="AY4" i="37"/>
  <c r="AI4" i="37"/>
  <c r="S4" i="37"/>
  <c r="AU4" i="37"/>
  <c r="O4" i="37"/>
  <c r="AQ4" i="37"/>
  <c r="K4" i="37"/>
  <c r="AE4" i="37"/>
  <c r="AA4" i="37"/>
  <c r="AQ13" i="37"/>
  <c r="AA13" i="37"/>
  <c r="K13" i="37"/>
  <c r="BC13" i="37"/>
  <c r="AM13" i="37"/>
  <c r="W13" i="37"/>
  <c r="AU13" i="37"/>
  <c r="O13" i="37"/>
  <c r="AI13" i="37"/>
  <c r="AE13" i="37"/>
  <c r="AY13" i="37"/>
  <c r="S13" i="37"/>
  <c r="AQ9" i="37"/>
  <c r="AA9" i="37"/>
  <c r="K9" i="37"/>
  <c r="BC9" i="37"/>
  <c r="AM9" i="37"/>
  <c r="W9" i="37"/>
  <c r="AU9" i="37"/>
  <c r="O9" i="37"/>
  <c r="AI9" i="37"/>
  <c r="AE9" i="37"/>
  <c r="AY9" i="37"/>
  <c r="S9" i="37"/>
  <c r="AQ5" i="37"/>
  <c r="AA5" i="37"/>
  <c r="K5" i="37"/>
  <c r="BC5" i="37"/>
  <c r="AM5" i="37"/>
  <c r="W5" i="37"/>
  <c r="AU5" i="37"/>
  <c r="O5" i="37"/>
  <c r="AI5" i="37"/>
  <c r="AE5" i="37"/>
  <c r="AY5" i="37"/>
  <c r="S5" i="37"/>
  <c r="AU14" i="37"/>
  <c r="AE14" i="37"/>
  <c r="O14" i="37"/>
  <c r="AQ14" i="37"/>
  <c r="AA14" i="37"/>
  <c r="K14" i="37"/>
  <c r="AM14" i="37"/>
  <c r="AI14" i="37"/>
  <c r="BC14" i="37"/>
  <c r="W14" i="37"/>
  <c r="AY14" i="37"/>
  <c r="S14" i="37"/>
  <c r="AU10" i="37"/>
  <c r="AE10" i="37"/>
  <c r="O10" i="37"/>
  <c r="AQ10" i="37"/>
  <c r="AA10" i="37"/>
  <c r="K10" i="37"/>
  <c r="AM10" i="37"/>
  <c r="AI10" i="37"/>
  <c r="BC10" i="37"/>
  <c r="W10" i="37"/>
  <c r="AY10" i="37"/>
  <c r="S10" i="37"/>
  <c r="AU6" i="37"/>
  <c r="AE6" i="37"/>
  <c r="O6" i="37"/>
  <c r="AQ6" i="37"/>
  <c r="AA6" i="37"/>
  <c r="K6" i="37"/>
  <c r="AM6" i="37"/>
  <c r="AI6" i="37"/>
  <c r="BC6" i="37"/>
  <c r="W6" i="37"/>
  <c r="AY6" i="37"/>
  <c r="S6" i="37"/>
  <c r="AY3" i="37"/>
  <c r="AI3" i="37"/>
  <c r="S3" i="37"/>
  <c r="AU3" i="37"/>
  <c r="AE3" i="37"/>
  <c r="AA3" i="37"/>
  <c r="BC3" i="37"/>
  <c r="W3" i="37"/>
  <c r="AQ3" i="37"/>
  <c r="AM3" i="37"/>
  <c r="AY15" i="37"/>
  <c r="AI15" i="37"/>
  <c r="S15" i="37"/>
  <c r="AU15" i="37"/>
  <c r="AE15" i="37"/>
  <c r="O15" i="37"/>
  <c r="AA15" i="37"/>
  <c r="BC15" i="37"/>
  <c r="W15" i="37"/>
  <c r="AQ15" i="37"/>
  <c r="K15" i="37"/>
  <c r="AM15" i="37"/>
  <c r="AY11" i="37"/>
  <c r="AI11" i="37"/>
  <c r="S11" i="37"/>
  <c r="AU11" i="37"/>
  <c r="AE11" i="37"/>
  <c r="O11" i="37"/>
  <c r="AA11" i="37"/>
  <c r="BC11" i="37"/>
  <c r="W11" i="37"/>
  <c r="AQ11" i="37"/>
  <c r="K11" i="37"/>
  <c r="AM11" i="37"/>
  <c r="AY7" i="37"/>
  <c r="AI7" i="37"/>
  <c r="S7" i="37"/>
  <c r="AU7" i="37"/>
  <c r="AE7" i="37"/>
  <c r="O7" i="37"/>
  <c r="AA7" i="37"/>
  <c r="BC7" i="37"/>
  <c r="W7" i="37"/>
  <c r="AQ7" i="37"/>
  <c r="K7" i="37"/>
  <c r="AM7" i="37"/>
  <c r="AZ3" i="37"/>
  <c r="AR3" i="37"/>
  <c r="AJ3" i="37"/>
  <c r="AB3" i="37"/>
  <c r="T3" i="37"/>
  <c r="AV3" i="37"/>
  <c r="BD3" i="37"/>
  <c r="X3" i="37"/>
  <c r="AF3" i="37"/>
  <c r="AN3" i="37"/>
  <c r="BD13" i="37"/>
  <c r="AV13" i="37"/>
  <c r="AN13" i="37"/>
  <c r="AF13" i="37"/>
  <c r="X13" i="37"/>
  <c r="P13" i="37"/>
  <c r="AZ13" i="37"/>
  <c r="T13" i="37"/>
  <c r="AB13" i="37"/>
  <c r="AJ13" i="37"/>
  <c r="AR13" i="37"/>
  <c r="L13" i="37"/>
  <c r="BD9" i="37"/>
  <c r="AV9" i="37"/>
  <c r="AN9" i="37"/>
  <c r="AF9" i="37"/>
  <c r="X9" i="37"/>
  <c r="P9" i="37"/>
  <c r="AZ9" i="37"/>
  <c r="T9" i="37"/>
  <c r="AB9" i="37"/>
  <c r="AJ9" i="37"/>
  <c r="AR9" i="37"/>
  <c r="L9" i="37"/>
  <c r="BD5" i="37"/>
  <c r="AV5" i="37"/>
  <c r="AN5" i="37"/>
  <c r="AF5" i="37"/>
  <c r="X5" i="37"/>
  <c r="P5" i="37"/>
  <c r="AZ5" i="37"/>
  <c r="T5" i="37"/>
  <c r="AB5" i="37"/>
  <c r="AJ5" i="37"/>
  <c r="AR5" i="37"/>
  <c r="L5" i="37"/>
  <c r="AZ14" i="37"/>
  <c r="AR14" i="37"/>
  <c r="AJ14" i="37"/>
  <c r="AB14" i="37"/>
  <c r="T14" i="37"/>
  <c r="L14" i="37"/>
  <c r="AN14" i="37"/>
  <c r="AV14" i="37"/>
  <c r="P14" i="37"/>
  <c r="BD14" i="37"/>
  <c r="X14" i="37"/>
  <c r="AF14" i="37"/>
  <c r="AZ10" i="37"/>
  <c r="AR10" i="37"/>
  <c r="AJ10" i="37"/>
  <c r="AB10" i="37"/>
  <c r="T10" i="37"/>
  <c r="L10" i="37"/>
  <c r="AN10" i="37"/>
  <c r="AV10" i="37"/>
  <c r="P10" i="37"/>
  <c r="BD10" i="37"/>
  <c r="X10" i="37"/>
  <c r="AF10" i="37"/>
  <c r="AZ6" i="37"/>
  <c r="AR6" i="37"/>
  <c r="AJ6" i="37"/>
  <c r="AB6" i="37"/>
  <c r="T6" i="37"/>
  <c r="L6" i="37"/>
  <c r="AN6" i="37"/>
  <c r="AV6" i="37"/>
  <c r="P6" i="37"/>
  <c r="BD6" i="37"/>
  <c r="X6" i="37"/>
  <c r="AF6" i="37"/>
  <c r="AZ15" i="37"/>
  <c r="AR15" i="37"/>
  <c r="AJ15" i="37"/>
  <c r="AB15" i="37"/>
  <c r="T15" i="37"/>
  <c r="L15" i="37"/>
  <c r="AV15" i="37"/>
  <c r="P15" i="37"/>
  <c r="BD15" i="37"/>
  <c r="X15" i="37"/>
  <c r="AF15" i="37"/>
  <c r="AN15" i="37"/>
  <c r="AZ11" i="37"/>
  <c r="AR11" i="37"/>
  <c r="AJ11" i="37"/>
  <c r="AB11" i="37"/>
  <c r="T11" i="37"/>
  <c r="L11" i="37"/>
  <c r="AV11" i="37"/>
  <c r="P11" i="37"/>
  <c r="BD11" i="37"/>
  <c r="X11" i="37"/>
  <c r="AF11" i="37"/>
  <c r="AN11" i="37"/>
  <c r="AZ7" i="37"/>
  <c r="AR7" i="37"/>
  <c r="AJ7" i="37"/>
  <c r="AB7" i="37"/>
  <c r="T7" i="37"/>
  <c r="L7" i="37"/>
  <c r="AV7" i="37"/>
  <c r="P7" i="37"/>
  <c r="BD7" i="37"/>
  <c r="X7" i="37"/>
  <c r="AF7" i="37"/>
  <c r="AN7" i="37"/>
  <c r="BD16" i="37"/>
  <c r="AV16" i="37"/>
  <c r="AN16" i="37"/>
  <c r="AF16" i="37"/>
  <c r="X16" i="37"/>
  <c r="P16" i="37"/>
  <c r="AZ16" i="37"/>
  <c r="AR16" i="37"/>
  <c r="L16" i="37"/>
  <c r="T16" i="37"/>
  <c r="AB16" i="37"/>
  <c r="AJ16" i="37"/>
  <c r="BD12" i="37"/>
  <c r="AV12" i="37"/>
  <c r="AN12" i="37"/>
  <c r="AF12" i="37"/>
  <c r="X12" i="37"/>
  <c r="P12" i="37"/>
  <c r="AR12" i="37"/>
  <c r="L12" i="37"/>
  <c r="AZ12" i="37"/>
  <c r="T12" i="37"/>
  <c r="AB12" i="37"/>
  <c r="AJ12" i="37"/>
  <c r="BD8" i="37"/>
  <c r="AV8" i="37"/>
  <c r="AN8" i="37"/>
  <c r="AF8" i="37"/>
  <c r="X8" i="37"/>
  <c r="P8" i="37"/>
  <c r="AR8" i="37"/>
  <c r="L8" i="37"/>
  <c r="AZ8" i="37"/>
  <c r="T8" i="37"/>
  <c r="AB8" i="37"/>
  <c r="AJ8" i="37"/>
  <c r="BD4" i="37"/>
  <c r="AV4" i="37"/>
  <c r="AN4" i="37"/>
  <c r="AF4" i="37"/>
  <c r="X4" i="37"/>
  <c r="P4" i="37"/>
  <c r="AR4" i="37"/>
  <c r="L4" i="37"/>
  <c r="AZ4" i="37"/>
  <c r="T4" i="37"/>
  <c r="AB4" i="37"/>
  <c r="AJ4" i="37"/>
  <c r="BE14" i="37"/>
  <c r="AO14" i="37"/>
  <c r="Y14" i="37"/>
  <c r="AS14" i="37"/>
  <c r="AC14" i="37"/>
  <c r="M14" i="37"/>
  <c r="AK14" i="37"/>
  <c r="AW14" i="37"/>
  <c r="Q14" i="37"/>
  <c r="BA14" i="37"/>
  <c r="U14" i="37"/>
  <c r="AG14" i="37"/>
  <c r="BE10" i="37"/>
  <c r="AO10" i="37"/>
  <c r="Y10" i="37"/>
  <c r="AS10" i="37"/>
  <c r="AC10" i="37"/>
  <c r="M10" i="37"/>
  <c r="AK10" i="37"/>
  <c r="AW10" i="37"/>
  <c r="Q10" i="37"/>
  <c r="BA10" i="37"/>
  <c r="U10" i="37"/>
  <c r="AG10" i="37"/>
  <c r="BE6" i="37"/>
  <c r="AO6" i="37"/>
  <c r="Y6" i="37"/>
  <c r="AS6" i="37"/>
  <c r="AC6" i="37"/>
  <c r="M6" i="37"/>
  <c r="AK6" i="37"/>
  <c r="AW6" i="37"/>
  <c r="Q6" i="37"/>
  <c r="BA6" i="37"/>
  <c r="U6" i="37"/>
  <c r="AG6" i="37"/>
  <c r="BA3" i="37"/>
  <c r="AK3" i="37"/>
  <c r="U3" i="37"/>
  <c r="BE3" i="37"/>
  <c r="AO3" i="37"/>
  <c r="Y3" i="37"/>
  <c r="AC3" i="37"/>
  <c r="AG3" i="37"/>
  <c r="AS3" i="37"/>
  <c r="AW3" i="37"/>
  <c r="BA15" i="37"/>
  <c r="AK15" i="37"/>
  <c r="U15" i="37"/>
  <c r="BE15" i="37"/>
  <c r="AO15" i="37"/>
  <c r="Y15" i="37"/>
  <c r="AC15" i="37"/>
  <c r="AG15" i="37"/>
  <c r="AS15" i="37"/>
  <c r="M15" i="37"/>
  <c r="AW15" i="37"/>
  <c r="Q15" i="37"/>
  <c r="BA11" i="37"/>
  <c r="AK11" i="37"/>
  <c r="U11" i="37"/>
  <c r="BE11" i="37"/>
  <c r="AO11" i="37"/>
  <c r="Y11" i="37"/>
  <c r="AC11" i="37"/>
  <c r="AG11" i="37"/>
  <c r="AS11" i="37"/>
  <c r="M11" i="37"/>
  <c r="AW11" i="37"/>
  <c r="Q11" i="37"/>
  <c r="BA7" i="37"/>
  <c r="AK7" i="37"/>
  <c r="U7" i="37"/>
  <c r="BE7" i="37"/>
  <c r="AO7" i="37"/>
  <c r="Y7" i="37"/>
  <c r="AC7" i="37"/>
  <c r="AG7" i="37"/>
  <c r="AS7" i="37"/>
  <c r="M7" i="37"/>
  <c r="AW7" i="37"/>
  <c r="Q7" i="37"/>
  <c r="AW16" i="37"/>
  <c r="AG16" i="37"/>
  <c r="Q16" i="37"/>
  <c r="BA16" i="37"/>
  <c r="AK16" i="37"/>
  <c r="U16" i="37"/>
  <c r="BE16" i="37"/>
  <c r="AO16" i="37"/>
  <c r="AS16" i="37"/>
  <c r="M16" i="37"/>
  <c r="Y16" i="37"/>
  <c r="AC16" i="37"/>
  <c r="AW12" i="37"/>
  <c r="AG12" i="37"/>
  <c r="Q12" i="37"/>
  <c r="BA12" i="37"/>
  <c r="AK12" i="37"/>
  <c r="U12" i="37"/>
  <c r="AO12" i="37"/>
  <c r="AS12" i="37"/>
  <c r="M12" i="37"/>
  <c r="BE12" i="37"/>
  <c r="Y12" i="37"/>
  <c r="AC12" i="37"/>
  <c r="AW8" i="37"/>
  <c r="AG8" i="37"/>
  <c r="Q8" i="37"/>
  <c r="BA8" i="37"/>
  <c r="AK8" i="37"/>
  <c r="U8" i="37"/>
  <c r="AO8" i="37"/>
  <c r="AS8" i="37"/>
  <c r="M8" i="37"/>
  <c r="BE8" i="37"/>
  <c r="Y8" i="37"/>
  <c r="AC8" i="37"/>
  <c r="AW4" i="37"/>
  <c r="AG4" i="37"/>
  <c r="Q4" i="37"/>
  <c r="BA4" i="37"/>
  <c r="AK4" i="37"/>
  <c r="U4" i="37"/>
  <c r="AO4" i="37"/>
  <c r="AS4" i="37"/>
  <c r="M4" i="37"/>
  <c r="BE4" i="37"/>
  <c r="Y4" i="37"/>
  <c r="AC4" i="37"/>
  <c r="AS13" i="37"/>
  <c r="AC13" i="37"/>
  <c r="M13" i="37"/>
  <c r="AW13" i="37"/>
  <c r="AG13" i="37"/>
  <c r="Q13" i="37"/>
  <c r="BA13" i="37"/>
  <c r="U13" i="37"/>
  <c r="BE13" i="37"/>
  <c r="Y13" i="37"/>
  <c r="AK13" i="37"/>
  <c r="AO13" i="37"/>
  <c r="AS9" i="37"/>
  <c r="AC9" i="37"/>
  <c r="M9" i="37"/>
  <c r="AW9" i="37"/>
  <c r="AG9" i="37"/>
  <c r="Q9" i="37"/>
  <c r="BA9" i="37"/>
  <c r="U9" i="37"/>
  <c r="BE9" i="37"/>
  <c r="Y9" i="37"/>
  <c r="AK9" i="37"/>
  <c r="AO9" i="37"/>
  <c r="AS5" i="37"/>
  <c r="AC5" i="37"/>
  <c r="M5" i="37"/>
  <c r="AW5" i="37"/>
  <c r="AG5" i="37"/>
  <c r="Q5" i="37"/>
  <c r="BA5" i="37"/>
  <c r="U5" i="37"/>
  <c r="BE5" i="37"/>
  <c r="Y5" i="37"/>
  <c r="AK5" i="37"/>
  <c r="AO5" i="37"/>
  <c r="C20" i="12"/>
  <c r="C21" i="12"/>
  <c r="CD23" i="18"/>
  <c r="CD24" i="18" s="1"/>
  <c r="CD22" i="18"/>
  <c r="CF19" i="18"/>
  <c r="CG23" i="18"/>
  <c r="CG24" i="18" s="1"/>
  <c r="CG22" i="18"/>
  <c r="CI19" i="18"/>
  <c r="Y34" i="36" l="1"/>
  <c r="Y33" i="36"/>
  <c r="Y32" i="36"/>
  <c r="Y31" i="36"/>
  <c r="Y30" i="36"/>
  <c r="Y29" i="36"/>
  <c r="Y28" i="36"/>
  <c r="Y27" i="36"/>
  <c r="Y26" i="36"/>
  <c r="Y25" i="36"/>
  <c r="Y24" i="36"/>
  <c r="Y23" i="36"/>
  <c r="Y22" i="36"/>
  <c r="Y21" i="36"/>
  <c r="X34" i="36"/>
  <c r="X33" i="36"/>
  <c r="X32" i="36"/>
  <c r="X31" i="36"/>
  <c r="X30" i="36"/>
  <c r="X29" i="36"/>
  <c r="X28" i="36"/>
  <c r="X27" i="36"/>
  <c r="X26" i="36"/>
  <c r="X25" i="36"/>
  <c r="X24" i="36"/>
  <c r="X23" i="36"/>
  <c r="X22" i="36"/>
  <c r="X21" i="36"/>
  <c r="W34" i="36"/>
  <c r="W33" i="36"/>
  <c r="W32" i="36"/>
  <c r="W31" i="36"/>
  <c r="W30" i="36"/>
  <c r="W29" i="36"/>
  <c r="W28" i="36"/>
  <c r="W27" i="36"/>
  <c r="W26" i="36"/>
  <c r="W25" i="36"/>
  <c r="W24" i="36"/>
  <c r="W23" i="36"/>
  <c r="W22" i="36"/>
  <c r="W21" i="36"/>
  <c r="P17" i="38"/>
  <c r="I17" i="38"/>
  <c r="Q17" i="38" s="1"/>
  <c r="G17" i="38"/>
  <c r="O17" i="38" s="1"/>
  <c r="P16" i="38"/>
  <c r="I16" i="38"/>
  <c r="Q16" i="38" s="1"/>
  <c r="G16" i="38"/>
  <c r="O16" i="38" s="1"/>
  <c r="Q15" i="38"/>
  <c r="P15" i="38"/>
  <c r="I15" i="38"/>
  <c r="G15" i="38"/>
  <c r="O15" i="38" s="1"/>
  <c r="P14" i="38"/>
  <c r="I14" i="38"/>
  <c r="Q14" i="38" s="1"/>
  <c r="G14" i="38"/>
  <c r="O14" i="38" s="1"/>
  <c r="P13" i="38"/>
  <c r="I13" i="38"/>
  <c r="Q13" i="38" s="1"/>
  <c r="G13" i="38"/>
  <c r="O13" i="38" s="1"/>
  <c r="P12" i="38"/>
  <c r="I12" i="38"/>
  <c r="Q12" i="38" s="1"/>
  <c r="G12" i="38"/>
  <c r="O12" i="38" s="1"/>
  <c r="P11" i="38"/>
  <c r="I11" i="38"/>
  <c r="Q11" i="38" s="1"/>
  <c r="G11" i="38"/>
  <c r="O11" i="38" s="1"/>
  <c r="P10" i="38"/>
  <c r="I10" i="38"/>
  <c r="Q10" i="38" s="1"/>
  <c r="G10" i="38"/>
  <c r="O10" i="38" s="1"/>
  <c r="P9" i="38"/>
  <c r="I9" i="38"/>
  <c r="Q9" i="38" s="1"/>
  <c r="G9" i="38"/>
  <c r="O9" i="38" s="1"/>
  <c r="AG34" i="37"/>
  <c r="AF34" i="37"/>
  <c r="AE34" i="37"/>
  <c r="AC34" i="37"/>
  <c r="AB34" i="37"/>
  <c r="AA34" i="37"/>
  <c r="AG33" i="37"/>
  <c r="AF33" i="37"/>
  <c r="AE33" i="37"/>
  <c r="AC33" i="37"/>
  <c r="AB33" i="37"/>
  <c r="AA33" i="37"/>
  <c r="AG32" i="37"/>
  <c r="AF32" i="37"/>
  <c r="AE32" i="37"/>
  <c r="AC32" i="37"/>
  <c r="AB32" i="37"/>
  <c r="AA32" i="37"/>
  <c r="AG31" i="37"/>
  <c r="AF31" i="37"/>
  <c r="AE31" i="37"/>
  <c r="AC31" i="37"/>
  <c r="AB31" i="37"/>
  <c r="AA31" i="37"/>
  <c r="AG30" i="37"/>
  <c r="AF30" i="37"/>
  <c r="AE30" i="37"/>
  <c r="AC30" i="37"/>
  <c r="AB30" i="37"/>
  <c r="AA30" i="37"/>
  <c r="AG29" i="37"/>
  <c r="AF29" i="37"/>
  <c r="AE29" i="37"/>
  <c r="AC29" i="37"/>
  <c r="AB29" i="37"/>
  <c r="AA29" i="37"/>
  <c r="AG28" i="37"/>
  <c r="AF28" i="37"/>
  <c r="AE28" i="37"/>
  <c r="AC28" i="37"/>
  <c r="AB28" i="37"/>
  <c r="AA28" i="37"/>
  <c r="AG27" i="37"/>
  <c r="AF27" i="37"/>
  <c r="AE27" i="37"/>
  <c r="AC27" i="37"/>
  <c r="AB27" i="37"/>
  <c r="AA27" i="37"/>
  <c r="AG26" i="37"/>
  <c r="AF26" i="37"/>
  <c r="AE26" i="37"/>
  <c r="AC26" i="37"/>
  <c r="AB26" i="37"/>
  <c r="AA26" i="37"/>
  <c r="AG25" i="37"/>
  <c r="AF25" i="37"/>
  <c r="AE25" i="37"/>
  <c r="AG24" i="37"/>
  <c r="AF24" i="37"/>
  <c r="AE24" i="37"/>
  <c r="AG23" i="37"/>
  <c r="AF23" i="37"/>
  <c r="AE23" i="37"/>
  <c r="AG22" i="37"/>
  <c r="AF22" i="37"/>
  <c r="AE22" i="37"/>
  <c r="AG21" i="37"/>
  <c r="AF21" i="37"/>
  <c r="AE21" i="37"/>
  <c r="I45" i="40"/>
  <c r="H45" i="40"/>
  <c r="G45" i="40"/>
  <c r="E45" i="40"/>
  <c r="D45" i="40"/>
  <c r="C45" i="40"/>
  <c r="I44" i="40"/>
  <c r="H44" i="40"/>
  <c r="G44" i="40"/>
  <c r="E44" i="40"/>
  <c r="D44" i="40"/>
  <c r="C44" i="40"/>
  <c r="I43" i="40"/>
  <c r="H43" i="40"/>
  <c r="G43" i="40"/>
  <c r="E43" i="40"/>
  <c r="D43" i="40"/>
  <c r="C43" i="40"/>
  <c r="I42" i="40"/>
  <c r="H42" i="40"/>
  <c r="G42" i="40"/>
  <c r="E42" i="40"/>
  <c r="D42" i="40"/>
  <c r="C42" i="40"/>
  <c r="I41" i="40"/>
  <c r="H41" i="40"/>
  <c r="G41" i="40"/>
  <c r="E41" i="40"/>
  <c r="D41" i="40"/>
  <c r="C41" i="40"/>
  <c r="I40" i="40"/>
  <c r="H40" i="40"/>
  <c r="G40" i="40"/>
  <c r="E40" i="40"/>
  <c r="D40" i="40"/>
  <c r="C40" i="40"/>
  <c r="I39" i="40"/>
  <c r="H39" i="40"/>
  <c r="G39" i="40"/>
  <c r="E39" i="40"/>
  <c r="D39" i="40"/>
  <c r="C39" i="40"/>
  <c r="I38" i="40"/>
  <c r="H38" i="40"/>
  <c r="G38" i="40"/>
  <c r="E38" i="40"/>
  <c r="D38" i="40"/>
  <c r="C38" i="40"/>
  <c r="I37" i="40"/>
  <c r="H37" i="40"/>
  <c r="G37" i="40"/>
  <c r="E37" i="40"/>
  <c r="D37" i="40"/>
  <c r="C37" i="40"/>
  <c r="I36" i="40"/>
  <c r="H36" i="40"/>
  <c r="G36" i="40"/>
  <c r="E36" i="40"/>
  <c r="D36" i="40"/>
  <c r="C36" i="40"/>
  <c r="I35" i="40"/>
  <c r="H35" i="40"/>
  <c r="G35" i="40"/>
  <c r="E35" i="40"/>
  <c r="D35" i="40"/>
  <c r="C35" i="40"/>
  <c r="I34" i="40"/>
  <c r="H34" i="40"/>
  <c r="G34" i="40"/>
  <c r="E34" i="40"/>
  <c r="D34" i="40"/>
  <c r="C34" i="40"/>
  <c r="I33" i="40"/>
  <c r="H33" i="40"/>
  <c r="G33" i="40"/>
  <c r="E33" i="40"/>
  <c r="D33" i="40"/>
  <c r="C33" i="40"/>
  <c r="I32" i="40"/>
  <c r="H32" i="40"/>
  <c r="G32" i="40"/>
  <c r="E32" i="40"/>
  <c r="D32" i="40"/>
  <c r="C32" i="40"/>
  <c r="G4" i="36"/>
  <c r="AA4" i="36" s="1"/>
  <c r="H4" i="36"/>
  <c r="AB4" i="36" s="1"/>
  <c r="I4" i="36"/>
  <c r="AC4" i="36" s="1"/>
  <c r="G5" i="36"/>
  <c r="AA5" i="36" s="1"/>
  <c r="H5" i="36"/>
  <c r="AB5" i="36" s="1"/>
  <c r="I5" i="36"/>
  <c r="AC5" i="36" s="1"/>
  <c r="G6" i="36"/>
  <c r="H6" i="36"/>
  <c r="I6" i="36"/>
  <c r="G7" i="36"/>
  <c r="H7" i="36"/>
  <c r="I7" i="36"/>
  <c r="G8" i="36"/>
  <c r="H8" i="36"/>
  <c r="I8" i="36"/>
  <c r="G9" i="36"/>
  <c r="H9" i="36"/>
  <c r="I9" i="36"/>
  <c r="G10" i="36"/>
  <c r="H10" i="36"/>
  <c r="I10" i="36"/>
  <c r="G11" i="36"/>
  <c r="H11" i="36"/>
  <c r="I11" i="36"/>
  <c r="G12" i="36"/>
  <c r="H12" i="36"/>
  <c r="I12" i="36"/>
  <c r="G13" i="36"/>
  <c r="H13" i="36"/>
  <c r="I13" i="36"/>
  <c r="G14" i="36"/>
  <c r="H14" i="36"/>
  <c r="I14" i="36"/>
  <c r="G15" i="36"/>
  <c r="H15" i="36"/>
  <c r="I15" i="36"/>
  <c r="G16" i="36"/>
  <c r="H16" i="36"/>
  <c r="I16" i="36"/>
  <c r="C4" i="36"/>
  <c r="C19" i="40" s="1"/>
  <c r="D4" i="36"/>
  <c r="D19" i="40" s="1"/>
  <c r="E4" i="36"/>
  <c r="E19" i="40" s="1"/>
  <c r="C5" i="36"/>
  <c r="C20" i="40" s="1"/>
  <c r="D5" i="36"/>
  <c r="D20" i="40" s="1"/>
  <c r="E5" i="36"/>
  <c r="E20" i="40" s="1"/>
  <c r="C6" i="36"/>
  <c r="C21" i="40" s="1"/>
  <c r="D6" i="36"/>
  <c r="D21" i="40" s="1"/>
  <c r="E6" i="36"/>
  <c r="E21" i="40" s="1"/>
  <c r="C7" i="36"/>
  <c r="C22" i="40" s="1"/>
  <c r="D7" i="36"/>
  <c r="D22" i="40" s="1"/>
  <c r="E7" i="36"/>
  <c r="E22" i="40" s="1"/>
  <c r="C8" i="36"/>
  <c r="C23" i="40" s="1"/>
  <c r="D8" i="36"/>
  <c r="D23" i="40" s="1"/>
  <c r="E8" i="36"/>
  <c r="E23" i="40" s="1"/>
  <c r="C9" i="36"/>
  <c r="C24" i="40" s="1"/>
  <c r="D9" i="36"/>
  <c r="D24" i="40" s="1"/>
  <c r="E9" i="36"/>
  <c r="E24" i="40" s="1"/>
  <c r="C10" i="36"/>
  <c r="C25" i="40" s="1"/>
  <c r="D10" i="36"/>
  <c r="D25" i="40" s="1"/>
  <c r="E10" i="36"/>
  <c r="E25" i="40" s="1"/>
  <c r="C11" i="36"/>
  <c r="C26" i="40" s="1"/>
  <c r="D11" i="36"/>
  <c r="D26" i="40" s="1"/>
  <c r="E11" i="36"/>
  <c r="E26" i="40" s="1"/>
  <c r="C12" i="36"/>
  <c r="C27" i="40" s="1"/>
  <c r="D12" i="36"/>
  <c r="D27" i="40" s="1"/>
  <c r="E12" i="36"/>
  <c r="E27" i="40" s="1"/>
  <c r="C13" i="36"/>
  <c r="C28" i="40" s="1"/>
  <c r="D13" i="36"/>
  <c r="D28" i="40" s="1"/>
  <c r="E13" i="36"/>
  <c r="E28" i="40" s="1"/>
  <c r="C14" i="36"/>
  <c r="C29" i="40" s="1"/>
  <c r="D14" i="36"/>
  <c r="D29" i="40" s="1"/>
  <c r="E14" i="36"/>
  <c r="E29" i="40" s="1"/>
  <c r="C15" i="36"/>
  <c r="C30" i="40" s="1"/>
  <c r="D15" i="36"/>
  <c r="D30" i="40" s="1"/>
  <c r="E15" i="36"/>
  <c r="E30" i="40" s="1"/>
  <c r="C16" i="36"/>
  <c r="C31" i="40" s="1"/>
  <c r="D16" i="36"/>
  <c r="D31" i="40" s="1"/>
  <c r="E16" i="36"/>
  <c r="E31" i="40" s="1"/>
  <c r="E18" i="40"/>
  <c r="D18" i="40"/>
  <c r="C18" i="40"/>
  <c r="C4" i="35"/>
  <c r="C4" i="40" s="1"/>
  <c r="D4" i="35"/>
  <c r="D4" i="40" s="1"/>
  <c r="E4" i="35"/>
  <c r="E4" i="40" s="1"/>
  <c r="C5" i="35"/>
  <c r="C5" i="40" s="1"/>
  <c r="D5" i="35"/>
  <c r="D5" i="40" s="1"/>
  <c r="E5" i="35"/>
  <c r="E5" i="40" s="1"/>
  <c r="C6" i="35"/>
  <c r="C6" i="40" s="1"/>
  <c r="D6" i="35"/>
  <c r="D6" i="40" s="1"/>
  <c r="E6" i="35"/>
  <c r="E6" i="40" s="1"/>
  <c r="C7" i="35"/>
  <c r="C7" i="40" s="1"/>
  <c r="D7" i="35"/>
  <c r="D7" i="40" s="1"/>
  <c r="E7" i="35"/>
  <c r="E7" i="40" s="1"/>
  <c r="C8" i="35"/>
  <c r="C8" i="40" s="1"/>
  <c r="D8" i="35"/>
  <c r="D8" i="40" s="1"/>
  <c r="E8" i="35"/>
  <c r="E8" i="40" s="1"/>
  <c r="C9" i="35"/>
  <c r="C9" i="40" s="1"/>
  <c r="D9" i="35"/>
  <c r="D9" i="40" s="1"/>
  <c r="E9" i="35"/>
  <c r="E9" i="40" s="1"/>
  <c r="C10" i="35"/>
  <c r="C10" i="40" s="1"/>
  <c r="D10" i="35"/>
  <c r="D10" i="40" s="1"/>
  <c r="E10" i="35"/>
  <c r="E10" i="40" s="1"/>
  <c r="C11" i="35"/>
  <c r="C11" i="40" s="1"/>
  <c r="D11" i="35"/>
  <c r="D11" i="40" s="1"/>
  <c r="E11" i="35"/>
  <c r="E11" i="40" s="1"/>
  <c r="C12" i="35"/>
  <c r="C12" i="40" s="1"/>
  <c r="D12" i="35"/>
  <c r="D12" i="40" s="1"/>
  <c r="E12" i="35"/>
  <c r="E12" i="40" s="1"/>
  <c r="C13" i="35"/>
  <c r="C13" i="40" s="1"/>
  <c r="D13" i="35"/>
  <c r="D13" i="40" s="1"/>
  <c r="E13" i="35"/>
  <c r="E13" i="40" s="1"/>
  <c r="C14" i="35"/>
  <c r="C14" i="40" s="1"/>
  <c r="D14" i="35"/>
  <c r="D14" i="40" s="1"/>
  <c r="E14" i="35"/>
  <c r="E14" i="40" s="1"/>
  <c r="C15" i="35"/>
  <c r="C15" i="40" s="1"/>
  <c r="D15" i="35"/>
  <c r="D15" i="40" s="1"/>
  <c r="E15" i="35"/>
  <c r="E15" i="40" s="1"/>
  <c r="C16" i="35"/>
  <c r="C16" i="40" s="1"/>
  <c r="D16" i="35"/>
  <c r="D16" i="40" s="1"/>
  <c r="E16" i="35"/>
  <c r="E16" i="40" s="1"/>
  <c r="C17" i="35"/>
  <c r="C17" i="40" s="1"/>
  <c r="D17" i="35"/>
  <c r="D17" i="40" s="1"/>
  <c r="E17" i="35"/>
  <c r="E17" i="40" s="1"/>
  <c r="E3" i="35"/>
  <c r="D3" i="35"/>
  <c r="C3" i="35"/>
  <c r="AI15" i="36" l="1"/>
  <c r="AI30" i="40" s="1"/>
  <c r="AQ15" i="36"/>
  <c r="AQ30" i="40" s="1"/>
  <c r="AQ92" i="40" s="1"/>
  <c r="AM15" i="36"/>
  <c r="AM30" i="40" s="1"/>
  <c r="AJ12" i="36"/>
  <c r="AJ27" i="40" s="1"/>
  <c r="AR12" i="36"/>
  <c r="AR27" i="40" s="1"/>
  <c r="AR83" i="40" s="1"/>
  <c r="AN12" i="36"/>
  <c r="AN27" i="40" s="1"/>
  <c r="AK9" i="36"/>
  <c r="AK24" i="40" s="1"/>
  <c r="AS9" i="36"/>
  <c r="AS24" i="40" s="1"/>
  <c r="AS74" i="40" s="1"/>
  <c r="AO9" i="36"/>
  <c r="AO24" i="40" s="1"/>
  <c r="AI7" i="36"/>
  <c r="AI22" i="40" s="1"/>
  <c r="AM7" i="36"/>
  <c r="AM22" i="40" s="1"/>
  <c r="AQ7" i="36"/>
  <c r="AQ22" i="40" s="1"/>
  <c r="AQ68" i="40" s="1"/>
  <c r="AK5" i="36"/>
  <c r="AK20" i="40" s="1"/>
  <c r="AS5" i="36"/>
  <c r="AS20" i="40" s="1"/>
  <c r="AS62" i="40" s="1"/>
  <c r="AO5" i="36"/>
  <c r="AO20" i="40" s="1"/>
  <c r="AM16" i="36"/>
  <c r="AM31" i="40" s="1"/>
  <c r="AI16" i="36"/>
  <c r="AI31" i="40" s="1"/>
  <c r="AQ16" i="36"/>
  <c r="AQ31" i="40" s="1"/>
  <c r="AQ98" i="40" s="1"/>
  <c r="AN13" i="36"/>
  <c r="AN28" i="40" s="1"/>
  <c r="AJ13" i="36"/>
  <c r="AJ28" i="40" s="1"/>
  <c r="AR13" i="36"/>
  <c r="AR28" i="40" s="1"/>
  <c r="AO10" i="36"/>
  <c r="AO25" i="40" s="1"/>
  <c r="AK10" i="36"/>
  <c r="AK25" i="40" s="1"/>
  <c r="AS10" i="36"/>
  <c r="AS25" i="40" s="1"/>
  <c r="AS77" i="40" s="1"/>
  <c r="AM8" i="36"/>
  <c r="AM23" i="40" s="1"/>
  <c r="AI8" i="36"/>
  <c r="AI23" i="40" s="1"/>
  <c r="AQ8" i="36"/>
  <c r="AQ23" i="40" s="1"/>
  <c r="AQ71" i="40" s="1"/>
  <c r="AM4" i="36"/>
  <c r="AM19" i="40" s="1"/>
  <c r="AI4" i="36"/>
  <c r="AI19" i="40" s="1"/>
  <c r="AQ4" i="36"/>
  <c r="AQ19" i="40" s="1"/>
  <c r="AQ59" i="40" s="1"/>
  <c r="AK16" i="36"/>
  <c r="AK31" i="40" s="1"/>
  <c r="AS16" i="36"/>
  <c r="AS31" i="40" s="1"/>
  <c r="AS98" i="40" s="1"/>
  <c r="AO16" i="36"/>
  <c r="AO31" i="40" s="1"/>
  <c r="AJ15" i="36"/>
  <c r="AJ30" i="40" s="1"/>
  <c r="AR15" i="36"/>
  <c r="AR30" i="40" s="1"/>
  <c r="AR92" i="40" s="1"/>
  <c r="AN15" i="36"/>
  <c r="AN30" i="40" s="1"/>
  <c r="AI14" i="36"/>
  <c r="AI29" i="40" s="1"/>
  <c r="AQ14" i="36"/>
  <c r="AQ29" i="40" s="1"/>
  <c r="AQ95" i="40" s="1"/>
  <c r="AM14" i="36"/>
  <c r="AM29" i="40" s="1"/>
  <c r="AK12" i="36"/>
  <c r="AK27" i="40" s="1"/>
  <c r="AS12" i="36"/>
  <c r="AS27" i="40" s="1"/>
  <c r="AS83" i="40" s="1"/>
  <c r="AO12" i="36"/>
  <c r="AO27" i="40" s="1"/>
  <c r="AJ11" i="36"/>
  <c r="AJ26" i="40" s="1"/>
  <c r="AR11" i="36"/>
  <c r="AR26" i="40" s="1"/>
  <c r="AR80" i="40" s="1"/>
  <c r="AN11" i="36"/>
  <c r="AN26" i="40" s="1"/>
  <c r="AI10" i="36"/>
  <c r="AI25" i="40" s="1"/>
  <c r="AQ10" i="36"/>
  <c r="AQ25" i="40" s="1"/>
  <c r="AQ77" i="40" s="1"/>
  <c r="AM10" i="36"/>
  <c r="AM25" i="40" s="1"/>
  <c r="AK8" i="36"/>
  <c r="AK23" i="40" s="1"/>
  <c r="AS8" i="36"/>
  <c r="AS23" i="40" s="1"/>
  <c r="AS71" i="40" s="1"/>
  <c r="AO8" i="36"/>
  <c r="AO23" i="40" s="1"/>
  <c r="AJ7" i="36"/>
  <c r="AJ22" i="40" s="1"/>
  <c r="AR7" i="36"/>
  <c r="AR22" i="40" s="1"/>
  <c r="AR68" i="40" s="1"/>
  <c r="AN7" i="36"/>
  <c r="AN22" i="40" s="1"/>
  <c r="AI6" i="36"/>
  <c r="AI21" i="40" s="1"/>
  <c r="AQ6" i="36"/>
  <c r="AQ21" i="40" s="1"/>
  <c r="AQ65" i="40" s="1"/>
  <c r="AM6" i="36"/>
  <c r="AM21" i="40" s="1"/>
  <c r="AK4" i="36"/>
  <c r="AK19" i="40" s="1"/>
  <c r="AS4" i="36"/>
  <c r="AS19" i="40" s="1"/>
  <c r="AS59" i="40" s="1"/>
  <c r="AO4" i="36"/>
  <c r="AO19" i="40" s="1"/>
  <c r="AJ16" i="36"/>
  <c r="AJ31" i="40" s="1"/>
  <c r="AR16" i="36"/>
  <c r="AR31" i="40" s="1"/>
  <c r="AR98" i="40" s="1"/>
  <c r="AN16" i="36"/>
  <c r="AN31" i="40" s="1"/>
  <c r="AK13" i="36"/>
  <c r="AK28" i="40" s="1"/>
  <c r="AS13" i="36"/>
  <c r="AS28" i="40" s="1"/>
  <c r="AO13" i="36"/>
  <c r="AO28" i="40" s="1"/>
  <c r="AI11" i="36"/>
  <c r="AI26" i="40" s="1"/>
  <c r="AQ11" i="36"/>
  <c r="AQ26" i="40" s="1"/>
  <c r="AQ80" i="40" s="1"/>
  <c r="AM11" i="36"/>
  <c r="AM26" i="40" s="1"/>
  <c r="AJ8" i="36"/>
  <c r="AJ23" i="40" s="1"/>
  <c r="AR8" i="36"/>
  <c r="AR23" i="40" s="1"/>
  <c r="AR71" i="40" s="1"/>
  <c r="AN8" i="36"/>
  <c r="AN23" i="40" s="1"/>
  <c r="AJ4" i="36"/>
  <c r="AJ19" i="40" s="1"/>
  <c r="AN4" i="36"/>
  <c r="AN19" i="40" s="1"/>
  <c r="AR4" i="36"/>
  <c r="AR19" i="40" s="1"/>
  <c r="AR59" i="40" s="1"/>
  <c r="AO14" i="36"/>
  <c r="AO29" i="40" s="1"/>
  <c r="AK14" i="36"/>
  <c r="AK29" i="40" s="1"/>
  <c r="AS14" i="36"/>
  <c r="AS29" i="40" s="1"/>
  <c r="AS95" i="40" s="1"/>
  <c r="AM12" i="36"/>
  <c r="AM27" i="40" s="1"/>
  <c r="AI12" i="36"/>
  <c r="AI27" i="40" s="1"/>
  <c r="AQ12" i="36"/>
  <c r="AQ27" i="40" s="1"/>
  <c r="AQ83" i="40" s="1"/>
  <c r="AN9" i="36"/>
  <c r="AN24" i="40" s="1"/>
  <c r="AJ9" i="36"/>
  <c r="AJ24" i="40" s="1"/>
  <c r="AR9" i="36"/>
  <c r="AR24" i="40" s="1"/>
  <c r="AR74" i="40" s="1"/>
  <c r="AO6" i="36"/>
  <c r="AO21" i="40" s="1"/>
  <c r="AK6" i="36"/>
  <c r="AK21" i="40" s="1"/>
  <c r="AS6" i="36"/>
  <c r="AS21" i="40" s="1"/>
  <c r="AS65" i="40" s="1"/>
  <c r="AN5" i="36"/>
  <c r="AN20" i="40" s="1"/>
  <c r="AJ5" i="36"/>
  <c r="AJ20" i="40" s="1"/>
  <c r="AR5" i="36"/>
  <c r="AR20" i="40" s="1"/>
  <c r="AR62" i="40" s="1"/>
  <c r="AS15" i="36"/>
  <c r="AS30" i="40" s="1"/>
  <c r="AS92" i="40" s="1"/>
  <c r="AO15" i="36"/>
  <c r="AO30" i="40" s="1"/>
  <c r="AK15" i="36"/>
  <c r="AK30" i="40" s="1"/>
  <c r="AR14" i="36"/>
  <c r="AR29" i="40" s="1"/>
  <c r="AR95" i="40" s="1"/>
  <c r="AN14" i="36"/>
  <c r="AN29" i="40" s="1"/>
  <c r="AJ14" i="36"/>
  <c r="AJ29" i="40" s="1"/>
  <c r="AQ13" i="36"/>
  <c r="AQ28" i="40" s="1"/>
  <c r="AM13" i="36"/>
  <c r="AM28" i="40" s="1"/>
  <c r="AI13" i="36"/>
  <c r="AI28" i="40" s="1"/>
  <c r="AS11" i="36"/>
  <c r="AS26" i="40" s="1"/>
  <c r="AS80" i="40" s="1"/>
  <c r="AO11" i="36"/>
  <c r="AO26" i="40" s="1"/>
  <c r="AK11" i="36"/>
  <c r="AK26" i="40" s="1"/>
  <c r="AR10" i="36"/>
  <c r="AR25" i="40" s="1"/>
  <c r="AR77" i="40" s="1"/>
  <c r="AN10" i="36"/>
  <c r="AN25" i="40" s="1"/>
  <c r="AJ10" i="36"/>
  <c r="AJ25" i="40" s="1"/>
  <c r="AQ9" i="36"/>
  <c r="AQ24" i="40" s="1"/>
  <c r="AQ74" i="40" s="1"/>
  <c r="AM9" i="36"/>
  <c r="AM24" i="40" s="1"/>
  <c r="AI9" i="36"/>
  <c r="AI24" i="40" s="1"/>
  <c r="AS7" i="36"/>
  <c r="AS22" i="40" s="1"/>
  <c r="AS68" i="40" s="1"/>
  <c r="AO7" i="36"/>
  <c r="AO22" i="40" s="1"/>
  <c r="AK7" i="36"/>
  <c r="AK22" i="40" s="1"/>
  <c r="AR6" i="36"/>
  <c r="AR21" i="40" s="1"/>
  <c r="AR65" i="40" s="1"/>
  <c r="AN6" i="36"/>
  <c r="AN21" i="40" s="1"/>
  <c r="AJ6" i="36"/>
  <c r="AJ21" i="40" s="1"/>
  <c r="AQ5" i="36"/>
  <c r="AQ20" i="40" s="1"/>
  <c r="AQ62" i="40" s="1"/>
  <c r="AM5" i="36"/>
  <c r="AM20" i="40" s="1"/>
  <c r="AI5" i="36"/>
  <c r="AI20" i="40" s="1"/>
  <c r="M18" i="40"/>
  <c r="Q18" i="40"/>
  <c r="M15" i="36"/>
  <c r="M30" i="40" s="1"/>
  <c r="Q15" i="36"/>
  <c r="Q30" i="40" s="1"/>
  <c r="P14" i="36"/>
  <c r="P29" i="40" s="1"/>
  <c r="L14" i="36"/>
  <c r="L29" i="40" s="1"/>
  <c r="K13" i="36"/>
  <c r="K28" i="40" s="1"/>
  <c r="O13" i="36"/>
  <c r="O28" i="40" s="1"/>
  <c r="M11" i="36"/>
  <c r="M26" i="40" s="1"/>
  <c r="Q11" i="36"/>
  <c r="Q26" i="40" s="1"/>
  <c r="P10" i="36"/>
  <c r="P25" i="40" s="1"/>
  <c r="L10" i="36"/>
  <c r="L25" i="40" s="1"/>
  <c r="K9" i="36"/>
  <c r="K24" i="40" s="1"/>
  <c r="O9" i="36"/>
  <c r="O24" i="40" s="1"/>
  <c r="M7" i="36"/>
  <c r="M22" i="40" s="1"/>
  <c r="Q7" i="36"/>
  <c r="Q22" i="40" s="1"/>
  <c r="P6" i="36"/>
  <c r="P21" i="40" s="1"/>
  <c r="L6" i="36"/>
  <c r="L21" i="40" s="1"/>
  <c r="K5" i="36"/>
  <c r="K20" i="40" s="1"/>
  <c r="O5" i="36"/>
  <c r="O20" i="40" s="1"/>
  <c r="M16" i="36"/>
  <c r="M31" i="40" s="1"/>
  <c r="Q16" i="36"/>
  <c r="Q31" i="40" s="1"/>
  <c r="L15" i="36"/>
  <c r="L30" i="40" s="1"/>
  <c r="P15" i="36"/>
  <c r="P30" i="40" s="1"/>
  <c r="K14" i="36"/>
  <c r="K29" i="40" s="1"/>
  <c r="O14" i="36"/>
  <c r="O29" i="40" s="1"/>
  <c r="M12" i="36"/>
  <c r="M27" i="40" s="1"/>
  <c r="Q12" i="36"/>
  <c r="Q27" i="40" s="1"/>
  <c r="L11" i="36"/>
  <c r="L26" i="40" s="1"/>
  <c r="P11" i="36"/>
  <c r="P26" i="40" s="1"/>
  <c r="K10" i="36"/>
  <c r="K25" i="40" s="1"/>
  <c r="O10" i="36"/>
  <c r="O25" i="40" s="1"/>
  <c r="M8" i="36"/>
  <c r="M23" i="40" s="1"/>
  <c r="Q8" i="36"/>
  <c r="Q23" i="40" s="1"/>
  <c r="L7" i="36"/>
  <c r="L22" i="40" s="1"/>
  <c r="P7" i="36"/>
  <c r="P22" i="40" s="1"/>
  <c r="K6" i="36"/>
  <c r="K21" i="40" s="1"/>
  <c r="O6" i="36"/>
  <c r="O21" i="40" s="1"/>
  <c r="M4" i="36"/>
  <c r="M19" i="40" s="1"/>
  <c r="Q4" i="36"/>
  <c r="Q19" i="40" s="1"/>
  <c r="AM18" i="40"/>
  <c r="K18" i="40"/>
  <c r="O18" i="40"/>
  <c r="P16" i="36"/>
  <c r="P31" i="40" s="1"/>
  <c r="L16" i="36"/>
  <c r="L31" i="40" s="1"/>
  <c r="K15" i="36"/>
  <c r="K30" i="40" s="1"/>
  <c r="O15" i="36"/>
  <c r="O30" i="40" s="1"/>
  <c r="M13" i="36"/>
  <c r="M28" i="40" s="1"/>
  <c r="Q13" i="36"/>
  <c r="Q28" i="40" s="1"/>
  <c r="P12" i="36"/>
  <c r="P27" i="40" s="1"/>
  <c r="L12" i="36"/>
  <c r="L27" i="40" s="1"/>
  <c r="K11" i="36"/>
  <c r="K26" i="40" s="1"/>
  <c r="O11" i="36"/>
  <c r="O26" i="40" s="1"/>
  <c r="M9" i="36"/>
  <c r="M24" i="40" s="1"/>
  <c r="Q9" i="36"/>
  <c r="Q24" i="40" s="1"/>
  <c r="P8" i="36"/>
  <c r="P23" i="40" s="1"/>
  <c r="L8" i="36"/>
  <c r="L23" i="40" s="1"/>
  <c r="K7" i="36"/>
  <c r="K22" i="40" s="1"/>
  <c r="O7" i="36"/>
  <c r="O22" i="40" s="1"/>
  <c r="M5" i="36"/>
  <c r="M20" i="40" s="1"/>
  <c r="Q5" i="36"/>
  <c r="Q20" i="40" s="1"/>
  <c r="P4" i="36"/>
  <c r="P19" i="40" s="1"/>
  <c r="L4" i="36"/>
  <c r="L19" i="40" s="1"/>
  <c r="AN18" i="40"/>
  <c r="L18" i="40"/>
  <c r="P18" i="40"/>
  <c r="K16" i="36"/>
  <c r="K31" i="40" s="1"/>
  <c r="O16" i="36"/>
  <c r="O31" i="40" s="1"/>
  <c r="M14" i="36"/>
  <c r="M29" i="40" s="1"/>
  <c r="Q14" i="36"/>
  <c r="Q29" i="40" s="1"/>
  <c r="L13" i="36"/>
  <c r="L28" i="40" s="1"/>
  <c r="P13" i="36"/>
  <c r="P28" i="40" s="1"/>
  <c r="K12" i="36"/>
  <c r="K27" i="40" s="1"/>
  <c r="O12" i="36"/>
  <c r="O27" i="40" s="1"/>
  <c r="M10" i="36"/>
  <c r="M25" i="40" s="1"/>
  <c r="Q10" i="36"/>
  <c r="Q25" i="40" s="1"/>
  <c r="L9" i="36"/>
  <c r="L24" i="40" s="1"/>
  <c r="P9" i="36"/>
  <c r="P24" i="40" s="1"/>
  <c r="K8" i="36"/>
  <c r="K23" i="40" s="1"/>
  <c r="O8" i="36"/>
  <c r="O23" i="40" s="1"/>
  <c r="M6" i="36"/>
  <c r="M21" i="40" s="1"/>
  <c r="Q6" i="36"/>
  <c r="Q21" i="40" s="1"/>
  <c r="L5" i="36"/>
  <c r="L20" i="40" s="1"/>
  <c r="P5" i="36"/>
  <c r="P20" i="40" s="1"/>
  <c r="K4" i="36"/>
  <c r="K19" i="40" s="1"/>
  <c r="O4" i="36"/>
  <c r="O19" i="40" s="1"/>
  <c r="I31" i="40"/>
  <c r="BE16" i="36"/>
  <c r="BE31" i="40" s="1"/>
  <c r="AW16" i="36"/>
  <c r="AW31" i="40" s="1"/>
  <c r="AG16" i="36"/>
  <c r="AG31" i="40" s="1"/>
  <c r="AC16" i="36"/>
  <c r="AC31" i="40" s="1"/>
  <c r="AC83" i="40" s="1"/>
  <c r="Y16" i="36"/>
  <c r="Y31" i="40" s="1"/>
  <c r="U16" i="36"/>
  <c r="U31" i="40" s="1"/>
  <c r="U98" i="40" s="1"/>
  <c r="BA16" i="36"/>
  <c r="BA31" i="40" s="1"/>
  <c r="H30" i="40"/>
  <c r="BD15" i="36"/>
  <c r="BD30" i="40" s="1"/>
  <c r="AV15" i="36"/>
  <c r="AV30" i="40" s="1"/>
  <c r="AF15" i="36"/>
  <c r="AF30" i="40" s="1"/>
  <c r="AB15" i="36"/>
  <c r="AB30" i="40" s="1"/>
  <c r="AB82" i="40" s="1"/>
  <c r="X15" i="36"/>
  <c r="X30" i="40" s="1"/>
  <c r="AZ15" i="36"/>
  <c r="AZ30" i="40" s="1"/>
  <c r="T15" i="36"/>
  <c r="T30" i="40" s="1"/>
  <c r="T92" i="40" s="1"/>
  <c r="G29" i="40"/>
  <c r="BC14" i="36"/>
  <c r="BC29" i="40" s="1"/>
  <c r="AU14" i="36"/>
  <c r="AU29" i="40" s="1"/>
  <c r="AE14" i="36"/>
  <c r="AE29" i="40" s="1"/>
  <c r="AA14" i="36"/>
  <c r="AA29" i="40" s="1"/>
  <c r="AA81" i="40" s="1"/>
  <c r="W14" i="36"/>
  <c r="W29" i="40" s="1"/>
  <c r="AY14" i="36"/>
  <c r="AY29" i="40" s="1"/>
  <c r="S14" i="36"/>
  <c r="S29" i="40" s="1"/>
  <c r="S95" i="40" s="1"/>
  <c r="I27" i="40"/>
  <c r="BE12" i="36"/>
  <c r="BE27" i="40" s="1"/>
  <c r="AW12" i="36"/>
  <c r="AW27" i="40" s="1"/>
  <c r="AG12" i="36"/>
  <c r="AG27" i="40" s="1"/>
  <c r="AC12" i="36"/>
  <c r="AC27" i="40" s="1"/>
  <c r="AC79" i="40" s="1"/>
  <c r="BA12" i="36"/>
  <c r="BA27" i="40" s="1"/>
  <c r="Y12" i="36"/>
  <c r="Y27" i="40" s="1"/>
  <c r="U12" i="36"/>
  <c r="U27" i="40" s="1"/>
  <c r="U83" i="40" s="1"/>
  <c r="H26" i="40"/>
  <c r="BD11" i="36"/>
  <c r="BD26" i="40" s="1"/>
  <c r="AV11" i="36"/>
  <c r="AV26" i="40" s="1"/>
  <c r="AF11" i="36"/>
  <c r="AF26" i="40" s="1"/>
  <c r="AB11" i="36"/>
  <c r="AB26" i="40" s="1"/>
  <c r="AB78" i="40" s="1"/>
  <c r="X11" i="36"/>
  <c r="X26" i="40" s="1"/>
  <c r="T11" i="36"/>
  <c r="T26" i="40" s="1"/>
  <c r="T80" i="40" s="1"/>
  <c r="AZ11" i="36"/>
  <c r="AZ26" i="40" s="1"/>
  <c r="G25" i="40"/>
  <c r="BC10" i="36"/>
  <c r="BC25" i="40" s="1"/>
  <c r="AU10" i="36"/>
  <c r="AU25" i="40" s="1"/>
  <c r="AE10" i="36"/>
  <c r="AE25" i="40" s="1"/>
  <c r="AA10" i="36"/>
  <c r="AA25" i="40" s="1"/>
  <c r="AA77" i="40" s="1"/>
  <c r="W10" i="36"/>
  <c r="W25" i="40" s="1"/>
  <c r="S10" i="36"/>
  <c r="S25" i="40" s="1"/>
  <c r="S77" i="40" s="1"/>
  <c r="AY10" i="36"/>
  <c r="AY25" i="40" s="1"/>
  <c r="I23" i="40"/>
  <c r="BE8" i="36"/>
  <c r="BE23" i="40" s="1"/>
  <c r="AW8" i="36"/>
  <c r="AW23" i="40" s="1"/>
  <c r="AG8" i="36"/>
  <c r="AG23" i="40" s="1"/>
  <c r="AC8" i="36"/>
  <c r="AC23" i="40" s="1"/>
  <c r="AC75" i="40" s="1"/>
  <c r="Y8" i="36"/>
  <c r="Y23" i="40" s="1"/>
  <c r="BA8" i="36"/>
  <c r="BA23" i="40" s="1"/>
  <c r="U8" i="36"/>
  <c r="U23" i="40" s="1"/>
  <c r="U71" i="40" s="1"/>
  <c r="H22" i="40"/>
  <c r="BD7" i="36"/>
  <c r="BD22" i="40" s="1"/>
  <c r="AV7" i="36"/>
  <c r="AV22" i="40" s="1"/>
  <c r="AF7" i="36"/>
  <c r="AF22" i="40" s="1"/>
  <c r="AB7" i="36"/>
  <c r="AB22" i="40" s="1"/>
  <c r="AB74" i="40" s="1"/>
  <c r="AZ7" i="36"/>
  <c r="AZ22" i="40" s="1"/>
  <c r="X7" i="36"/>
  <c r="X22" i="40" s="1"/>
  <c r="T7" i="36"/>
  <c r="T22" i="40" s="1"/>
  <c r="T68" i="40" s="1"/>
  <c r="G21" i="40"/>
  <c r="BC6" i="36"/>
  <c r="BC21" i="40" s="1"/>
  <c r="AU6" i="36"/>
  <c r="AU21" i="40" s="1"/>
  <c r="AE6" i="36"/>
  <c r="AE21" i="40" s="1"/>
  <c r="AA6" i="36"/>
  <c r="AA21" i="40" s="1"/>
  <c r="AA73" i="40" s="1"/>
  <c r="W6" i="36"/>
  <c r="W21" i="40" s="1"/>
  <c r="S6" i="36"/>
  <c r="S21" i="40" s="1"/>
  <c r="S65" i="40" s="1"/>
  <c r="AY6" i="36"/>
  <c r="AY21" i="40" s="1"/>
  <c r="I19" i="40"/>
  <c r="BE4" i="36"/>
  <c r="BE19" i="40" s="1"/>
  <c r="AW4" i="36"/>
  <c r="AW19" i="40" s="1"/>
  <c r="AG4" i="36"/>
  <c r="AG19" i="40" s="1"/>
  <c r="AC19" i="40"/>
  <c r="AC71" i="40" s="1"/>
  <c r="Y4" i="36"/>
  <c r="Y19" i="40" s="1"/>
  <c r="BA4" i="36"/>
  <c r="BA19" i="40" s="1"/>
  <c r="U4" i="36"/>
  <c r="U19" i="40" s="1"/>
  <c r="U59" i="40" s="1"/>
  <c r="G18" i="40"/>
  <c r="AI18" i="40"/>
  <c r="AU18" i="40"/>
  <c r="AQ18" i="40"/>
  <c r="AQ56" i="40" s="1"/>
  <c r="AA18" i="40"/>
  <c r="AA70" i="40" s="1"/>
  <c r="AE18" i="40"/>
  <c r="BC18" i="40"/>
  <c r="AY18" i="40"/>
  <c r="S18" i="40"/>
  <c r="W18" i="40"/>
  <c r="H31" i="40"/>
  <c r="BD16" i="36"/>
  <c r="BD31" i="40" s="1"/>
  <c r="AZ16" i="36"/>
  <c r="AZ31" i="40" s="1"/>
  <c r="AB16" i="36"/>
  <c r="AB31" i="40" s="1"/>
  <c r="AB83" i="40" s="1"/>
  <c r="T16" i="36"/>
  <c r="T31" i="40" s="1"/>
  <c r="T98" i="40" s="1"/>
  <c r="AF16" i="36"/>
  <c r="AF31" i="40" s="1"/>
  <c r="X16" i="36"/>
  <c r="X31" i="40" s="1"/>
  <c r="AV16" i="36"/>
  <c r="AV31" i="40" s="1"/>
  <c r="G30" i="40"/>
  <c r="AE15" i="36"/>
  <c r="AE30" i="40" s="1"/>
  <c r="S15" i="36"/>
  <c r="S30" i="40" s="1"/>
  <c r="S92" i="40" s="1"/>
  <c r="AA15" i="36"/>
  <c r="AA30" i="40" s="1"/>
  <c r="AA82" i="40" s="1"/>
  <c r="AU15" i="36"/>
  <c r="AU30" i="40" s="1"/>
  <c r="BC15" i="36"/>
  <c r="BC30" i="40" s="1"/>
  <c r="AY15" i="36"/>
  <c r="AY30" i="40" s="1"/>
  <c r="W15" i="36"/>
  <c r="W30" i="40" s="1"/>
  <c r="I28" i="40"/>
  <c r="U13" i="36"/>
  <c r="U28" i="40" s="1"/>
  <c r="AW13" i="36"/>
  <c r="AW28" i="40" s="1"/>
  <c r="AC13" i="36"/>
  <c r="AC28" i="40" s="1"/>
  <c r="AC80" i="40" s="1"/>
  <c r="AG13" i="36"/>
  <c r="AG28" i="40" s="1"/>
  <c r="BE13" i="36"/>
  <c r="BE28" i="40" s="1"/>
  <c r="BA13" i="36"/>
  <c r="BA28" i="40" s="1"/>
  <c r="Y13" i="36"/>
  <c r="Y28" i="40" s="1"/>
  <c r="H27" i="40"/>
  <c r="AV12" i="36"/>
  <c r="AV27" i="40" s="1"/>
  <c r="T12" i="36"/>
  <c r="T27" i="40" s="1"/>
  <c r="T83" i="40" s="1"/>
  <c r="BD12" i="36"/>
  <c r="BD27" i="40" s="1"/>
  <c r="AZ12" i="36"/>
  <c r="AZ27" i="40" s="1"/>
  <c r="X12" i="36"/>
  <c r="X27" i="40" s="1"/>
  <c r="AF12" i="36"/>
  <c r="AF27" i="40" s="1"/>
  <c r="AB12" i="36"/>
  <c r="AB27" i="40" s="1"/>
  <c r="AB79" i="40" s="1"/>
  <c r="G26" i="40"/>
  <c r="BC11" i="36"/>
  <c r="BC26" i="40" s="1"/>
  <c r="AY11" i="36"/>
  <c r="AY26" i="40" s="1"/>
  <c r="AA11" i="36"/>
  <c r="AA26" i="40" s="1"/>
  <c r="AA78" i="40" s="1"/>
  <c r="S11" i="36"/>
  <c r="S26" i="40" s="1"/>
  <c r="S80" i="40" s="1"/>
  <c r="AE11" i="36"/>
  <c r="AE26" i="40" s="1"/>
  <c r="AU11" i="36"/>
  <c r="AU26" i="40" s="1"/>
  <c r="W11" i="36"/>
  <c r="W26" i="40" s="1"/>
  <c r="I24" i="40"/>
  <c r="AG9" i="36"/>
  <c r="AG24" i="40" s="1"/>
  <c r="U9" i="36"/>
  <c r="U24" i="40" s="1"/>
  <c r="U74" i="40" s="1"/>
  <c r="AC9" i="36"/>
  <c r="AC24" i="40" s="1"/>
  <c r="AC76" i="40" s="1"/>
  <c r="AW9" i="36"/>
  <c r="AW24" i="40" s="1"/>
  <c r="Y9" i="36"/>
  <c r="Y24" i="40" s="1"/>
  <c r="BE9" i="36"/>
  <c r="BE24" i="40" s="1"/>
  <c r="BA9" i="36"/>
  <c r="BA24" i="40" s="1"/>
  <c r="H23" i="40"/>
  <c r="T8" i="36"/>
  <c r="T23" i="40" s="1"/>
  <c r="T71" i="40" s="1"/>
  <c r="AV8" i="36"/>
  <c r="AV23" i="40" s="1"/>
  <c r="BD8" i="36"/>
  <c r="BD23" i="40" s="1"/>
  <c r="AZ8" i="36"/>
  <c r="AZ23" i="40" s="1"/>
  <c r="AB8" i="36"/>
  <c r="AB23" i="40" s="1"/>
  <c r="AB75" i="40" s="1"/>
  <c r="AF8" i="36"/>
  <c r="AF23" i="40" s="1"/>
  <c r="X8" i="36"/>
  <c r="X23" i="40" s="1"/>
  <c r="G22" i="40"/>
  <c r="AU7" i="36"/>
  <c r="AU22" i="40" s="1"/>
  <c r="S7" i="36"/>
  <c r="S22" i="40" s="1"/>
  <c r="S68" i="40" s="1"/>
  <c r="BC7" i="36"/>
  <c r="BC22" i="40" s="1"/>
  <c r="AY7" i="36"/>
  <c r="AY22" i="40" s="1"/>
  <c r="AE7" i="36"/>
  <c r="AE22" i="40" s="1"/>
  <c r="AA7" i="36"/>
  <c r="AA22" i="40" s="1"/>
  <c r="AA74" i="40" s="1"/>
  <c r="W7" i="36"/>
  <c r="W22" i="40" s="1"/>
  <c r="I20" i="40"/>
  <c r="BE5" i="36"/>
  <c r="BE20" i="40" s="1"/>
  <c r="BA5" i="36"/>
  <c r="BA20" i="40" s="1"/>
  <c r="AC20" i="40"/>
  <c r="AC72" i="40" s="1"/>
  <c r="U5" i="36"/>
  <c r="U20" i="40" s="1"/>
  <c r="U62" i="40" s="1"/>
  <c r="AG5" i="36"/>
  <c r="AG20" i="40" s="1"/>
  <c r="AW5" i="36"/>
  <c r="AW20" i="40" s="1"/>
  <c r="Y5" i="36"/>
  <c r="Y20" i="40" s="1"/>
  <c r="H19" i="40"/>
  <c r="X4" i="36"/>
  <c r="X19" i="40" s="1"/>
  <c r="AF4" i="36"/>
  <c r="AF19" i="40" s="1"/>
  <c r="T4" i="36"/>
  <c r="T19" i="40" s="1"/>
  <c r="T59" i="40" s="1"/>
  <c r="AB19" i="40"/>
  <c r="AB71" i="40" s="1"/>
  <c r="AV4" i="36"/>
  <c r="AV19" i="40" s="1"/>
  <c r="BD4" i="36"/>
  <c r="BD19" i="40" s="1"/>
  <c r="AZ4" i="36"/>
  <c r="AZ19" i="40" s="1"/>
  <c r="H18" i="40"/>
  <c r="BD18" i="40"/>
  <c r="AV18" i="40"/>
  <c r="AF18" i="40"/>
  <c r="AR18" i="40"/>
  <c r="AR56" i="40" s="1"/>
  <c r="AZ18" i="40"/>
  <c r="AB18" i="40"/>
  <c r="AB70" i="40" s="1"/>
  <c r="AJ18" i="40"/>
  <c r="T18" i="40"/>
  <c r="T56" i="40" s="1"/>
  <c r="X18" i="40"/>
  <c r="G31" i="40"/>
  <c r="AY16" i="36"/>
  <c r="AY31" i="40" s="1"/>
  <c r="AU16" i="36"/>
  <c r="AU31" i="40" s="1"/>
  <c r="BC16" i="36"/>
  <c r="BC31" i="40" s="1"/>
  <c r="W16" i="36"/>
  <c r="W31" i="40" s="1"/>
  <c r="AE16" i="36"/>
  <c r="AE31" i="40" s="1"/>
  <c r="AA16" i="36"/>
  <c r="AA31" i="40" s="1"/>
  <c r="AA83" i="40" s="1"/>
  <c r="S16" i="36"/>
  <c r="S31" i="40" s="1"/>
  <c r="S98" i="40" s="1"/>
  <c r="I29" i="40"/>
  <c r="BA14" i="36"/>
  <c r="BA29" i="40" s="1"/>
  <c r="BE14" i="36"/>
  <c r="BE29" i="40" s="1"/>
  <c r="AC14" i="36"/>
  <c r="AC29" i="40" s="1"/>
  <c r="AC81" i="40" s="1"/>
  <c r="AG14" i="36"/>
  <c r="AG29" i="40" s="1"/>
  <c r="U14" i="36"/>
  <c r="U29" i="40" s="1"/>
  <c r="U95" i="40" s="1"/>
  <c r="AW14" i="36"/>
  <c r="AW29" i="40" s="1"/>
  <c r="Y14" i="36"/>
  <c r="Y29" i="40" s="1"/>
  <c r="H28" i="40"/>
  <c r="AZ13" i="36"/>
  <c r="AZ28" i="40" s="1"/>
  <c r="AF13" i="36"/>
  <c r="AF28" i="40" s="1"/>
  <c r="AB13" i="36"/>
  <c r="AB28" i="40" s="1"/>
  <c r="AB80" i="40" s="1"/>
  <c r="T13" i="36"/>
  <c r="T28" i="40" s="1"/>
  <c r="AV13" i="36"/>
  <c r="AV28" i="40" s="1"/>
  <c r="X13" i="36"/>
  <c r="X28" i="40" s="1"/>
  <c r="BD13" i="36"/>
  <c r="BD28" i="40" s="1"/>
  <c r="G27" i="40"/>
  <c r="AY12" i="36"/>
  <c r="AY27" i="40" s="1"/>
  <c r="AU12" i="36"/>
  <c r="AU27" i="40" s="1"/>
  <c r="BC12" i="36"/>
  <c r="BC27" i="40" s="1"/>
  <c r="AA12" i="36"/>
  <c r="AA27" i="40" s="1"/>
  <c r="AA79" i="40" s="1"/>
  <c r="S12" i="36"/>
  <c r="S27" i="40" s="1"/>
  <c r="S83" i="40" s="1"/>
  <c r="AE12" i="36"/>
  <c r="AE27" i="40" s="1"/>
  <c r="W12" i="36"/>
  <c r="W27" i="40" s="1"/>
  <c r="I25" i="40"/>
  <c r="BA10" i="36"/>
  <c r="BA25" i="40" s="1"/>
  <c r="AW10" i="36"/>
  <c r="AW25" i="40" s="1"/>
  <c r="BE10" i="36"/>
  <c r="BE25" i="40" s="1"/>
  <c r="AG10" i="36"/>
  <c r="AG25" i="40" s="1"/>
  <c r="Y10" i="36"/>
  <c r="Y25" i="40" s="1"/>
  <c r="AC10" i="36"/>
  <c r="AC25" i="40" s="1"/>
  <c r="AC77" i="40" s="1"/>
  <c r="U10" i="36"/>
  <c r="U25" i="40" s="1"/>
  <c r="U77" i="40" s="1"/>
  <c r="H24" i="40"/>
  <c r="AZ9" i="36"/>
  <c r="AZ24" i="40" s="1"/>
  <c r="BD9" i="36"/>
  <c r="BD24" i="40" s="1"/>
  <c r="AB9" i="36"/>
  <c r="AB24" i="40" s="1"/>
  <c r="AB76" i="40" s="1"/>
  <c r="AF9" i="36"/>
  <c r="AF24" i="40" s="1"/>
  <c r="T9" i="36"/>
  <c r="T24" i="40" s="1"/>
  <c r="T74" i="40" s="1"/>
  <c r="X9" i="36"/>
  <c r="X24" i="40" s="1"/>
  <c r="AV9" i="36"/>
  <c r="AV24" i="40" s="1"/>
  <c r="G23" i="40"/>
  <c r="AY8" i="36"/>
  <c r="AY23" i="40" s="1"/>
  <c r="AE8" i="36"/>
  <c r="AE23" i="40" s="1"/>
  <c r="AA8" i="36"/>
  <c r="AA23" i="40" s="1"/>
  <c r="AA75" i="40" s="1"/>
  <c r="AU8" i="36"/>
  <c r="AU23" i="40" s="1"/>
  <c r="BC8" i="36"/>
  <c r="BC23" i="40" s="1"/>
  <c r="S8" i="36"/>
  <c r="S23" i="40" s="1"/>
  <c r="S71" i="40" s="1"/>
  <c r="W8" i="36"/>
  <c r="W23" i="40" s="1"/>
  <c r="I21" i="40"/>
  <c r="BA6" i="36"/>
  <c r="BA21" i="40" s="1"/>
  <c r="AW6" i="36"/>
  <c r="AW21" i="40" s="1"/>
  <c r="AC6" i="36"/>
  <c r="AC21" i="40" s="1"/>
  <c r="AC73" i="40" s="1"/>
  <c r="Y6" i="36"/>
  <c r="Y21" i="40" s="1"/>
  <c r="AG6" i="36"/>
  <c r="AG21" i="40" s="1"/>
  <c r="BE6" i="36"/>
  <c r="BE21" i="40" s="1"/>
  <c r="U6" i="36"/>
  <c r="U21" i="40" s="1"/>
  <c r="U65" i="40" s="1"/>
  <c r="H20" i="40"/>
  <c r="AZ5" i="36"/>
  <c r="AZ20" i="40" s="1"/>
  <c r="AV5" i="36"/>
  <c r="AV20" i="40" s="1"/>
  <c r="BD5" i="36"/>
  <c r="BD20" i="40" s="1"/>
  <c r="AF5" i="36"/>
  <c r="AF20" i="40" s="1"/>
  <c r="X5" i="36"/>
  <c r="X20" i="40" s="1"/>
  <c r="AB20" i="40"/>
  <c r="AB72" i="40" s="1"/>
  <c r="T5" i="36"/>
  <c r="T20" i="40" s="1"/>
  <c r="T62" i="40" s="1"/>
  <c r="G19" i="40"/>
  <c r="AY4" i="36"/>
  <c r="AY19" i="40" s="1"/>
  <c r="BC4" i="36"/>
  <c r="BC19" i="40" s="1"/>
  <c r="AA19" i="40"/>
  <c r="AA71" i="40" s="1"/>
  <c r="AE4" i="36"/>
  <c r="AE19" i="40" s="1"/>
  <c r="S4" i="36"/>
  <c r="S19" i="40" s="1"/>
  <c r="S59" i="40" s="1"/>
  <c r="AU4" i="36"/>
  <c r="AU19" i="40" s="1"/>
  <c r="W4" i="36"/>
  <c r="W19" i="40" s="1"/>
  <c r="I18" i="40"/>
  <c r="BA18" i="40"/>
  <c r="AW18" i="40"/>
  <c r="BE18" i="40"/>
  <c r="AK18" i="40"/>
  <c r="AG18" i="40"/>
  <c r="AS18" i="40"/>
  <c r="AS56" i="40" s="1"/>
  <c r="AO18" i="40"/>
  <c r="I30" i="40"/>
  <c r="BA15" i="36"/>
  <c r="BA30" i="40" s="1"/>
  <c r="AW15" i="36"/>
  <c r="AW30" i="40" s="1"/>
  <c r="BE15" i="36"/>
  <c r="BE30" i="40" s="1"/>
  <c r="AC15" i="36"/>
  <c r="AC30" i="40" s="1"/>
  <c r="AC82" i="40" s="1"/>
  <c r="U15" i="36"/>
  <c r="U30" i="40" s="1"/>
  <c r="U92" i="40" s="1"/>
  <c r="AG15" i="36"/>
  <c r="AG30" i="40" s="1"/>
  <c r="Y15" i="36"/>
  <c r="Y30" i="40" s="1"/>
  <c r="H29" i="40"/>
  <c r="AZ14" i="36"/>
  <c r="AZ29" i="40" s="1"/>
  <c r="AV14" i="36"/>
  <c r="AV29" i="40" s="1"/>
  <c r="BD14" i="36"/>
  <c r="BD29" i="40" s="1"/>
  <c r="AF14" i="36"/>
  <c r="AF29" i="40" s="1"/>
  <c r="X14" i="36"/>
  <c r="X29" i="40" s="1"/>
  <c r="AB14" i="36"/>
  <c r="AB29" i="40" s="1"/>
  <c r="AB81" i="40" s="1"/>
  <c r="T14" i="36"/>
  <c r="T29" i="40" s="1"/>
  <c r="T95" i="40" s="1"/>
  <c r="G28" i="40"/>
  <c r="BC13" i="36"/>
  <c r="BC28" i="40" s="1"/>
  <c r="AA13" i="36"/>
  <c r="AA28" i="40" s="1"/>
  <c r="AA80" i="40" s="1"/>
  <c r="AE13" i="36"/>
  <c r="AE28" i="40" s="1"/>
  <c r="S13" i="36"/>
  <c r="S28" i="40" s="1"/>
  <c r="W13" i="36"/>
  <c r="W28" i="40" s="1"/>
  <c r="AY13" i="36"/>
  <c r="AY28" i="40" s="1"/>
  <c r="AU13" i="36"/>
  <c r="AU28" i="40" s="1"/>
  <c r="I26" i="40"/>
  <c r="AG11" i="36"/>
  <c r="AG26" i="40" s="1"/>
  <c r="AC11" i="36"/>
  <c r="AC26" i="40" s="1"/>
  <c r="AC78" i="40" s="1"/>
  <c r="BA11" i="36"/>
  <c r="BA26" i="40" s="1"/>
  <c r="AW11" i="36"/>
  <c r="AW26" i="40" s="1"/>
  <c r="BE11" i="36"/>
  <c r="BE26" i="40" s="1"/>
  <c r="U11" i="36"/>
  <c r="U26" i="40" s="1"/>
  <c r="U80" i="40" s="1"/>
  <c r="Y11" i="36"/>
  <c r="Y26" i="40" s="1"/>
  <c r="H25" i="40"/>
  <c r="AZ10" i="36"/>
  <c r="AZ25" i="40" s="1"/>
  <c r="AV10" i="36"/>
  <c r="AV25" i="40" s="1"/>
  <c r="AB10" i="36"/>
  <c r="AB25" i="40" s="1"/>
  <c r="AB77" i="40" s="1"/>
  <c r="AF10" i="36"/>
  <c r="AF25" i="40" s="1"/>
  <c r="BD10" i="36"/>
  <c r="BD25" i="40" s="1"/>
  <c r="T10" i="36"/>
  <c r="T25" i="40" s="1"/>
  <c r="T77" i="40" s="1"/>
  <c r="X10" i="36"/>
  <c r="X25" i="40" s="1"/>
  <c r="G24" i="40"/>
  <c r="AY9" i="36"/>
  <c r="AY24" i="40" s="1"/>
  <c r="AU9" i="36"/>
  <c r="AU24" i="40" s="1"/>
  <c r="BC9" i="36"/>
  <c r="BC24" i="40" s="1"/>
  <c r="W9" i="36"/>
  <c r="W24" i="40" s="1"/>
  <c r="AE9" i="36"/>
  <c r="AE24" i="40" s="1"/>
  <c r="AA9" i="36"/>
  <c r="AA24" i="40" s="1"/>
  <c r="AA76" i="40" s="1"/>
  <c r="S9" i="36"/>
  <c r="S24" i="40" s="1"/>
  <c r="S74" i="40" s="1"/>
  <c r="I22" i="40"/>
  <c r="BE7" i="36"/>
  <c r="BE22" i="40" s="1"/>
  <c r="AC7" i="36"/>
  <c r="AC22" i="40" s="1"/>
  <c r="AC74" i="40" s="1"/>
  <c r="AG7" i="36"/>
  <c r="AG22" i="40" s="1"/>
  <c r="Y7" i="36"/>
  <c r="Y22" i="40" s="1"/>
  <c r="U7" i="36"/>
  <c r="U22" i="40" s="1"/>
  <c r="U68" i="40" s="1"/>
  <c r="BA7" i="36"/>
  <c r="BA22" i="40" s="1"/>
  <c r="AW7" i="36"/>
  <c r="AW22" i="40" s="1"/>
  <c r="H21" i="40"/>
  <c r="AF6" i="36"/>
  <c r="AF21" i="40" s="1"/>
  <c r="AB6" i="36"/>
  <c r="AB21" i="40" s="1"/>
  <c r="AB73" i="40" s="1"/>
  <c r="X6" i="36"/>
  <c r="X21" i="40" s="1"/>
  <c r="T6" i="36"/>
  <c r="T21" i="40" s="1"/>
  <c r="T65" i="40" s="1"/>
  <c r="AZ6" i="36"/>
  <c r="AZ21" i="40" s="1"/>
  <c r="AV6" i="36"/>
  <c r="AV21" i="40" s="1"/>
  <c r="BD6" i="36"/>
  <c r="BD21" i="40" s="1"/>
  <c r="G20" i="40"/>
  <c r="AY5" i="36"/>
  <c r="AY20" i="40" s="1"/>
  <c r="AU5" i="36"/>
  <c r="AU20" i="40" s="1"/>
  <c r="W5" i="36"/>
  <c r="W20" i="40" s="1"/>
  <c r="BC5" i="36"/>
  <c r="BC20" i="40" s="1"/>
  <c r="AA20" i="40"/>
  <c r="AA72" i="40" s="1"/>
  <c r="S5" i="36"/>
  <c r="S20" i="40" s="1"/>
  <c r="S62" i="40" s="1"/>
  <c r="AE5" i="36"/>
  <c r="AE20" i="40" s="1"/>
  <c r="I3" i="35"/>
  <c r="E3" i="40"/>
  <c r="G3" i="35"/>
  <c r="C3" i="40"/>
  <c r="H3" i="35"/>
  <c r="D3" i="40"/>
  <c r="AY32" i="40"/>
  <c r="P33" i="40"/>
  <c r="P35" i="40"/>
  <c r="AZ41" i="40"/>
  <c r="AR40" i="40"/>
  <c r="AR81" i="40" s="1"/>
  <c r="AR34" i="40"/>
  <c r="AR63" i="40" s="1"/>
  <c r="AO39" i="40"/>
  <c r="BD36" i="40"/>
  <c r="U18" i="40"/>
  <c r="U56" i="40" s="1"/>
  <c r="Y18" i="40"/>
  <c r="AC18" i="40"/>
  <c r="AC70" i="40" s="1"/>
  <c r="AY35" i="40"/>
  <c r="L33" i="40"/>
  <c r="BC44" i="40"/>
  <c r="AZ33" i="40"/>
  <c r="AR33" i="40"/>
  <c r="AR60" i="40" s="1"/>
  <c r="AQ35" i="40"/>
  <c r="AQ66" i="40" s="1"/>
  <c r="K37" i="40"/>
  <c r="BD38" i="40"/>
  <c r="AZ39" i="40"/>
  <c r="O42" i="40"/>
  <c r="AY45" i="40"/>
  <c r="AC45" i="40"/>
  <c r="AC97" i="40" s="1"/>
  <c r="K32" i="40"/>
  <c r="AV33" i="40"/>
  <c r="BC36" i="40"/>
  <c r="AV36" i="40"/>
  <c r="AQ37" i="40"/>
  <c r="AQ72" i="40" s="1"/>
  <c r="AN45" i="40"/>
  <c r="R19" i="38"/>
  <c r="O32" i="40"/>
  <c r="AM37" i="40"/>
  <c r="AA32" i="40"/>
  <c r="AA84" i="40" s="1"/>
  <c r="AQ32" i="40"/>
  <c r="AQ57" i="40" s="1"/>
  <c r="BC34" i="40"/>
  <c r="AM34" i="40"/>
  <c r="O35" i="40"/>
  <c r="O40" i="40"/>
  <c r="AY44" i="40"/>
  <c r="O45" i="40"/>
  <c r="AA42" i="40"/>
  <c r="AA94" i="40" s="1"/>
  <c r="AE32" i="40"/>
  <c r="AU32" i="40"/>
  <c r="AY34" i="40"/>
  <c r="AE45" i="40"/>
  <c r="BA37" i="40"/>
  <c r="AU33" i="40"/>
  <c r="AE33" i="40"/>
  <c r="O33" i="40"/>
  <c r="AY33" i="40"/>
  <c r="S33" i="40"/>
  <c r="S60" i="40" s="1"/>
  <c r="BE35" i="40"/>
  <c r="M38" i="40"/>
  <c r="AW43" i="40"/>
  <c r="AC37" i="40"/>
  <c r="AC89" i="40" s="1"/>
  <c r="AN34" i="40"/>
  <c r="AS37" i="40"/>
  <c r="AS72" i="40" s="1"/>
  <c r="AG38" i="40"/>
  <c r="BD32" i="40"/>
  <c r="P32" i="40"/>
  <c r="AV32" i="40"/>
  <c r="BE33" i="40"/>
  <c r="Q33" i="40"/>
  <c r="AB33" i="40"/>
  <c r="AB85" i="40" s="1"/>
  <c r="AM33" i="40"/>
  <c r="AW33" i="40"/>
  <c r="L34" i="40"/>
  <c r="W34" i="40"/>
  <c r="AG34" i="40"/>
  <c r="AR35" i="40"/>
  <c r="AR66" i="40" s="1"/>
  <c r="AB35" i="40"/>
  <c r="AB87" i="40" s="1"/>
  <c r="L35" i="40"/>
  <c r="BD35" i="40"/>
  <c r="AV35" i="40"/>
  <c r="T35" i="40"/>
  <c r="T66" i="40" s="1"/>
  <c r="AN35" i="40"/>
  <c r="AF35" i="40"/>
  <c r="AG36" i="40"/>
  <c r="X37" i="40"/>
  <c r="BE43" i="40"/>
  <c r="M43" i="40"/>
  <c r="M45" i="40"/>
  <c r="AW44" i="40"/>
  <c r="Q44" i="40"/>
  <c r="AG43" i="40"/>
  <c r="AS44" i="40"/>
  <c r="AS93" i="40" s="1"/>
  <c r="M44" i="40"/>
  <c r="BA43" i="40"/>
  <c r="U43" i="40"/>
  <c r="Y45" i="40"/>
  <c r="Y42" i="40"/>
  <c r="AC33" i="40"/>
  <c r="AC85" i="40" s="1"/>
  <c r="M33" i="40"/>
  <c r="BE45" i="40"/>
  <c r="BE42" i="40"/>
  <c r="AS40" i="40"/>
  <c r="AS81" i="40" s="1"/>
  <c r="Q40" i="40"/>
  <c r="AW38" i="40"/>
  <c r="Q38" i="40"/>
  <c r="AG37" i="40"/>
  <c r="BE36" i="40"/>
  <c r="U36" i="40"/>
  <c r="U69" i="40" s="1"/>
  <c r="Q43" i="40"/>
  <c r="AC38" i="40"/>
  <c r="AC90" i="40" s="1"/>
  <c r="AW37" i="40"/>
  <c r="U37" i="40"/>
  <c r="U72" i="40" s="1"/>
  <c r="M37" i="40"/>
  <c r="AS33" i="40"/>
  <c r="AS60" i="40" s="1"/>
  <c r="AG44" i="40"/>
  <c r="AW36" i="40"/>
  <c r="U32" i="40"/>
  <c r="U57" i="40" s="1"/>
  <c r="BA32" i="40"/>
  <c r="W33" i="40"/>
  <c r="AG33" i="40"/>
  <c r="BC33" i="40"/>
  <c r="AV34" i="40"/>
  <c r="AF34" i="40"/>
  <c r="P34" i="40"/>
  <c r="AZ34" i="40"/>
  <c r="T34" i="40"/>
  <c r="T63" i="40" s="1"/>
  <c r="Q34" i="40"/>
  <c r="AB34" i="40"/>
  <c r="AB86" i="40" s="1"/>
  <c r="AW34" i="40"/>
  <c r="AC35" i="40"/>
  <c r="AC87" i="40" s="1"/>
  <c r="AY36" i="40"/>
  <c r="S36" i="40"/>
  <c r="S69" i="40" s="1"/>
  <c r="AU36" i="40"/>
  <c r="AM36" i="40"/>
  <c r="K36" i="40"/>
  <c r="AQ36" i="40"/>
  <c r="AQ69" i="40" s="1"/>
  <c r="O36" i="40"/>
  <c r="AE36" i="40"/>
  <c r="W36" i="40"/>
  <c r="AW39" i="40"/>
  <c r="AG39" i="40"/>
  <c r="Q39" i="40"/>
  <c r="BA39" i="40"/>
  <c r="U39" i="40"/>
  <c r="U78" i="40" s="1"/>
  <c r="AC39" i="40"/>
  <c r="AC91" i="40" s="1"/>
  <c r="AS39" i="40"/>
  <c r="AS78" i="40" s="1"/>
  <c r="M39" i="40"/>
  <c r="BE39" i="40"/>
  <c r="Y39" i="40"/>
  <c r="AC40" i="40"/>
  <c r="AC92" i="40" s="1"/>
  <c r="AC44" i="40"/>
  <c r="AC96" i="40" s="1"/>
  <c r="AC43" i="40"/>
  <c r="AC95" i="40" s="1"/>
  <c r="Y32" i="40"/>
  <c r="BE32" i="40"/>
  <c r="AA33" i="40"/>
  <c r="AA85" i="40" s="1"/>
  <c r="BA34" i="40"/>
  <c r="AC34" i="40"/>
  <c r="AC86" i="40" s="1"/>
  <c r="AS35" i="40"/>
  <c r="AS66" i="40" s="1"/>
  <c r="AA36" i="40"/>
  <c r="AA88" i="40" s="1"/>
  <c r="Q37" i="40"/>
  <c r="AQ38" i="40"/>
  <c r="AQ75" i="40" s="1"/>
  <c r="AA38" i="40"/>
  <c r="AA90" i="40" s="1"/>
  <c r="K38" i="40"/>
  <c r="AU38" i="40"/>
  <c r="AE38" i="40"/>
  <c r="O38" i="40"/>
  <c r="BC38" i="40"/>
  <c r="W38" i="40"/>
  <c r="AY38" i="40"/>
  <c r="S38" i="40"/>
  <c r="S75" i="40" s="1"/>
  <c r="AM38" i="40"/>
  <c r="AR41" i="40"/>
  <c r="AR84" i="40" s="1"/>
  <c r="AB41" i="40"/>
  <c r="AB93" i="40" s="1"/>
  <c r="L41" i="40"/>
  <c r="AV41" i="40"/>
  <c r="T41" i="40"/>
  <c r="T84" i="40" s="1"/>
  <c r="AN41" i="40"/>
  <c r="AF41" i="40"/>
  <c r="P41" i="40"/>
  <c r="X41" i="40"/>
  <c r="BD41" i="40"/>
  <c r="AR42" i="40"/>
  <c r="L42" i="40"/>
  <c r="AR43" i="40"/>
  <c r="L43" i="40"/>
  <c r="AF43" i="40"/>
  <c r="AZ42" i="40"/>
  <c r="T42" i="40"/>
  <c r="AN40" i="40"/>
  <c r="L40" i="40"/>
  <c r="AR44" i="40"/>
  <c r="AR93" i="40" s="1"/>
  <c r="AV43" i="40"/>
  <c r="AZ40" i="40"/>
  <c r="X40" i="40"/>
  <c r="AR32" i="40"/>
  <c r="AR57" i="40" s="1"/>
  <c r="AB32" i="40"/>
  <c r="AB84" i="40" s="1"/>
  <c r="L32" i="40"/>
  <c r="L44" i="40"/>
  <c r="BD39" i="40"/>
  <c r="X39" i="40"/>
  <c r="AN37" i="40"/>
  <c r="AN44" i="40"/>
  <c r="P42" i="40"/>
  <c r="AZ36" i="40"/>
  <c r="AR36" i="40"/>
  <c r="AR69" i="40" s="1"/>
  <c r="P36" i="40"/>
  <c r="P43" i="40"/>
  <c r="AV37" i="40"/>
  <c r="L37" i="40"/>
  <c r="AB36" i="40"/>
  <c r="AB88" i="40" s="1"/>
  <c r="AS32" i="40"/>
  <c r="AS57" i="40" s="1"/>
  <c r="AC32" i="40"/>
  <c r="AC84" i="40" s="1"/>
  <c r="M32" i="40"/>
  <c r="AG32" i="40"/>
  <c r="AW32" i="40"/>
  <c r="Q32" i="40"/>
  <c r="T32" i="40"/>
  <c r="T57" i="40" s="1"/>
  <c r="AO32" i="40"/>
  <c r="AZ32" i="40"/>
  <c r="K33" i="40"/>
  <c r="U33" i="40"/>
  <c r="U60" i="40" s="1"/>
  <c r="AF33" i="40"/>
  <c r="AQ33" i="40"/>
  <c r="AQ60" i="40" s="1"/>
  <c r="BA33" i="40"/>
  <c r="AQ34" i="40"/>
  <c r="AQ63" i="40" s="1"/>
  <c r="AA34" i="40"/>
  <c r="AA86" i="40" s="1"/>
  <c r="K34" i="40"/>
  <c r="AU34" i="40"/>
  <c r="AE34" i="40"/>
  <c r="O34" i="40"/>
  <c r="M34" i="40"/>
  <c r="X34" i="40"/>
  <c r="AS34" i="40"/>
  <c r="AS63" i="40" s="1"/>
  <c r="BD34" i="40"/>
  <c r="AW35" i="40"/>
  <c r="AG35" i="40"/>
  <c r="Q35" i="40"/>
  <c r="AO35" i="40"/>
  <c r="M35" i="40"/>
  <c r="BA35" i="40"/>
  <c r="Y35" i="40"/>
  <c r="X35" i="40"/>
  <c r="AZ35" i="40"/>
  <c r="L36" i="40"/>
  <c r="AO36" i="40"/>
  <c r="AF37" i="40"/>
  <c r="AS38" i="40"/>
  <c r="AS75" i="40" s="1"/>
  <c r="BE40" i="40"/>
  <c r="U41" i="40"/>
  <c r="U84" i="40" s="1"/>
  <c r="AV42" i="40"/>
  <c r="AB43" i="40"/>
  <c r="AB95" i="40" s="1"/>
  <c r="BA44" i="40"/>
  <c r="AA37" i="40"/>
  <c r="AA89" i="40" s="1"/>
  <c r="AV38" i="40"/>
  <c r="AF38" i="40"/>
  <c r="P38" i="40"/>
  <c r="AZ38" i="40"/>
  <c r="T38" i="40"/>
  <c r="T75" i="40" s="1"/>
  <c r="AW41" i="40"/>
  <c r="AG41" i="40"/>
  <c r="Q41" i="40"/>
  <c r="BA41" i="40"/>
  <c r="AO41" i="40"/>
  <c r="M41" i="40"/>
  <c r="BE41" i="40"/>
  <c r="Y41" i="40"/>
  <c r="W32" i="40"/>
  <c r="AM32" i="40"/>
  <c r="X33" i="40"/>
  <c r="BD33" i="40"/>
  <c r="Y34" i="40"/>
  <c r="AO34" i="40"/>
  <c r="BE34" i="40"/>
  <c r="K35" i="40"/>
  <c r="S35" i="40"/>
  <c r="S66" i="40" s="1"/>
  <c r="AU35" i="40"/>
  <c r="AS36" i="40"/>
  <c r="AS69" i="40" s="1"/>
  <c r="AC36" i="40"/>
  <c r="AC88" i="40" s="1"/>
  <c r="M36" i="40"/>
  <c r="AZ37" i="40"/>
  <c r="T37" i="40"/>
  <c r="T72" i="40" s="1"/>
  <c r="BD37" i="40"/>
  <c r="AB37" i="40"/>
  <c r="AB89" i="40" s="1"/>
  <c r="BA38" i="40"/>
  <c r="AN38" i="40"/>
  <c r="BC39" i="40"/>
  <c r="O39" i="40"/>
  <c r="AU39" i="40"/>
  <c r="BA40" i="40"/>
  <c r="U40" i="40"/>
  <c r="U81" i="40" s="1"/>
  <c r="AW40" i="40"/>
  <c r="AO40" i="40"/>
  <c r="M40" i="40"/>
  <c r="AG40" i="40"/>
  <c r="Y40" i="40"/>
  <c r="W40" i="40"/>
  <c r="AY40" i="40"/>
  <c r="O41" i="40"/>
  <c r="AC41" i="40"/>
  <c r="AC93" i="40" s="1"/>
  <c r="AQ41" i="40"/>
  <c r="AQ84" i="40" s="1"/>
  <c r="AY42" i="40"/>
  <c r="AQ43" i="40"/>
  <c r="AM43" i="40"/>
  <c r="S44" i="40"/>
  <c r="S93" i="40" s="1"/>
  <c r="BC45" i="40"/>
  <c r="AU37" i="40"/>
  <c r="AE37" i="40"/>
  <c r="O37" i="40"/>
  <c r="S37" i="40"/>
  <c r="S72" i="40" s="1"/>
  <c r="BC37" i="40"/>
  <c r="AB38" i="40"/>
  <c r="AB90" i="40" s="1"/>
  <c r="AB42" i="40"/>
  <c r="AB94" i="40" s="1"/>
  <c r="BC32" i="40"/>
  <c r="AN33" i="40"/>
  <c r="AQ42" i="40"/>
  <c r="K42" i="40"/>
  <c r="AY41" i="40"/>
  <c r="AA41" i="40"/>
  <c r="AA93" i="40" s="1"/>
  <c r="K43" i="40"/>
  <c r="AE42" i="40"/>
  <c r="AU41" i="40"/>
  <c r="S41" i="40"/>
  <c r="S84" i="40" s="1"/>
  <c r="K41" i="40"/>
  <c r="AQ39" i="40"/>
  <c r="AQ78" i="40" s="1"/>
  <c r="AA39" i="40"/>
  <c r="AA91" i="40" s="1"/>
  <c r="K39" i="40"/>
  <c r="S32" i="40"/>
  <c r="S57" i="40" s="1"/>
  <c r="X32" i="40"/>
  <c r="AN32" i="40"/>
  <c r="T33" i="40"/>
  <c r="T60" i="40" s="1"/>
  <c r="Y33" i="40"/>
  <c r="AO33" i="40"/>
  <c r="U34" i="40"/>
  <c r="U63" i="40" s="1"/>
  <c r="BC35" i="40"/>
  <c r="AM35" i="40"/>
  <c r="W35" i="40"/>
  <c r="AA35" i="40"/>
  <c r="AA87" i="40" s="1"/>
  <c r="Q36" i="40"/>
  <c r="Y36" i="40"/>
  <c r="BA36" i="40"/>
  <c r="BE37" i="40"/>
  <c r="P37" i="40"/>
  <c r="W37" i="40"/>
  <c r="AR37" i="40"/>
  <c r="AR72" i="40" s="1"/>
  <c r="AY37" i="40"/>
  <c r="L38" i="40"/>
  <c r="AR38" i="40"/>
  <c r="AR75" i="40" s="1"/>
  <c r="AR39" i="40"/>
  <c r="AR78" i="40" s="1"/>
  <c r="AB39" i="40"/>
  <c r="AB91" i="40" s="1"/>
  <c r="L39" i="40"/>
  <c r="AV39" i="40"/>
  <c r="AF39" i="40"/>
  <c r="P39" i="40"/>
  <c r="S39" i="40"/>
  <c r="S78" i="40" s="1"/>
  <c r="AN39" i="40"/>
  <c r="AY39" i="40"/>
  <c r="K40" i="40"/>
  <c r="AM40" i="40"/>
  <c r="AS41" i="40"/>
  <c r="AS84" i="40" s="1"/>
  <c r="BD42" i="40"/>
  <c r="AU42" i="40"/>
  <c r="AZ43" i="40"/>
  <c r="AA43" i="40"/>
  <c r="AA95" i="40" s="1"/>
  <c r="BD44" i="40"/>
  <c r="W44" i="40"/>
  <c r="AR45" i="40"/>
  <c r="AB45" i="40"/>
  <c r="AB97" i="40" s="1"/>
  <c r="L45" i="40"/>
  <c r="AV45" i="40"/>
  <c r="AF45" i="40"/>
  <c r="P45" i="40"/>
  <c r="BD45" i="40"/>
  <c r="X45" i="40"/>
  <c r="AZ45" i="40"/>
  <c r="T45" i="40"/>
  <c r="AU45" i="40"/>
  <c r="Y38" i="40"/>
  <c r="AO38" i="40"/>
  <c r="BE38" i="40"/>
  <c r="AQ40" i="40"/>
  <c r="AQ81" i="40" s="1"/>
  <c r="AA40" i="40"/>
  <c r="AA92" i="40" s="1"/>
  <c r="S40" i="40"/>
  <c r="S81" i="40" s="1"/>
  <c r="AU40" i="40"/>
  <c r="BC40" i="40"/>
  <c r="AS42" i="40"/>
  <c r="AC42" i="40"/>
  <c r="AC94" i="40" s="1"/>
  <c r="M42" i="40"/>
  <c r="AW42" i="40"/>
  <c r="AG42" i="40"/>
  <c r="Q42" i="40"/>
  <c r="AO42" i="40"/>
  <c r="AQ44" i="40"/>
  <c r="AQ93" i="40" s="1"/>
  <c r="AA44" i="40"/>
  <c r="AA96" i="40" s="1"/>
  <c r="K44" i="40"/>
  <c r="AU44" i="40"/>
  <c r="AE44" i="40"/>
  <c r="O44" i="40"/>
  <c r="X44" i="40"/>
  <c r="AW45" i="40"/>
  <c r="AG45" i="40"/>
  <c r="Q45" i="40"/>
  <c r="BA45" i="40"/>
  <c r="U45" i="40"/>
  <c r="AO45" i="40"/>
  <c r="X36" i="40"/>
  <c r="AN36" i="40"/>
  <c r="Y37" i="40"/>
  <c r="AO37" i="40"/>
  <c r="U38" i="40"/>
  <c r="U75" i="40" s="1"/>
  <c r="W39" i="40"/>
  <c r="AM39" i="40"/>
  <c r="AV40" i="40"/>
  <c r="AF40" i="40"/>
  <c r="P40" i="40"/>
  <c r="T40" i="40"/>
  <c r="T81" i="40" s="1"/>
  <c r="AB40" i="40"/>
  <c r="AB92" i="40" s="1"/>
  <c r="BD40" i="40"/>
  <c r="BC41" i="40"/>
  <c r="U42" i="40"/>
  <c r="BA42" i="40"/>
  <c r="AU43" i="40"/>
  <c r="AE43" i="40"/>
  <c r="O43" i="40"/>
  <c r="AY43" i="40"/>
  <c r="S43" i="40"/>
  <c r="W43" i="40"/>
  <c r="BC43" i="40"/>
  <c r="AV44" i="40"/>
  <c r="AF44" i="40"/>
  <c r="P44" i="40"/>
  <c r="AZ44" i="40"/>
  <c r="T44" i="40"/>
  <c r="T93" i="40" s="1"/>
  <c r="AB44" i="40"/>
  <c r="AB96" i="40" s="1"/>
  <c r="AM44" i="40"/>
  <c r="AS45" i="40"/>
  <c r="W42" i="40"/>
  <c r="AM42" i="40"/>
  <c r="BC42" i="40"/>
  <c r="X43" i="40"/>
  <c r="AN43" i="40"/>
  <c r="AS43" i="40"/>
  <c r="BD43" i="40"/>
  <c r="Y44" i="40"/>
  <c r="AO44" i="40"/>
  <c r="BE44" i="40"/>
  <c r="K45" i="40"/>
  <c r="AA45" i="40"/>
  <c r="AA97" i="40" s="1"/>
  <c r="AQ45" i="40"/>
  <c r="W41" i="40"/>
  <c r="AM41" i="40"/>
  <c r="S42" i="40"/>
  <c r="X42" i="40"/>
  <c r="AN42" i="40"/>
  <c r="T43" i="40"/>
  <c r="Y43" i="40"/>
  <c r="AO43" i="40"/>
  <c r="U44" i="40"/>
  <c r="U93" i="40" s="1"/>
  <c r="W45" i="40"/>
  <c r="AM45" i="40"/>
  <c r="AE34" i="36"/>
  <c r="AE33" i="36"/>
  <c r="AE32" i="36"/>
  <c r="AE31" i="36"/>
  <c r="AE30" i="36"/>
  <c r="AE29" i="36"/>
  <c r="AE28" i="36"/>
  <c r="AE27" i="36"/>
  <c r="AE26" i="36"/>
  <c r="AE25" i="36"/>
  <c r="AE24" i="36"/>
  <c r="AE23" i="36"/>
  <c r="AE22" i="36"/>
  <c r="AE21" i="36"/>
  <c r="AF34" i="36"/>
  <c r="AF33" i="36"/>
  <c r="AF32" i="36"/>
  <c r="AF31" i="36"/>
  <c r="AF30" i="36"/>
  <c r="AF29" i="36"/>
  <c r="AF28" i="36"/>
  <c r="AF27" i="36"/>
  <c r="AF26" i="36"/>
  <c r="AF25" i="36"/>
  <c r="AF24" i="36"/>
  <c r="AF23" i="36"/>
  <c r="AF22" i="36"/>
  <c r="AF21" i="36"/>
  <c r="AG34" i="36"/>
  <c r="AG33" i="36"/>
  <c r="AG32" i="36"/>
  <c r="AG31" i="36"/>
  <c r="AG30" i="36"/>
  <c r="AG29" i="36"/>
  <c r="AG28" i="36"/>
  <c r="AG27" i="36"/>
  <c r="AG26" i="36"/>
  <c r="AG25" i="36"/>
  <c r="AG24" i="36"/>
  <c r="AG23" i="36"/>
  <c r="AG22" i="36"/>
  <c r="AG21" i="36"/>
  <c r="AC34" i="36"/>
  <c r="AC33" i="36"/>
  <c r="AC32" i="36"/>
  <c r="AC31" i="36"/>
  <c r="AC30" i="36"/>
  <c r="AC29" i="36"/>
  <c r="AC28" i="36"/>
  <c r="AC27" i="36"/>
  <c r="AC26" i="36"/>
  <c r="AB34" i="36"/>
  <c r="AB33" i="36"/>
  <c r="AB32" i="36"/>
  <c r="AB31" i="36"/>
  <c r="AB30" i="36"/>
  <c r="AB29" i="36"/>
  <c r="AB28" i="36"/>
  <c r="AA34" i="36"/>
  <c r="AA33" i="36"/>
  <c r="AA32" i="36"/>
  <c r="AA31" i="36"/>
  <c r="AA30" i="36"/>
  <c r="AA29" i="36"/>
  <c r="AA28" i="36"/>
  <c r="AA27" i="36"/>
  <c r="AA26" i="36"/>
  <c r="AB27" i="36"/>
  <c r="AB26" i="36"/>
  <c r="AE66" i="35"/>
  <c r="AB66" i="35"/>
  <c r="AE65" i="35"/>
  <c r="AB65" i="35"/>
  <c r="AE64" i="35"/>
  <c r="AB64" i="35"/>
  <c r="AE63" i="35"/>
  <c r="AB63" i="35"/>
  <c r="AE62" i="35"/>
  <c r="AB62" i="35"/>
  <c r="AE61" i="35"/>
  <c r="AB61" i="35"/>
  <c r="AE60" i="35"/>
  <c r="AB60" i="35"/>
  <c r="AE59" i="35"/>
  <c r="AB59" i="35"/>
  <c r="AE58" i="35"/>
  <c r="AB58" i="35"/>
  <c r="AO35" i="35"/>
  <c r="AN35" i="35"/>
  <c r="AM35" i="35"/>
  <c r="AO34" i="35"/>
  <c r="AN34" i="35"/>
  <c r="AM34" i="35"/>
  <c r="AO33" i="35"/>
  <c r="AN33" i="35"/>
  <c r="AM33" i="35"/>
  <c r="AO32" i="35"/>
  <c r="AN32" i="35"/>
  <c r="AM32" i="35"/>
  <c r="AO31" i="35"/>
  <c r="AN31" i="35"/>
  <c r="AM31" i="35"/>
  <c r="AO30" i="35"/>
  <c r="AN30" i="35"/>
  <c r="AM30" i="35"/>
  <c r="AO29" i="35"/>
  <c r="AN29" i="35"/>
  <c r="AM29" i="35"/>
  <c r="AO28" i="35"/>
  <c r="AN28" i="35"/>
  <c r="AM28" i="35"/>
  <c r="AO27" i="35"/>
  <c r="AN27" i="35"/>
  <c r="AM27" i="35"/>
  <c r="AO26" i="35"/>
  <c r="AN26" i="35"/>
  <c r="AM26" i="35"/>
  <c r="AO25" i="35"/>
  <c r="AN25" i="35"/>
  <c r="AM25" i="35"/>
  <c r="AO24" i="35"/>
  <c r="AN24" i="35"/>
  <c r="AM24" i="35"/>
  <c r="AO23" i="35"/>
  <c r="AN23" i="35"/>
  <c r="AM23" i="35"/>
  <c r="AO22" i="35"/>
  <c r="AN22" i="35"/>
  <c r="AM22" i="35"/>
  <c r="AO21" i="35"/>
  <c r="AN21" i="35"/>
  <c r="AM21" i="35"/>
  <c r="G17" i="35"/>
  <c r="I17" i="35"/>
  <c r="I16" i="35"/>
  <c r="H16" i="35"/>
  <c r="G16" i="35"/>
  <c r="I15" i="35"/>
  <c r="H15" i="35"/>
  <c r="G15" i="35"/>
  <c r="H14" i="35"/>
  <c r="G14" i="35"/>
  <c r="I14" i="35"/>
  <c r="I13" i="35"/>
  <c r="H13" i="35"/>
  <c r="I12" i="35"/>
  <c r="H12" i="35"/>
  <c r="I11" i="35"/>
  <c r="H11" i="35"/>
  <c r="G10" i="35"/>
  <c r="I8" i="35"/>
  <c r="I6" i="35"/>
  <c r="G4" i="35"/>
  <c r="AJ11" i="35" l="1"/>
  <c r="AN11" i="35"/>
  <c r="AN11" i="40" s="1"/>
  <c r="AN13" i="35"/>
  <c r="AN13" i="40" s="1"/>
  <c r="AJ13" i="35"/>
  <c r="AM16" i="35"/>
  <c r="AM16" i="40" s="1"/>
  <c r="AI16" i="35"/>
  <c r="AO13" i="35"/>
  <c r="AO13" i="40" s="1"/>
  <c r="AK13" i="35"/>
  <c r="AM15" i="35"/>
  <c r="AI15" i="35"/>
  <c r="AK8" i="35"/>
  <c r="AO8" i="35"/>
  <c r="AO8" i="40" s="1"/>
  <c r="AN12" i="35"/>
  <c r="AN12" i="40" s="1"/>
  <c r="AJ12" i="35"/>
  <c r="AO14" i="35"/>
  <c r="AO14" i="40" s="1"/>
  <c r="AK14" i="35"/>
  <c r="AJ15" i="35"/>
  <c r="AN15" i="35"/>
  <c r="AN15" i="40" s="1"/>
  <c r="AK16" i="35"/>
  <c r="AO16" i="35"/>
  <c r="AO16" i="40" s="1"/>
  <c r="AM4" i="35"/>
  <c r="AM4" i="40" s="1"/>
  <c r="AI4" i="35"/>
  <c r="AN14" i="35"/>
  <c r="AN14" i="40" s="1"/>
  <c r="AJ14" i="35"/>
  <c r="AM17" i="35"/>
  <c r="AM17" i="40" s="1"/>
  <c r="AI17" i="35"/>
  <c r="AO6" i="35"/>
  <c r="AO6" i="40" s="1"/>
  <c r="AK6" i="35"/>
  <c r="AO11" i="35"/>
  <c r="AO11" i="40" s="1"/>
  <c r="AK11" i="35"/>
  <c r="AN16" i="35"/>
  <c r="AN16" i="40" s="1"/>
  <c r="AJ16" i="35"/>
  <c r="AM3" i="35"/>
  <c r="AM3" i="40" s="1"/>
  <c r="AI3" i="35"/>
  <c r="AI3" i="40" s="1"/>
  <c r="AI10" i="35"/>
  <c r="AM10" i="35"/>
  <c r="AM10" i="40" s="1"/>
  <c r="AK12" i="35"/>
  <c r="AO12" i="35"/>
  <c r="AO12" i="40" s="1"/>
  <c r="AI14" i="35"/>
  <c r="AM14" i="35"/>
  <c r="AM14" i="40" s="1"/>
  <c r="AO15" i="35"/>
  <c r="AO15" i="40" s="1"/>
  <c r="AK15" i="35"/>
  <c r="AO17" i="35"/>
  <c r="AO17" i="40" s="1"/>
  <c r="AK17" i="35"/>
  <c r="AN3" i="35"/>
  <c r="AN3" i="40" s="1"/>
  <c r="AJ3" i="35"/>
  <c r="AJ3" i="40" s="1"/>
  <c r="AO3" i="35"/>
  <c r="AO3" i="40" s="1"/>
  <c r="AK3" i="35"/>
  <c r="AK3" i="40" s="1"/>
  <c r="G4" i="40"/>
  <c r="O4" i="35"/>
  <c r="O4" i="40" s="1"/>
  <c r="K4" i="35"/>
  <c r="K4" i="40" s="1"/>
  <c r="H13" i="40"/>
  <c r="P13" i="35"/>
  <c r="P13" i="40" s="1"/>
  <c r="L13" i="35"/>
  <c r="L13" i="40" s="1"/>
  <c r="G16" i="40"/>
  <c r="O16" i="35"/>
  <c r="O16" i="40" s="1"/>
  <c r="K16" i="35"/>
  <c r="K16" i="40" s="1"/>
  <c r="I13" i="40"/>
  <c r="Q13" i="35"/>
  <c r="Q13" i="40" s="1"/>
  <c r="M13" i="35"/>
  <c r="M13" i="40" s="1"/>
  <c r="H16" i="40"/>
  <c r="P16" i="35"/>
  <c r="P16" i="40" s="1"/>
  <c r="L16" i="35"/>
  <c r="L16" i="40" s="1"/>
  <c r="P3" i="35"/>
  <c r="P3" i="40" s="1"/>
  <c r="L3" i="35"/>
  <c r="L3" i="40" s="1"/>
  <c r="H12" i="40"/>
  <c r="P12" i="35"/>
  <c r="P12" i="40" s="1"/>
  <c r="L12" i="35"/>
  <c r="L12" i="40" s="1"/>
  <c r="I14" i="40"/>
  <c r="Q14" i="35"/>
  <c r="Q14" i="40" s="1"/>
  <c r="M14" i="35"/>
  <c r="M14" i="40" s="1"/>
  <c r="H15" i="40"/>
  <c r="P15" i="35"/>
  <c r="P15" i="40" s="1"/>
  <c r="L15" i="35"/>
  <c r="L15" i="40" s="1"/>
  <c r="I16" i="40"/>
  <c r="Q16" i="35"/>
  <c r="Q16" i="40" s="1"/>
  <c r="M16" i="35"/>
  <c r="M16" i="40" s="1"/>
  <c r="H11" i="40"/>
  <c r="P11" i="35"/>
  <c r="P11" i="40" s="1"/>
  <c r="L11" i="35"/>
  <c r="L11" i="40" s="1"/>
  <c r="H14" i="40"/>
  <c r="L14" i="35"/>
  <c r="L14" i="40" s="1"/>
  <c r="P14" i="35"/>
  <c r="P14" i="40" s="1"/>
  <c r="G17" i="40"/>
  <c r="K17" i="35"/>
  <c r="K17" i="40" s="1"/>
  <c r="O17" i="35"/>
  <c r="O17" i="40" s="1"/>
  <c r="I6" i="40"/>
  <c r="Q6" i="35"/>
  <c r="Q6" i="40" s="1"/>
  <c r="M6" i="35"/>
  <c r="M6" i="40" s="1"/>
  <c r="I11" i="40"/>
  <c r="M11" i="35"/>
  <c r="M11" i="40" s="1"/>
  <c r="Q11" i="35"/>
  <c r="Q11" i="40" s="1"/>
  <c r="G15" i="40"/>
  <c r="O15" i="35"/>
  <c r="O15" i="40" s="1"/>
  <c r="K15" i="35"/>
  <c r="K15" i="40" s="1"/>
  <c r="AG3" i="35"/>
  <c r="AG3" i="40" s="1"/>
  <c r="M3" i="35"/>
  <c r="M3" i="40" s="1"/>
  <c r="Q3" i="35"/>
  <c r="Q3" i="40" s="1"/>
  <c r="I8" i="40"/>
  <c r="Q8" i="35"/>
  <c r="Q8" i="40" s="1"/>
  <c r="M8" i="35"/>
  <c r="M8" i="40" s="1"/>
  <c r="G10" i="40"/>
  <c r="O10" i="35"/>
  <c r="O10" i="40" s="1"/>
  <c r="K10" i="35"/>
  <c r="K10" i="40" s="1"/>
  <c r="I12" i="40"/>
  <c r="Q12" i="35"/>
  <c r="Q12" i="40" s="1"/>
  <c r="M12" i="35"/>
  <c r="M12" i="40" s="1"/>
  <c r="G14" i="40"/>
  <c r="O14" i="35"/>
  <c r="O14" i="40" s="1"/>
  <c r="K14" i="35"/>
  <c r="K14" i="40" s="1"/>
  <c r="I15" i="40"/>
  <c r="M15" i="35"/>
  <c r="M15" i="40" s="1"/>
  <c r="Q15" i="35"/>
  <c r="Q15" i="40" s="1"/>
  <c r="I17" i="40"/>
  <c r="Q17" i="35"/>
  <c r="Q17" i="40" s="1"/>
  <c r="M17" i="35"/>
  <c r="M17" i="40" s="1"/>
  <c r="O3" i="35"/>
  <c r="O3" i="40" s="1"/>
  <c r="K3" i="35"/>
  <c r="K3" i="40" s="1"/>
  <c r="G3" i="40"/>
  <c r="AW3" i="35"/>
  <c r="AW3" i="40" s="1"/>
  <c r="AZ3" i="35"/>
  <c r="AZ3" i="40" s="1"/>
  <c r="AR3" i="35"/>
  <c r="AR3" i="40" s="1"/>
  <c r="AR55" i="40" s="1"/>
  <c r="AV56" i="40" s="1"/>
  <c r="Y3" i="35"/>
  <c r="Y3" i="40" s="1"/>
  <c r="AF3" i="35"/>
  <c r="AF3" i="40" s="1"/>
  <c r="AS3" i="35"/>
  <c r="AS3" i="40" s="1"/>
  <c r="AS55" i="40" s="1"/>
  <c r="AW56" i="40" s="1"/>
  <c r="BD3" i="35"/>
  <c r="BD3" i="40" s="1"/>
  <c r="BA3" i="35"/>
  <c r="BA3" i="40" s="1"/>
  <c r="X3" i="35"/>
  <c r="X3" i="40" s="1"/>
  <c r="AB3" i="35"/>
  <c r="AB3" i="40" s="1"/>
  <c r="AB55" i="40" s="1"/>
  <c r="T3" i="35"/>
  <c r="T3" i="40" s="1"/>
  <c r="T55" i="40" s="1"/>
  <c r="X56" i="40" s="1"/>
  <c r="U3" i="35"/>
  <c r="U3" i="40" s="1"/>
  <c r="U55" i="40" s="1"/>
  <c r="Y56" i="40" s="1"/>
  <c r="AC3" i="35"/>
  <c r="AC3" i="40" s="1"/>
  <c r="AC55" i="40" s="1"/>
  <c r="BE3" i="35"/>
  <c r="BE3" i="40" s="1"/>
  <c r="AQ3" i="35"/>
  <c r="AQ3" i="40" s="1"/>
  <c r="AA3" i="35"/>
  <c r="AA3" i="40" s="1"/>
  <c r="W3" i="35"/>
  <c r="W3" i="40" s="1"/>
  <c r="BC3" i="35"/>
  <c r="BC3" i="40" s="1"/>
  <c r="AS86" i="40"/>
  <c r="AS89" i="40"/>
  <c r="T87" i="40"/>
  <c r="T90" i="40"/>
  <c r="S89" i="40"/>
  <c r="S86" i="40"/>
  <c r="U89" i="40"/>
  <c r="U86" i="40"/>
  <c r="S87" i="40"/>
  <c r="S90" i="40"/>
  <c r="AS99" i="40"/>
  <c r="AS96" i="40"/>
  <c r="U87" i="40"/>
  <c r="U90" i="40"/>
  <c r="U99" i="40"/>
  <c r="U96" i="40"/>
  <c r="T96" i="40"/>
  <c r="T99" i="40"/>
  <c r="AQ90" i="40"/>
  <c r="AQ87" i="40"/>
  <c r="AQ89" i="40"/>
  <c r="AQ86" i="40"/>
  <c r="AQ96" i="40"/>
  <c r="AQ99" i="40"/>
  <c r="AR89" i="40"/>
  <c r="AR86" i="40"/>
  <c r="AR96" i="40"/>
  <c r="AR99" i="40"/>
  <c r="AR87" i="40"/>
  <c r="AR90" i="40"/>
  <c r="S56" i="40"/>
  <c r="AS90" i="40"/>
  <c r="AS87" i="40"/>
  <c r="T89" i="40"/>
  <c r="T86" i="40"/>
  <c r="AY3" i="35"/>
  <c r="AY3" i="40" s="1"/>
  <c r="AE3" i="35"/>
  <c r="AE3" i="40" s="1"/>
  <c r="S3" i="35"/>
  <c r="S3" i="40" s="1"/>
  <c r="AU3" i="35"/>
  <c r="AU3" i="40" s="1"/>
  <c r="AV3" i="35"/>
  <c r="AV3" i="40" s="1"/>
  <c r="H3" i="40"/>
  <c r="I3" i="40"/>
  <c r="BH14" i="37"/>
  <c r="BH43" i="40" s="1"/>
  <c r="AJ43" i="40"/>
  <c r="BG15" i="37"/>
  <c r="BG44" i="40" s="1"/>
  <c r="AI44" i="40"/>
  <c r="BG8" i="37"/>
  <c r="BG37" i="40" s="1"/>
  <c r="AI37" i="40"/>
  <c r="BG5" i="37"/>
  <c r="BG34" i="40" s="1"/>
  <c r="AI34" i="40"/>
  <c r="BH16" i="37"/>
  <c r="BH45" i="40" s="1"/>
  <c r="AJ45" i="40"/>
  <c r="BH7" i="37"/>
  <c r="BH36" i="40" s="1"/>
  <c r="AJ36" i="40"/>
  <c r="BG7" i="37"/>
  <c r="BG36" i="40" s="1"/>
  <c r="AI36" i="40"/>
  <c r="CB13" i="37"/>
  <c r="CB42" i="40" s="1"/>
  <c r="AF42" i="40"/>
  <c r="BG9" i="37"/>
  <c r="BG38" i="40" s="1"/>
  <c r="AI38" i="40"/>
  <c r="BK16" i="37"/>
  <c r="BK45" i="40" s="1"/>
  <c r="S45" i="40"/>
  <c r="BG11" i="37"/>
  <c r="BG40" i="40" s="1"/>
  <c r="AI40" i="40"/>
  <c r="BI9" i="37"/>
  <c r="BI38" i="40" s="1"/>
  <c r="AK38" i="40"/>
  <c r="BI16" i="37"/>
  <c r="BI45" i="40" s="1"/>
  <c r="AK45" i="40"/>
  <c r="BI5" i="37"/>
  <c r="BI34" i="40" s="1"/>
  <c r="AK34" i="40"/>
  <c r="BI10" i="37"/>
  <c r="BI39" i="40" s="1"/>
  <c r="AK39" i="40"/>
  <c r="BH5" i="37"/>
  <c r="BH34" i="40" s="1"/>
  <c r="AJ34" i="40"/>
  <c r="CE6" i="37"/>
  <c r="CE35" i="40" s="1"/>
  <c r="AE35" i="40"/>
  <c r="BH12" i="37"/>
  <c r="BH41" i="40" s="1"/>
  <c r="AJ41" i="40"/>
  <c r="CF3" i="37"/>
  <c r="CF32" i="40" s="1"/>
  <c r="AF32" i="40"/>
  <c r="BH3" i="37"/>
  <c r="BH32" i="40" s="1"/>
  <c r="AJ32" i="40"/>
  <c r="BG13" i="37"/>
  <c r="BG42" i="40" s="1"/>
  <c r="AI42" i="40"/>
  <c r="BH8" i="37"/>
  <c r="BH37" i="40" s="1"/>
  <c r="AJ37" i="40"/>
  <c r="BH10" i="37"/>
  <c r="BH39" i="40" s="1"/>
  <c r="AJ39" i="40"/>
  <c r="BI13" i="37"/>
  <c r="BI42" i="40" s="1"/>
  <c r="AK42" i="40"/>
  <c r="BI4" i="37"/>
  <c r="BI33" i="40" s="1"/>
  <c r="AK33" i="40"/>
  <c r="CE11" i="37"/>
  <c r="CE40" i="40" s="1"/>
  <c r="AE40" i="40"/>
  <c r="BK5" i="37"/>
  <c r="BK34" i="40" s="1"/>
  <c r="S34" i="40"/>
  <c r="S63" i="40" s="1"/>
  <c r="BI3" i="37"/>
  <c r="BI32" i="40" s="1"/>
  <c r="AK32" i="40"/>
  <c r="BL10" i="37"/>
  <c r="BL39" i="40" s="1"/>
  <c r="T39" i="40"/>
  <c r="T78" i="40" s="1"/>
  <c r="BI15" i="37"/>
  <c r="BI44" i="40" s="1"/>
  <c r="AK44" i="40"/>
  <c r="BI11" i="37"/>
  <c r="BI40" i="40" s="1"/>
  <c r="AK40" i="40"/>
  <c r="BH9" i="37"/>
  <c r="BH38" i="40" s="1"/>
  <c r="AJ38" i="40"/>
  <c r="BI6" i="37"/>
  <c r="BI35" i="40" s="1"/>
  <c r="AK35" i="40"/>
  <c r="BH11" i="37"/>
  <c r="BH40" i="40" s="1"/>
  <c r="AJ40" i="40"/>
  <c r="BH6" i="37"/>
  <c r="BH35" i="40" s="1"/>
  <c r="AJ35" i="40"/>
  <c r="BM6" i="37"/>
  <c r="BM35" i="40" s="1"/>
  <c r="U35" i="40"/>
  <c r="U66" i="40" s="1"/>
  <c r="CE12" i="37"/>
  <c r="CE41" i="40" s="1"/>
  <c r="AE41" i="40"/>
  <c r="CE10" i="37"/>
  <c r="CE39" i="40" s="1"/>
  <c r="AE39" i="40"/>
  <c r="CB7" i="37"/>
  <c r="CB36" i="40" s="1"/>
  <c r="AF36" i="40"/>
  <c r="BH15" i="37"/>
  <c r="BH44" i="40" s="1"/>
  <c r="AJ44" i="40"/>
  <c r="BG14" i="37"/>
  <c r="BG43" i="40" s="1"/>
  <c r="AI43" i="40"/>
  <c r="BG6" i="37"/>
  <c r="BG35" i="40" s="1"/>
  <c r="AI35" i="40"/>
  <c r="BH4" i="37"/>
  <c r="BH33" i="40" s="1"/>
  <c r="AJ33" i="40"/>
  <c r="BG3" i="37"/>
  <c r="BG32" i="40" s="1"/>
  <c r="AI32" i="40"/>
  <c r="BG12" i="37"/>
  <c r="BG41" i="40" s="1"/>
  <c r="AI41" i="40"/>
  <c r="BG16" i="37"/>
  <c r="BG45" i="40" s="1"/>
  <c r="AI45" i="40"/>
  <c r="BI12" i="37"/>
  <c r="BI41" i="40" s="1"/>
  <c r="AK41" i="40"/>
  <c r="BI7" i="37"/>
  <c r="BI36" i="40" s="1"/>
  <c r="AK36" i="40"/>
  <c r="BH13" i="37"/>
  <c r="BH42" i="40" s="1"/>
  <c r="AJ42" i="40"/>
  <c r="BI14" i="37"/>
  <c r="BI43" i="40" s="1"/>
  <c r="AK43" i="40"/>
  <c r="BI8" i="37"/>
  <c r="BI37" i="40" s="1"/>
  <c r="AK37" i="40"/>
  <c r="BG4" i="37"/>
  <c r="BG33" i="40" s="1"/>
  <c r="AI33" i="40"/>
  <c r="BG10" i="37"/>
  <c r="BG39" i="40" s="1"/>
  <c r="AI39" i="40"/>
  <c r="BP7" i="37"/>
  <c r="BP36" i="40" s="1"/>
  <c r="T36" i="40"/>
  <c r="T69" i="40" s="1"/>
  <c r="BX9" i="37"/>
  <c r="BX38" i="40" s="1"/>
  <c r="X38" i="40"/>
  <c r="BP10" i="37"/>
  <c r="BP39" i="40" s="1"/>
  <c r="CB3" i="37"/>
  <c r="CB32" i="40" s="1"/>
  <c r="BT9" i="37"/>
  <c r="BT38" i="40" s="1"/>
  <c r="BL7" i="37"/>
  <c r="BL36" i="40" s="1"/>
  <c r="BO16" i="37"/>
  <c r="BO45" i="40" s="1"/>
  <c r="BQ6" i="37"/>
  <c r="BQ35" i="40" s="1"/>
  <c r="CA11" i="37"/>
  <c r="CA40" i="40" s="1"/>
  <c r="CF13" i="37"/>
  <c r="CF42" i="40" s="1"/>
  <c r="CA10" i="37"/>
  <c r="CA39" i="40" s="1"/>
  <c r="BO5" i="37"/>
  <c r="BO34" i="40" s="1"/>
  <c r="CF7" i="37"/>
  <c r="CF36" i="40" s="1"/>
  <c r="CA12" i="37"/>
  <c r="CA41" i="40" s="1"/>
  <c r="CA6" i="37"/>
  <c r="CA35" i="40" s="1"/>
  <c r="CE16" i="37"/>
  <c r="CE45" i="40" s="1"/>
  <c r="CA16" i="37"/>
  <c r="CA45" i="40" s="1"/>
  <c r="CE3" i="37"/>
  <c r="CE32" i="40" s="1"/>
  <c r="CA3" i="37"/>
  <c r="CA32" i="40" s="1"/>
  <c r="AC66" i="35"/>
  <c r="AC61" i="35"/>
  <c r="CB15" i="37"/>
  <c r="CB44" i="40" s="1"/>
  <c r="CF15" i="37"/>
  <c r="CF44" i="40" s="1"/>
  <c r="BX15" i="37"/>
  <c r="BX44" i="40" s="1"/>
  <c r="BT15" i="37"/>
  <c r="BT44" i="40" s="1"/>
  <c r="BO10" i="37"/>
  <c r="BO39" i="40" s="1"/>
  <c r="BK10" i="37"/>
  <c r="BK39" i="40" s="1"/>
  <c r="BK8" i="37"/>
  <c r="BK37" i="40" s="1"/>
  <c r="BO8" i="37"/>
  <c r="BO37" i="40" s="1"/>
  <c r="CG11" i="37"/>
  <c r="CG40" i="40" s="1"/>
  <c r="CC11" i="37"/>
  <c r="CC40" i="40" s="1"/>
  <c r="BY12" i="37"/>
  <c r="BY41" i="40" s="1"/>
  <c r="BU12" i="37"/>
  <c r="BU41" i="40" s="1"/>
  <c r="CB9" i="37"/>
  <c r="CB38" i="40" s="1"/>
  <c r="CF9" i="37"/>
  <c r="CF38" i="40" s="1"/>
  <c r="CC6" i="37"/>
  <c r="CC35" i="40" s="1"/>
  <c r="CG6" i="37"/>
  <c r="CG35" i="40" s="1"/>
  <c r="CE7" i="37"/>
  <c r="CE36" i="40" s="1"/>
  <c r="CA7" i="37"/>
  <c r="CA36" i="40" s="1"/>
  <c r="BP14" i="37"/>
  <c r="BP43" i="40" s="1"/>
  <c r="BL14" i="37"/>
  <c r="BL43" i="40" s="1"/>
  <c r="BU15" i="37"/>
  <c r="BU44" i="40" s="1"/>
  <c r="BY15" i="37"/>
  <c r="BY44" i="40" s="1"/>
  <c r="BM16" i="37"/>
  <c r="BM45" i="40" s="1"/>
  <c r="BQ16" i="37"/>
  <c r="BQ45" i="40" s="1"/>
  <c r="BX16" i="37"/>
  <c r="BX45" i="40" s="1"/>
  <c r="BT16" i="37"/>
  <c r="BT45" i="40" s="1"/>
  <c r="BK15" i="37"/>
  <c r="BK44" i="40" s="1"/>
  <c r="BO15" i="37"/>
  <c r="BO44" i="40" s="1"/>
  <c r="BQ4" i="37"/>
  <c r="BQ33" i="40" s="1"/>
  <c r="BM4" i="37"/>
  <c r="BM33" i="40" s="1"/>
  <c r="BX11" i="37"/>
  <c r="BX40" i="40" s="1"/>
  <c r="BT11" i="37"/>
  <c r="BT40" i="40" s="1"/>
  <c r="BL12" i="37"/>
  <c r="BL41" i="40" s="1"/>
  <c r="BP12" i="37"/>
  <c r="BP41" i="40" s="1"/>
  <c r="CC10" i="37"/>
  <c r="CC39" i="40" s="1"/>
  <c r="CG10" i="37"/>
  <c r="CG39" i="40" s="1"/>
  <c r="CB5" i="37"/>
  <c r="CB34" i="40" s="1"/>
  <c r="CF5" i="37"/>
  <c r="CF34" i="40" s="1"/>
  <c r="BP6" i="37"/>
  <c r="BP35" i="40" s="1"/>
  <c r="BL6" i="37"/>
  <c r="BL35" i="40" s="1"/>
  <c r="CB11" i="37"/>
  <c r="CB40" i="40" s="1"/>
  <c r="CF11" i="37"/>
  <c r="CF40" i="40" s="1"/>
  <c r="CB10" i="37"/>
  <c r="CB39" i="40" s="1"/>
  <c r="CF10" i="37"/>
  <c r="CF39" i="40" s="1"/>
  <c r="BU4" i="37"/>
  <c r="BU33" i="40" s="1"/>
  <c r="BY4" i="37"/>
  <c r="BY33" i="40" s="1"/>
  <c r="BT3" i="37"/>
  <c r="BT32" i="40" s="1"/>
  <c r="BX3" i="37"/>
  <c r="BX32" i="40" s="1"/>
  <c r="CE13" i="37"/>
  <c r="CE42" i="40" s="1"/>
  <c r="CA13" i="37"/>
  <c r="CA42" i="40" s="1"/>
  <c r="CA8" i="37"/>
  <c r="CA37" i="40" s="1"/>
  <c r="CE8" i="37"/>
  <c r="CE37" i="40" s="1"/>
  <c r="BW11" i="37"/>
  <c r="BW40" i="40" s="1"/>
  <c r="BS11" i="37"/>
  <c r="BS40" i="40" s="1"/>
  <c r="CC12" i="37"/>
  <c r="CC41" i="40" s="1"/>
  <c r="CG12" i="37"/>
  <c r="CG41" i="40" s="1"/>
  <c r="BM12" i="37"/>
  <c r="BM41" i="40" s="1"/>
  <c r="BQ12" i="37"/>
  <c r="BQ41" i="40" s="1"/>
  <c r="BX6" i="37"/>
  <c r="BX35" i="40" s="1"/>
  <c r="BT6" i="37"/>
  <c r="BT35" i="40" s="1"/>
  <c r="BT5" i="37"/>
  <c r="BT34" i="40" s="1"/>
  <c r="BX5" i="37"/>
  <c r="BX34" i="40" s="1"/>
  <c r="CA9" i="37"/>
  <c r="CA38" i="40" s="1"/>
  <c r="CE9" i="37"/>
  <c r="CE38" i="40" s="1"/>
  <c r="BY3" i="37"/>
  <c r="BY32" i="40" s="1"/>
  <c r="BU3" i="37"/>
  <c r="BU32" i="40" s="1"/>
  <c r="BO7" i="37"/>
  <c r="BO36" i="40" s="1"/>
  <c r="BK7" i="37"/>
  <c r="BK36" i="40" s="1"/>
  <c r="BY13" i="37"/>
  <c r="BY42" i="40" s="1"/>
  <c r="BU13" i="37"/>
  <c r="BU42" i="40" s="1"/>
  <c r="BK4" i="37"/>
  <c r="BK33" i="40" s="1"/>
  <c r="BO4" i="37"/>
  <c r="BO33" i="40" s="1"/>
  <c r="CA4" i="37"/>
  <c r="CA33" i="40" s="1"/>
  <c r="CE4" i="37"/>
  <c r="CE33" i="40" s="1"/>
  <c r="BU14" i="37"/>
  <c r="BU43" i="40" s="1"/>
  <c r="BY14" i="37"/>
  <c r="BY43" i="40" s="1"/>
  <c r="BT13" i="37"/>
  <c r="BT42" i="40" s="1"/>
  <c r="BX13" i="37"/>
  <c r="BX42" i="40" s="1"/>
  <c r="BS13" i="37"/>
  <c r="BS42" i="40" s="1"/>
  <c r="BW13" i="37"/>
  <c r="BW42" i="40" s="1"/>
  <c r="BL15" i="37"/>
  <c r="BL44" i="40" s="1"/>
  <c r="BP15" i="37"/>
  <c r="BP44" i="40" s="1"/>
  <c r="BK14" i="37"/>
  <c r="BK43" i="40" s="1"/>
  <c r="BO14" i="37"/>
  <c r="BO43" i="40" s="1"/>
  <c r="CA14" i="37"/>
  <c r="CA43" i="40" s="1"/>
  <c r="CE14" i="37"/>
  <c r="CE43" i="40" s="1"/>
  <c r="BL11" i="37"/>
  <c r="BL40" i="40" s="1"/>
  <c r="BP11" i="37"/>
  <c r="BP40" i="40" s="1"/>
  <c r="BK11" i="37"/>
  <c r="BK40" i="40" s="1"/>
  <c r="BO11" i="37"/>
  <c r="BO40" i="40" s="1"/>
  <c r="CB16" i="37"/>
  <c r="CB45" i="40" s="1"/>
  <c r="CF16" i="37"/>
  <c r="CF45" i="40" s="1"/>
  <c r="BO12" i="37"/>
  <c r="BO41" i="40" s="1"/>
  <c r="BK12" i="37"/>
  <c r="BK41" i="40" s="1"/>
  <c r="BQ11" i="37"/>
  <c r="BQ40" i="40" s="1"/>
  <c r="BM11" i="37"/>
  <c r="BM40" i="40" s="1"/>
  <c r="BL9" i="37"/>
  <c r="BL38" i="40" s="1"/>
  <c r="BP9" i="37"/>
  <c r="BP38" i="40" s="1"/>
  <c r="CF4" i="37"/>
  <c r="CF33" i="40" s="1"/>
  <c r="CB4" i="37"/>
  <c r="CB33" i="40" s="1"/>
  <c r="CC3" i="37"/>
  <c r="CC32" i="40" s="1"/>
  <c r="CG3" i="37"/>
  <c r="CG32" i="40" s="1"/>
  <c r="BY10" i="37"/>
  <c r="BY39" i="40" s="1"/>
  <c r="BU10" i="37"/>
  <c r="BU39" i="40" s="1"/>
  <c r="CG4" i="37"/>
  <c r="CG33" i="40" s="1"/>
  <c r="CC4" i="37"/>
  <c r="CC33" i="40" s="1"/>
  <c r="BQ8" i="37"/>
  <c r="BQ37" i="40" s="1"/>
  <c r="BM8" i="37"/>
  <c r="BM37" i="40" s="1"/>
  <c r="BM14" i="37"/>
  <c r="BM43" i="40" s="1"/>
  <c r="BQ14" i="37"/>
  <c r="BQ43" i="40" s="1"/>
  <c r="CG14" i="37"/>
  <c r="CG43" i="40" s="1"/>
  <c r="CC14" i="37"/>
  <c r="CC43" i="40" s="1"/>
  <c r="BT8" i="37"/>
  <c r="BT37" i="40" s="1"/>
  <c r="BX8" i="37"/>
  <c r="BX37" i="40" s="1"/>
  <c r="BW5" i="37"/>
  <c r="BW34" i="40" s="1"/>
  <c r="BS5" i="37"/>
  <c r="BS34" i="40" s="1"/>
  <c r="BQ15" i="37"/>
  <c r="BQ44" i="40" s="1"/>
  <c r="BM15" i="37"/>
  <c r="BM44" i="40" s="1"/>
  <c r="BO13" i="37"/>
  <c r="BO42" i="40" s="1"/>
  <c r="BK13" i="37"/>
  <c r="BK42" i="40" s="1"/>
  <c r="BT14" i="37"/>
  <c r="BT43" i="40" s="1"/>
  <c r="BX14" i="37"/>
  <c r="BX43" i="40" s="1"/>
  <c r="BS10" i="37"/>
  <c r="BS39" i="40" s="1"/>
  <c r="BW10" i="37"/>
  <c r="BW39" i="40" s="1"/>
  <c r="BU8" i="37"/>
  <c r="BU37" i="40" s="1"/>
  <c r="BY8" i="37"/>
  <c r="BY37" i="40" s="1"/>
  <c r="CC16" i="37"/>
  <c r="CC45" i="40" s="1"/>
  <c r="CG16" i="37"/>
  <c r="CG45" i="40" s="1"/>
  <c r="CC13" i="37"/>
  <c r="CC42" i="40" s="1"/>
  <c r="CG13" i="37"/>
  <c r="CG42" i="40" s="1"/>
  <c r="BU9" i="37"/>
  <c r="BU38" i="40" s="1"/>
  <c r="BY9" i="37"/>
  <c r="BY38" i="40" s="1"/>
  <c r="BW15" i="37"/>
  <c r="BW44" i="40" s="1"/>
  <c r="BS15" i="37"/>
  <c r="BS44" i="40" s="1"/>
  <c r="BT4" i="37"/>
  <c r="BT33" i="40" s="1"/>
  <c r="BX4" i="37"/>
  <c r="BX33" i="40" s="1"/>
  <c r="CF8" i="37"/>
  <c r="CF37" i="40" s="1"/>
  <c r="CB8" i="37"/>
  <c r="CB37" i="40" s="1"/>
  <c r="CA5" i="37"/>
  <c r="CA34" i="40" s="1"/>
  <c r="CE5" i="37"/>
  <c r="CE34" i="40" s="1"/>
  <c r="BP3" i="37"/>
  <c r="BP32" i="40" s="1"/>
  <c r="BL3" i="37"/>
  <c r="BL32" i="40" s="1"/>
  <c r="CF14" i="37"/>
  <c r="CF43" i="40" s="1"/>
  <c r="CB14" i="37"/>
  <c r="CB43" i="40" s="1"/>
  <c r="BX12" i="37"/>
  <c r="BX41" i="40" s="1"/>
  <c r="BT12" i="37"/>
  <c r="BT41" i="40" s="1"/>
  <c r="BK9" i="37"/>
  <c r="BK38" i="40" s="1"/>
  <c r="BO9" i="37"/>
  <c r="BO38" i="40" s="1"/>
  <c r="BM10" i="37"/>
  <c r="BM39" i="40" s="1"/>
  <c r="BQ10" i="37"/>
  <c r="BQ39" i="40" s="1"/>
  <c r="BL5" i="37"/>
  <c r="BL34" i="40" s="1"/>
  <c r="BP5" i="37"/>
  <c r="BP34" i="40" s="1"/>
  <c r="BW4" i="37"/>
  <c r="BW33" i="40" s="1"/>
  <c r="BS4" i="37"/>
  <c r="BS33" i="40" s="1"/>
  <c r="CG15" i="37"/>
  <c r="CG44" i="40" s="1"/>
  <c r="CC15" i="37"/>
  <c r="CC44" i="40" s="1"/>
  <c r="BM7" i="37"/>
  <c r="BM36" i="40" s="1"/>
  <c r="BQ7" i="37"/>
  <c r="BQ36" i="40" s="1"/>
  <c r="CC7" i="37"/>
  <c r="CC36" i="40" s="1"/>
  <c r="CG7" i="37"/>
  <c r="CG36" i="40" s="1"/>
  <c r="CG9" i="37"/>
  <c r="CG38" i="40" s="1"/>
  <c r="CC9" i="37"/>
  <c r="CC38" i="40" s="1"/>
  <c r="CA15" i="37"/>
  <c r="CA44" i="40" s="1"/>
  <c r="CE15" i="37"/>
  <c r="CE44" i="40" s="1"/>
  <c r="BS16" i="37"/>
  <c r="BS45" i="40" s="1"/>
  <c r="BW16" i="37"/>
  <c r="BW45" i="40" s="1"/>
  <c r="BS12" i="37"/>
  <c r="BS41" i="40" s="1"/>
  <c r="BW12" i="37"/>
  <c r="BW41" i="40" s="1"/>
  <c r="BW14" i="37"/>
  <c r="BW43" i="40" s="1"/>
  <c r="BS14" i="37"/>
  <c r="BS43" i="40" s="1"/>
  <c r="BM13" i="37"/>
  <c r="BM42" i="40" s="1"/>
  <c r="BQ13" i="37"/>
  <c r="BQ42" i="40" s="1"/>
  <c r="BQ9" i="37"/>
  <c r="BQ38" i="40" s="1"/>
  <c r="BM9" i="37"/>
  <c r="BM38" i="40" s="1"/>
  <c r="BT7" i="37"/>
  <c r="BT36" i="40" s="1"/>
  <c r="BX7" i="37"/>
  <c r="BX36" i="40" s="1"/>
  <c r="BL16" i="37"/>
  <c r="BL45" i="40" s="1"/>
  <c r="BP16" i="37"/>
  <c r="BP45" i="40" s="1"/>
  <c r="BS8" i="37"/>
  <c r="BS37" i="40" s="1"/>
  <c r="BW8" i="37"/>
  <c r="BW37" i="40" s="1"/>
  <c r="BY7" i="37"/>
  <c r="BY36" i="40" s="1"/>
  <c r="BU7" i="37"/>
  <c r="BU36" i="40" s="1"/>
  <c r="BS6" i="37"/>
  <c r="BS35" i="40" s="1"/>
  <c r="BW6" i="37"/>
  <c r="BW35" i="40" s="1"/>
  <c r="BQ5" i="37"/>
  <c r="BQ34" i="40" s="1"/>
  <c r="BM5" i="37"/>
  <c r="BM34" i="40" s="1"/>
  <c r="BP4" i="37"/>
  <c r="BP33" i="40" s="1"/>
  <c r="BL4" i="37"/>
  <c r="BL33" i="40" s="1"/>
  <c r="BO3" i="37"/>
  <c r="BO32" i="40" s="1"/>
  <c r="BK3" i="37"/>
  <c r="BK32" i="40" s="1"/>
  <c r="BY11" i="37"/>
  <c r="BY40" i="40" s="1"/>
  <c r="BU11" i="37"/>
  <c r="BU40" i="40" s="1"/>
  <c r="BP8" i="37"/>
  <c r="BP37" i="40" s="1"/>
  <c r="BL8" i="37"/>
  <c r="BL37" i="40" s="1"/>
  <c r="BK6" i="37"/>
  <c r="BK35" i="40" s="1"/>
  <c r="BO6" i="37"/>
  <c r="BO35" i="40" s="1"/>
  <c r="BU5" i="37"/>
  <c r="BU34" i="40" s="1"/>
  <c r="BY5" i="37"/>
  <c r="BY34" i="40" s="1"/>
  <c r="BS3" i="37"/>
  <c r="BS32" i="40" s="1"/>
  <c r="BW3" i="37"/>
  <c r="BW32" i="40" s="1"/>
  <c r="BY6" i="37"/>
  <c r="BY35" i="40" s="1"/>
  <c r="BU6" i="37"/>
  <c r="BU35" i="40" s="1"/>
  <c r="BX10" i="37"/>
  <c r="BX39" i="40" s="1"/>
  <c r="BT10" i="37"/>
  <c r="BT39" i="40" s="1"/>
  <c r="BL13" i="37"/>
  <c r="BL42" i="40" s="1"/>
  <c r="BP13" i="37"/>
  <c r="BP42" i="40" s="1"/>
  <c r="CB12" i="37"/>
  <c r="CB41" i="40" s="1"/>
  <c r="CF12" i="37"/>
  <c r="CF41" i="40" s="1"/>
  <c r="BW9" i="37"/>
  <c r="BW38" i="40" s="1"/>
  <c r="BS9" i="37"/>
  <c r="BS38" i="40" s="1"/>
  <c r="BW7" i="37"/>
  <c r="BW36" i="40" s="1"/>
  <c r="BS7" i="37"/>
  <c r="BS36" i="40" s="1"/>
  <c r="BM3" i="37"/>
  <c r="BM32" i="40" s="1"/>
  <c r="BQ3" i="37"/>
  <c r="BQ32" i="40" s="1"/>
  <c r="CC8" i="37"/>
  <c r="CC37" i="40" s="1"/>
  <c r="CG8" i="37"/>
  <c r="CG37" i="40" s="1"/>
  <c r="BY16" i="37"/>
  <c r="BY45" i="40" s="1"/>
  <c r="BU16" i="37"/>
  <c r="BU45" i="40" s="1"/>
  <c r="CF6" i="37"/>
  <c r="CF35" i="40" s="1"/>
  <c r="CB6" i="37"/>
  <c r="CB35" i="40" s="1"/>
  <c r="CG5" i="37"/>
  <c r="CG34" i="40" s="1"/>
  <c r="CC5" i="37"/>
  <c r="CC34" i="40" s="1"/>
  <c r="BA6" i="35"/>
  <c r="BA6" i="40" s="1"/>
  <c r="BE6" i="35"/>
  <c r="BE6" i="40" s="1"/>
  <c r="U6" i="35"/>
  <c r="U6" i="40" s="1"/>
  <c r="U64" i="40" s="1"/>
  <c r="Y6" i="35"/>
  <c r="Y6" i="40" s="1"/>
  <c r="AS6" i="35"/>
  <c r="AS6" i="40" s="1"/>
  <c r="AS64" i="40" s="1"/>
  <c r="AW65" i="40" s="1"/>
  <c r="AW6" i="35"/>
  <c r="AW6" i="40" s="1"/>
  <c r="AG6" i="35"/>
  <c r="AG6" i="40" s="1"/>
  <c r="AC6" i="35"/>
  <c r="BE11" i="35"/>
  <c r="BE11" i="40" s="1"/>
  <c r="AW11" i="35"/>
  <c r="AW11" i="40" s="1"/>
  <c r="Y11" i="35"/>
  <c r="Y11" i="40" s="1"/>
  <c r="AG11" i="35"/>
  <c r="U11" i="35"/>
  <c r="U11" i="40" s="1"/>
  <c r="U79" i="40" s="1"/>
  <c r="Y80" i="40" s="1"/>
  <c r="BA11" i="35"/>
  <c r="BA11" i="40" s="1"/>
  <c r="AS11" i="35"/>
  <c r="AS11" i="40" s="1"/>
  <c r="AS79" i="40" s="1"/>
  <c r="AW80" i="40" s="1"/>
  <c r="AC11" i="35"/>
  <c r="AW13" i="35"/>
  <c r="AW13" i="40" s="1"/>
  <c r="AG13" i="35"/>
  <c r="AG13" i="40" s="1"/>
  <c r="BE13" i="35"/>
  <c r="BE13" i="40" s="1"/>
  <c r="AC13" i="35"/>
  <c r="AC13" i="40" s="1"/>
  <c r="AC65" i="40" s="1"/>
  <c r="BA13" i="35"/>
  <c r="BA13" i="40" s="1"/>
  <c r="AS13" i="35"/>
  <c r="AS13" i="40" s="1"/>
  <c r="AS85" i="40" s="1"/>
  <c r="Y13" i="35"/>
  <c r="U13" i="35"/>
  <c r="AU15" i="35"/>
  <c r="AU15" i="40" s="1"/>
  <c r="AE15" i="35"/>
  <c r="AE15" i="40" s="1"/>
  <c r="AM15" i="40"/>
  <c r="BC15" i="35"/>
  <c r="BC15" i="40" s="1"/>
  <c r="AQ15" i="35"/>
  <c r="AQ15" i="40" s="1"/>
  <c r="AQ91" i="40" s="1"/>
  <c r="AU92" i="40" s="1"/>
  <c r="W15" i="35"/>
  <c r="W15" i="40" s="1"/>
  <c r="AY15" i="35"/>
  <c r="AY15" i="40" s="1"/>
  <c r="AA15" i="35"/>
  <c r="AA15" i="40" s="1"/>
  <c r="AA67" i="40" s="1"/>
  <c r="S15" i="35"/>
  <c r="S15" i="40" s="1"/>
  <c r="S91" i="40" s="1"/>
  <c r="W92" i="40" s="1"/>
  <c r="AV16" i="35"/>
  <c r="AV16" i="40" s="1"/>
  <c r="AF16" i="35"/>
  <c r="AF16" i="40" s="1"/>
  <c r="AZ16" i="35"/>
  <c r="AZ16" i="40" s="1"/>
  <c r="BD16" i="35"/>
  <c r="BD16" i="40" s="1"/>
  <c r="AR16" i="35"/>
  <c r="AR16" i="40" s="1"/>
  <c r="AR94" i="40" s="1"/>
  <c r="AB16" i="35"/>
  <c r="AB16" i="40" s="1"/>
  <c r="AB68" i="40" s="1"/>
  <c r="T16" i="35"/>
  <c r="T16" i="40" s="1"/>
  <c r="T94" i="40" s="1"/>
  <c r="X16" i="35"/>
  <c r="AS8" i="35"/>
  <c r="AS8" i="40" s="1"/>
  <c r="AS70" i="40" s="1"/>
  <c r="AW71" i="40" s="1"/>
  <c r="AC8" i="35"/>
  <c r="BA8" i="35"/>
  <c r="BA8" i="40" s="1"/>
  <c r="AW8" i="35"/>
  <c r="AW8" i="40" s="1"/>
  <c r="AG8" i="35"/>
  <c r="AG8" i="40" s="1"/>
  <c r="Y8" i="35"/>
  <c r="Y8" i="40" s="1"/>
  <c r="BE8" i="35"/>
  <c r="BE8" i="40" s="1"/>
  <c r="U8" i="35"/>
  <c r="U8" i="40" s="1"/>
  <c r="U70" i="40" s="1"/>
  <c r="Y71" i="40" s="1"/>
  <c r="AV12" i="35"/>
  <c r="AV12" i="40" s="1"/>
  <c r="AF12" i="35"/>
  <c r="AF12" i="40" s="1"/>
  <c r="AR12" i="35"/>
  <c r="AR12" i="40" s="1"/>
  <c r="AR82" i="40" s="1"/>
  <c r="AV83" i="40" s="1"/>
  <c r="T12" i="35"/>
  <c r="AZ12" i="35"/>
  <c r="AZ12" i="40" s="1"/>
  <c r="BD12" i="35"/>
  <c r="BD12" i="40" s="1"/>
  <c r="AB12" i="35"/>
  <c r="AB12" i="40" s="1"/>
  <c r="AB64" i="40" s="1"/>
  <c r="X12" i="35"/>
  <c r="X12" i="40" s="1"/>
  <c r="BA14" i="35"/>
  <c r="BA14" i="40" s="1"/>
  <c r="AG14" i="35"/>
  <c r="AG14" i="40" s="1"/>
  <c r="U14" i="35"/>
  <c r="U14" i="40" s="1"/>
  <c r="U88" i="40" s="1"/>
  <c r="AW14" i="35"/>
  <c r="AW14" i="40" s="1"/>
  <c r="BE14" i="35"/>
  <c r="BE14" i="40" s="1"/>
  <c r="Y14" i="35"/>
  <c r="Y14" i="40" s="1"/>
  <c r="AC14" i="35"/>
  <c r="AC14" i="40" s="1"/>
  <c r="AC66" i="40" s="1"/>
  <c r="AS14" i="35"/>
  <c r="AS14" i="40" s="1"/>
  <c r="AS88" i="40" s="1"/>
  <c r="AR15" i="35"/>
  <c r="AR15" i="40" s="1"/>
  <c r="AR91" i="40" s="1"/>
  <c r="AV92" i="40" s="1"/>
  <c r="AB15" i="35"/>
  <c r="AB15" i="40" s="1"/>
  <c r="AB67" i="40" s="1"/>
  <c r="BD15" i="35"/>
  <c r="BD15" i="40" s="1"/>
  <c r="AV15" i="35"/>
  <c r="AV15" i="40" s="1"/>
  <c r="AF15" i="35"/>
  <c r="AZ15" i="35"/>
  <c r="AZ15" i="40" s="1"/>
  <c r="X15" i="35"/>
  <c r="X15" i="40" s="1"/>
  <c r="T15" i="35"/>
  <c r="T15" i="40" s="1"/>
  <c r="T91" i="40" s="1"/>
  <c r="X92" i="40" s="1"/>
  <c r="AS16" i="35"/>
  <c r="AS16" i="40" s="1"/>
  <c r="AS94" i="40" s="1"/>
  <c r="AC16" i="35"/>
  <c r="AC16" i="40" s="1"/>
  <c r="AC68" i="40" s="1"/>
  <c r="AG16" i="35"/>
  <c r="AW16" i="35"/>
  <c r="AW16" i="40" s="1"/>
  <c r="Y16" i="35"/>
  <c r="Y16" i="40" s="1"/>
  <c r="U16" i="35"/>
  <c r="U16" i="40" s="1"/>
  <c r="U94" i="40" s="1"/>
  <c r="BE16" i="35"/>
  <c r="BE16" i="40" s="1"/>
  <c r="BA16" i="35"/>
  <c r="BA16" i="40" s="1"/>
  <c r="AQ10" i="35"/>
  <c r="AQ10" i="40" s="1"/>
  <c r="AQ76" i="40" s="1"/>
  <c r="AU77" i="40" s="1"/>
  <c r="AA10" i="35"/>
  <c r="BC10" i="35"/>
  <c r="BC10" i="40" s="1"/>
  <c r="AU10" i="35"/>
  <c r="AU10" i="40" s="1"/>
  <c r="S10" i="35"/>
  <c r="S10" i="40" s="1"/>
  <c r="S76" i="40" s="1"/>
  <c r="W77" i="40" s="1"/>
  <c r="W10" i="35"/>
  <c r="W10" i="40" s="1"/>
  <c r="AY10" i="35"/>
  <c r="AY10" i="40" s="1"/>
  <c r="AE10" i="35"/>
  <c r="AE10" i="40" s="1"/>
  <c r="AS12" i="35"/>
  <c r="AS12" i="40" s="1"/>
  <c r="AS82" i="40" s="1"/>
  <c r="AW83" i="40" s="1"/>
  <c r="AC12" i="35"/>
  <c r="AC12" i="40" s="1"/>
  <c r="AC64" i="40" s="1"/>
  <c r="BA12" i="35"/>
  <c r="BA12" i="40" s="1"/>
  <c r="BE12" i="35"/>
  <c r="BE12" i="40" s="1"/>
  <c r="AG12" i="35"/>
  <c r="AG12" i="40" s="1"/>
  <c r="Y12" i="35"/>
  <c r="Y12" i="40" s="1"/>
  <c r="U12" i="35"/>
  <c r="U12" i="40" s="1"/>
  <c r="U82" i="40" s="1"/>
  <c r="Y83" i="40" s="1"/>
  <c r="AW12" i="35"/>
  <c r="AW12" i="40" s="1"/>
  <c r="AQ14" i="35"/>
  <c r="AQ14" i="40" s="1"/>
  <c r="AQ88" i="40" s="1"/>
  <c r="AA14" i="35"/>
  <c r="AA14" i="40" s="1"/>
  <c r="AA66" i="40" s="1"/>
  <c r="S14" i="35"/>
  <c r="S14" i="40" s="1"/>
  <c r="S88" i="40" s="1"/>
  <c r="AU14" i="35"/>
  <c r="AU14" i="40" s="1"/>
  <c r="AE14" i="35"/>
  <c r="AY14" i="35"/>
  <c r="AY14" i="40" s="1"/>
  <c r="BC14" i="35"/>
  <c r="BC14" i="40" s="1"/>
  <c r="W14" i="35"/>
  <c r="W14" i="40" s="1"/>
  <c r="BE15" i="35"/>
  <c r="BE15" i="40" s="1"/>
  <c r="AC15" i="35"/>
  <c r="AC15" i="40" s="1"/>
  <c r="AC67" i="40" s="1"/>
  <c r="Y15" i="35"/>
  <c r="Y15" i="40" s="1"/>
  <c r="BA15" i="35"/>
  <c r="BA15" i="40" s="1"/>
  <c r="U15" i="35"/>
  <c r="U15" i="40" s="1"/>
  <c r="U91" i="40" s="1"/>
  <c r="Y92" i="40" s="1"/>
  <c r="AS15" i="35"/>
  <c r="AS15" i="40" s="1"/>
  <c r="AS91" i="40" s="1"/>
  <c r="AW92" i="40" s="1"/>
  <c r="AG15" i="35"/>
  <c r="AG15" i="40" s="1"/>
  <c r="AW15" i="35"/>
  <c r="AW15" i="40" s="1"/>
  <c r="AW17" i="35"/>
  <c r="AW17" i="40" s="1"/>
  <c r="AG17" i="35"/>
  <c r="AG17" i="40" s="1"/>
  <c r="AS17" i="35"/>
  <c r="AS17" i="40" s="1"/>
  <c r="AS97" i="40" s="1"/>
  <c r="BE17" i="35"/>
  <c r="BE17" i="40" s="1"/>
  <c r="U17" i="35"/>
  <c r="U17" i="40" s="1"/>
  <c r="U97" i="40" s="1"/>
  <c r="BA17" i="35"/>
  <c r="BA17" i="40" s="1"/>
  <c r="Y17" i="35"/>
  <c r="Y17" i="40" s="1"/>
  <c r="AC17" i="35"/>
  <c r="AC17" i="40" s="1"/>
  <c r="AC69" i="40" s="1"/>
  <c r="AY4" i="35"/>
  <c r="AY4" i="40" s="1"/>
  <c r="AE4" i="35"/>
  <c r="AE4" i="40" s="1"/>
  <c r="S4" i="35"/>
  <c r="S4" i="40" s="1"/>
  <c r="S58" i="40" s="1"/>
  <c r="W59" i="40" s="1"/>
  <c r="BC4" i="35"/>
  <c r="BC4" i="40" s="1"/>
  <c r="W4" i="35"/>
  <c r="W4" i="40" s="1"/>
  <c r="AU4" i="35"/>
  <c r="AU4" i="40" s="1"/>
  <c r="AQ4" i="35"/>
  <c r="AQ4" i="40" s="1"/>
  <c r="AQ58" i="40" s="1"/>
  <c r="AU59" i="40" s="1"/>
  <c r="AA4" i="35"/>
  <c r="AR11" i="35"/>
  <c r="AR11" i="40" s="1"/>
  <c r="AR79" i="40" s="1"/>
  <c r="AV80" i="40" s="1"/>
  <c r="AB11" i="35"/>
  <c r="AF11" i="35"/>
  <c r="AF11" i="40" s="1"/>
  <c r="AZ11" i="35"/>
  <c r="AZ11" i="40" s="1"/>
  <c r="X11" i="35"/>
  <c r="X11" i="40" s="1"/>
  <c r="AV11" i="35"/>
  <c r="AV11" i="40" s="1"/>
  <c r="T11" i="35"/>
  <c r="T11" i="40" s="1"/>
  <c r="T79" i="40" s="1"/>
  <c r="X80" i="40" s="1"/>
  <c r="BD11" i="35"/>
  <c r="BD11" i="40" s="1"/>
  <c r="AZ13" i="35"/>
  <c r="AZ13" i="40" s="1"/>
  <c r="AV13" i="35"/>
  <c r="AV13" i="40" s="1"/>
  <c r="T13" i="35"/>
  <c r="T13" i="40" s="1"/>
  <c r="T85" i="40" s="1"/>
  <c r="AB13" i="35"/>
  <c r="AB13" i="40" s="1"/>
  <c r="AB65" i="40" s="1"/>
  <c r="X13" i="35"/>
  <c r="X13" i="40" s="1"/>
  <c r="BD13" i="35"/>
  <c r="BD13" i="40" s="1"/>
  <c r="AR13" i="35"/>
  <c r="AR13" i="40" s="1"/>
  <c r="AR85" i="40" s="1"/>
  <c r="AF13" i="35"/>
  <c r="AF13" i="40" s="1"/>
  <c r="BD14" i="35"/>
  <c r="BD14" i="40" s="1"/>
  <c r="AZ14" i="35"/>
  <c r="AZ14" i="40" s="1"/>
  <c r="AR14" i="35"/>
  <c r="AR14" i="40" s="1"/>
  <c r="AR88" i="40" s="1"/>
  <c r="X14" i="35"/>
  <c r="X14" i="40" s="1"/>
  <c r="AV14" i="35"/>
  <c r="AV14" i="40" s="1"/>
  <c r="AF14" i="35"/>
  <c r="AF14" i="40" s="1"/>
  <c r="AB14" i="35"/>
  <c r="AB14" i="40" s="1"/>
  <c r="AB66" i="40" s="1"/>
  <c r="T14" i="35"/>
  <c r="T14" i="40" s="1"/>
  <c r="T88" i="40" s="1"/>
  <c r="AY16" i="35"/>
  <c r="AY16" i="40" s="1"/>
  <c r="AQ16" i="35"/>
  <c r="AQ16" i="40" s="1"/>
  <c r="AQ94" i="40" s="1"/>
  <c r="S16" i="35"/>
  <c r="S16" i="40" s="1"/>
  <c r="S94" i="40" s="1"/>
  <c r="AA16" i="35"/>
  <c r="AA16" i="40" s="1"/>
  <c r="AA68" i="40" s="1"/>
  <c r="W16" i="35"/>
  <c r="W16" i="40" s="1"/>
  <c r="BC16" i="35"/>
  <c r="BC16" i="40" s="1"/>
  <c r="AU16" i="35"/>
  <c r="AU16" i="40" s="1"/>
  <c r="AE16" i="35"/>
  <c r="AE16" i="40" s="1"/>
  <c r="BC17" i="35"/>
  <c r="BC17" i="40" s="1"/>
  <c r="AU17" i="35"/>
  <c r="AU17" i="40" s="1"/>
  <c r="W17" i="35"/>
  <c r="W17" i="40" s="1"/>
  <c r="AQ17" i="35"/>
  <c r="AQ17" i="40" s="1"/>
  <c r="AQ97" i="40" s="1"/>
  <c r="AA17" i="35"/>
  <c r="AA17" i="40" s="1"/>
  <c r="AA69" i="40" s="1"/>
  <c r="AE17" i="35"/>
  <c r="AY17" i="35"/>
  <c r="AY17" i="40" s="1"/>
  <c r="S17" i="35"/>
  <c r="BG16" i="36"/>
  <c r="BG31" i="40" s="1"/>
  <c r="BH3" i="36"/>
  <c r="BH18" i="40" s="1"/>
  <c r="BI11" i="36"/>
  <c r="BI26" i="40" s="1"/>
  <c r="BG3" i="36"/>
  <c r="BG18" i="40" s="1"/>
  <c r="BI3" i="36"/>
  <c r="BI18" i="40" s="1"/>
  <c r="BG14" i="36"/>
  <c r="BG29" i="40" s="1"/>
  <c r="H17" i="35"/>
  <c r="AA61" i="35"/>
  <c r="AA65" i="35"/>
  <c r="AA58" i="35"/>
  <c r="AC62" i="35"/>
  <c r="AC64" i="35"/>
  <c r="AA66" i="35"/>
  <c r="G13" i="35"/>
  <c r="AC58" i="35"/>
  <c r="AC60" i="35"/>
  <c r="AC65" i="35"/>
  <c r="H5" i="35"/>
  <c r="H7" i="35"/>
  <c r="H4" i="35"/>
  <c r="I5" i="35"/>
  <c r="I9" i="35"/>
  <c r="G8" i="35"/>
  <c r="I4" i="35"/>
  <c r="G6" i="35"/>
  <c r="G7" i="35"/>
  <c r="H9" i="35"/>
  <c r="I10" i="35"/>
  <c r="AC63" i="35"/>
  <c r="AA63" i="35"/>
  <c r="G12" i="35"/>
  <c r="G5" i="35"/>
  <c r="H6" i="35"/>
  <c r="H8" i="35"/>
  <c r="AC59" i="35"/>
  <c r="AA59" i="35"/>
  <c r="I7" i="35"/>
  <c r="G9" i="35"/>
  <c r="G11" i="35"/>
  <c r="AA62" i="35"/>
  <c r="H10" i="35"/>
  <c r="AA60" i="35"/>
  <c r="AA64" i="35"/>
  <c r="AQ55" i="40" l="1"/>
  <c r="AU56" i="40" s="1"/>
  <c r="BJ21" i="18" s="1"/>
  <c r="AA55" i="40"/>
  <c r="AM12" i="35"/>
  <c r="AM12" i="40" s="1"/>
  <c r="AI12" i="35"/>
  <c r="AM8" i="35"/>
  <c r="AM8" i="40" s="1"/>
  <c r="AI8" i="35"/>
  <c r="AN17" i="35"/>
  <c r="AN17" i="40" s="1"/>
  <c r="AJ17" i="35"/>
  <c r="AM9" i="35"/>
  <c r="AM9" i="40" s="1"/>
  <c r="AI9" i="35"/>
  <c r="AO9" i="35"/>
  <c r="AO9" i="40" s="1"/>
  <c r="AK9" i="35"/>
  <c r="AN5" i="35"/>
  <c r="AN5" i="40" s="1"/>
  <c r="AJ5" i="35"/>
  <c r="AN10" i="35"/>
  <c r="AN10" i="40" s="1"/>
  <c r="AJ10" i="35"/>
  <c r="AO7" i="35"/>
  <c r="AO7" i="40" s="1"/>
  <c r="AK7" i="35"/>
  <c r="AN6" i="35"/>
  <c r="AN6" i="40" s="1"/>
  <c r="AJ6" i="35"/>
  <c r="AM6" i="35"/>
  <c r="AM6" i="40" s="1"/>
  <c r="AI6" i="35"/>
  <c r="AO5" i="35"/>
  <c r="AO5" i="40" s="1"/>
  <c r="AK5" i="35"/>
  <c r="AM11" i="35"/>
  <c r="AM11" i="40" s="1"/>
  <c r="AI11" i="35"/>
  <c r="AN9" i="35"/>
  <c r="AN9" i="40" s="1"/>
  <c r="AJ9" i="35"/>
  <c r="AJ7" i="35"/>
  <c r="AN7" i="35"/>
  <c r="AN7" i="40" s="1"/>
  <c r="AN8" i="35"/>
  <c r="AN8" i="40" s="1"/>
  <c r="AJ8" i="35"/>
  <c r="AM7" i="35"/>
  <c r="AM7" i="40" s="1"/>
  <c r="AI7" i="35"/>
  <c r="AM13" i="35"/>
  <c r="AM13" i="40" s="1"/>
  <c r="AI13" i="35"/>
  <c r="AM5" i="35"/>
  <c r="AM5" i="40" s="1"/>
  <c r="AI5" i="35"/>
  <c r="AO10" i="35"/>
  <c r="AO10" i="40" s="1"/>
  <c r="AK10" i="35"/>
  <c r="AO4" i="35"/>
  <c r="AO4" i="40" s="1"/>
  <c r="AK4" i="35"/>
  <c r="AN4" i="35"/>
  <c r="AN4" i="40" s="1"/>
  <c r="AJ4" i="35"/>
  <c r="G9" i="40"/>
  <c r="K9" i="35"/>
  <c r="K9" i="40" s="1"/>
  <c r="O9" i="35"/>
  <c r="O9" i="40" s="1"/>
  <c r="G7" i="40"/>
  <c r="O7" i="35"/>
  <c r="O7" i="40" s="1"/>
  <c r="K7" i="35"/>
  <c r="K7" i="40" s="1"/>
  <c r="H5" i="40"/>
  <c r="P5" i="35"/>
  <c r="P5" i="40" s="1"/>
  <c r="L5" i="35"/>
  <c r="L5" i="40" s="1"/>
  <c r="H10" i="40"/>
  <c r="L10" i="35"/>
  <c r="L10" i="40" s="1"/>
  <c r="P10" i="35"/>
  <c r="P10" i="40" s="1"/>
  <c r="I7" i="40"/>
  <c r="M7" i="35"/>
  <c r="M7" i="40" s="1"/>
  <c r="Q7" i="35"/>
  <c r="Q7" i="40" s="1"/>
  <c r="H6" i="40"/>
  <c r="L6" i="35"/>
  <c r="L6" i="40" s="1"/>
  <c r="P6" i="35"/>
  <c r="P6" i="40" s="1"/>
  <c r="G6" i="40"/>
  <c r="O6" i="35"/>
  <c r="O6" i="40" s="1"/>
  <c r="K6" i="35"/>
  <c r="K6" i="40" s="1"/>
  <c r="I5" i="40"/>
  <c r="Q5" i="35"/>
  <c r="Q5" i="40" s="1"/>
  <c r="M5" i="35"/>
  <c r="M5" i="40" s="1"/>
  <c r="H8" i="40"/>
  <c r="P8" i="35"/>
  <c r="P8" i="40" s="1"/>
  <c r="L8" i="35"/>
  <c r="L8" i="40" s="1"/>
  <c r="I9" i="40"/>
  <c r="Q9" i="35"/>
  <c r="Q9" i="40" s="1"/>
  <c r="M9" i="35"/>
  <c r="M9" i="40" s="1"/>
  <c r="G13" i="40"/>
  <c r="K13" i="35"/>
  <c r="K13" i="40" s="1"/>
  <c r="O13" i="35"/>
  <c r="O13" i="40" s="1"/>
  <c r="G5" i="40"/>
  <c r="K5" i="35"/>
  <c r="K5" i="40" s="1"/>
  <c r="O5" i="35"/>
  <c r="O5" i="40" s="1"/>
  <c r="I10" i="40"/>
  <c r="Q10" i="35"/>
  <c r="Q10" i="40" s="1"/>
  <c r="M10" i="35"/>
  <c r="M10" i="40" s="1"/>
  <c r="I4" i="40"/>
  <c r="Q4" i="35"/>
  <c r="Q4" i="40" s="1"/>
  <c r="M4" i="35"/>
  <c r="M4" i="40" s="1"/>
  <c r="H4" i="40"/>
  <c r="P4" i="35"/>
  <c r="P4" i="40" s="1"/>
  <c r="B76" i="12" s="1"/>
  <c r="L4" i="35"/>
  <c r="L4" i="40" s="1"/>
  <c r="G11" i="40"/>
  <c r="O11" i="35"/>
  <c r="O11" i="40" s="1"/>
  <c r="K11" i="35"/>
  <c r="K11" i="40" s="1"/>
  <c r="G12" i="40"/>
  <c r="O12" i="35"/>
  <c r="O12" i="40" s="1"/>
  <c r="K12" i="35"/>
  <c r="K12" i="40" s="1"/>
  <c r="H9" i="40"/>
  <c r="P9" i="35"/>
  <c r="P9" i="40" s="1"/>
  <c r="L9" i="35"/>
  <c r="L9" i="40" s="1"/>
  <c r="G8" i="40"/>
  <c r="O8" i="35"/>
  <c r="O8" i="40" s="1"/>
  <c r="K8" i="35"/>
  <c r="K8" i="40" s="1"/>
  <c r="H7" i="40"/>
  <c r="P7" i="35"/>
  <c r="P7" i="40" s="1"/>
  <c r="L7" i="35"/>
  <c r="L7" i="40" s="1"/>
  <c r="H17" i="40"/>
  <c r="P17" i="35"/>
  <c r="P17" i="40" s="1"/>
  <c r="L17" i="35"/>
  <c r="L17" i="40" s="1"/>
  <c r="BN32" i="18"/>
  <c r="BN33" i="18"/>
  <c r="BL57" i="18"/>
  <c r="BL56" i="18"/>
  <c r="BN21" i="18"/>
  <c r="BN20" i="18"/>
  <c r="BL52" i="18"/>
  <c r="BL53" i="18"/>
  <c r="BJ24" i="18"/>
  <c r="BJ25" i="18"/>
  <c r="BN69" i="18"/>
  <c r="BN68" i="18"/>
  <c r="BN56" i="18"/>
  <c r="BN57" i="18"/>
  <c r="BJ48" i="18"/>
  <c r="BJ49" i="18"/>
  <c r="BL68" i="18"/>
  <c r="BL69" i="18"/>
  <c r="BN40" i="18"/>
  <c r="BN41" i="18"/>
  <c r="BJ68" i="18"/>
  <c r="BJ69" i="18"/>
  <c r="BN53" i="18"/>
  <c r="BN52" i="18"/>
  <c r="BL20" i="18"/>
  <c r="BL21" i="18"/>
  <c r="S55" i="40"/>
  <c r="W56" i="40" s="1"/>
  <c r="BI20" i="18" s="1"/>
  <c r="X95" i="40"/>
  <c r="BK72" i="18" s="1"/>
  <c r="BK21" i="18"/>
  <c r="BK20" i="18"/>
  <c r="Y95" i="40"/>
  <c r="BM71" i="18" s="1"/>
  <c r="AV95" i="40"/>
  <c r="BM55" i="18"/>
  <c r="BM56" i="18"/>
  <c r="BM57" i="18"/>
  <c r="AW95" i="40"/>
  <c r="AU98" i="40"/>
  <c r="AW98" i="40"/>
  <c r="AU95" i="40"/>
  <c r="BK52" i="18"/>
  <c r="BK51" i="18"/>
  <c r="BK53" i="18"/>
  <c r="BI25" i="18"/>
  <c r="BI23" i="18"/>
  <c r="BI24" i="18"/>
  <c r="Y65" i="40"/>
  <c r="BM33" i="18" s="1"/>
  <c r="AV86" i="40"/>
  <c r="Y98" i="40"/>
  <c r="BM77" i="18" s="1"/>
  <c r="X89" i="40"/>
  <c r="BK63" i="18" s="1"/>
  <c r="BK19" i="18"/>
  <c r="Y89" i="40"/>
  <c r="BM65" i="18" s="1"/>
  <c r="W89" i="40"/>
  <c r="BI65" i="18" s="1"/>
  <c r="X86" i="40"/>
  <c r="BK60" i="18" s="1"/>
  <c r="S96" i="40"/>
  <c r="W95" i="40" s="1"/>
  <c r="S99" i="40"/>
  <c r="BM52" i="18"/>
  <c r="BM51" i="18"/>
  <c r="BM53" i="18"/>
  <c r="BI49" i="18"/>
  <c r="BI47" i="18"/>
  <c r="BI48" i="18"/>
  <c r="BI69" i="18"/>
  <c r="BI68" i="18"/>
  <c r="BI67" i="18"/>
  <c r="BM41" i="18"/>
  <c r="BM40" i="18"/>
  <c r="BM39" i="18"/>
  <c r="AW89" i="40"/>
  <c r="AV89" i="40"/>
  <c r="AU89" i="40"/>
  <c r="BM21" i="18"/>
  <c r="BM20" i="18"/>
  <c r="BM19" i="18"/>
  <c r="AW86" i="40"/>
  <c r="BK67" i="18"/>
  <c r="BK68" i="18"/>
  <c r="BK69" i="18"/>
  <c r="BM68" i="18"/>
  <c r="BM69" i="18"/>
  <c r="BM67" i="18"/>
  <c r="CA17" i="35"/>
  <c r="CA17" i="40" s="1"/>
  <c r="AE17" i="40"/>
  <c r="BH14" i="35"/>
  <c r="BH14" i="40" s="1"/>
  <c r="AJ14" i="40"/>
  <c r="BI15" i="35"/>
  <c r="BI15" i="40" s="1"/>
  <c r="AK15" i="40"/>
  <c r="BG14" i="35"/>
  <c r="BG14" i="40" s="1"/>
  <c r="AI14" i="40"/>
  <c r="BI12" i="35"/>
  <c r="BI12" i="40" s="1"/>
  <c r="AK12" i="40"/>
  <c r="BH15" i="35"/>
  <c r="BH15" i="40" s="1"/>
  <c r="AJ15" i="40"/>
  <c r="AC8" i="40"/>
  <c r="AC60" i="40" s="1"/>
  <c r="BH16" i="35"/>
  <c r="BH16" i="40" s="1"/>
  <c r="AJ16" i="40"/>
  <c r="BQ13" i="35"/>
  <c r="BQ13" i="40" s="1"/>
  <c r="U13" i="40"/>
  <c r="U85" i="40" s="1"/>
  <c r="Y86" i="40" s="1"/>
  <c r="BO17" i="35"/>
  <c r="BO17" i="40" s="1"/>
  <c r="S17" i="40"/>
  <c r="S97" i="40" s="1"/>
  <c r="BG16" i="35"/>
  <c r="BG16" i="40" s="1"/>
  <c r="AI16" i="40"/>
  <c r="BH13" i="35"/>
  <c r="BH13" i="40" s="1"/>
  <c r="AJ13" i="40"/>
  <c r="AB11" i="40"/>
  <c r="AB63" i="40" s="1"/>
  <c r="AA4" i="40"/>
  <c r="AA56" i="40" s="1"/>
  <c r="BG4" i="35"/>
  <c r="BG4" i="40" s="1"/>
  <c r="AI4" i="40"/>
  <c r="CA14" i="35"/>
  <c r="CA14" i="40" s="1"/>
  <c r="AE14" i="40"/>
  <c r="AA10" i="40"/>
  <c r="AA62" i="40" s="1"/>
  <c r="BI16" i="35"/>
  <c r="BI16" i="40" s="1"/>
  <c r="AK16" i="40"/>
  <c r="BI14" i="35"/>
  <c r="BI14" i="40" s="1"/>
  <c r="AK14" i="40"/>
  <c r="BI8" i="35"/>
  <c r="BI8" i="40" s="1"/>
  <c r="AK8" i="40"/>
  <c r="BG15" i="35"/>
  <c r="BG15" i="40" s="1"/>
  <c r="AI15" i="40"/>
  <c r="AC11" i="40"/>
  <c r="AC63" i="40" s="1"/>
  <c r="CG11" i="35"/>
  <c r="CG11" i="40" s="1"/>
  <c r="AG11" i="40"/>
  <c r="BI6" i="35"/>
  <c r="BI6" i="40" s="1"/>
  <c r="AK6" i="40"/>
  <c r="BG17" i="35"/>
  <c r="BG17" i="40" s="1"/>
  <c r="AI17" i="40"/>
  <c r="BG10" i="35"/>
  <c r="BG10" i="40" s="1"/>
  <c r="AI10" i="40"/>
  <c r="CB15" i="35"/>
  <c r="CB15" i="40" s="1"/>
  <c r="AF15" i="40"/>
  <c r="BL12" i="35"/>
  <c r="BL12" i="40" s="1"/>
  <c r="T12" i="40"/>
  <c r="T82" i="40" s="1"/>
  <c r="X83" i="40" s="1"/>
  <c r="BK55" i="18" s="1"/>
  <c r="BU13" i="35"/>
  <c r="BU13" i="40" s="1"/>
  <c r="Y13" i="40"/>
  <c r="BI11" i="35"/>
  <c r="BI11" i="40" s="1"/>
  <c r="AK11" i="40"/>
  <c r="BH11" i="35"/>
  <c r="BH11" i="40" s="1"/>
  <c r="AJ11" i="40"/>
  <c r="BI17" i="35"/>
  <c r="BI17" i="40" s="1"/>
  <c r="AK17" i="40"/>
  <c r="CC16" i="35"/>
  <c r="CC16" i="40" s="1"/>
  <c r="AG16" i="40"/>
  <c r="BH12" i="35"/>
  <c r="BH12" i="40" s="1"/>
  <c r="AJ12" i="40"/>
  <c r="BX16" i="35"/>
  <c r="BX16" i="40" s="1"/>
  <c r="X16" i="40"/>
  <c r="BI13" i="35"/>
  <c r="BI13" i="40" s="1"/>
  <c r="AK13" i="40"/>
  <c r="AC6" i="40"/>
  <c r="AC58" i="40" s="1"/>
  <c r="BD6" i="35"/>
  <c r="BD6" i="40" s="1"/>
  <c r="AV6" i="35"/>
  <c r="AV6" i="40" s="1"/>
  <c r="X6" i="35"/>
  <c r="AZ6" i="35"/>
  <c r="AZ6" i="40" s="1"/>
  <c r="T6" i="35"/>
  <c r="AR6" i="35"/>
  <c r="AR6" i="40" s="1"/>
  <c r="AR64" i="40" s="1"/>
  <c r="AV65" i="40" s="1"/>
  <c r="AB6" i="35"/>
  <c r="AF6" i="35"/>
  <c r="AY12" i="35"/>
  <c r="AY12" i="40" s="1"/>
  <c r="BC12" i="35"/>
  <c r="BC12" i="40" s="1"/>
  <c r="AA12" i="35"/>
  <c r="AA12" i="40" s="1"/>
  <c r="AA64" i="40" s="1"/>
  <c r="S12" i="35"/>
  <c r="S12" i="40" s="1"/>
  <c r="S82" i="40" s="1"/>
  <c r="W83" i="40" s="1"/>
  <c r="BI57" i="18" s="1"/>
  <c r="AU12" i="35"/>
  <c r="AU12" i="40" s="1"/>
  <c r="AQ12" i="35"/>
  <c r="AQ12" i="40" s="1"/>
  <c r="AQ82" i="40" s="1"/>
  <c r="AU83" i="40" s="1"/>
  <c r="W12" i="35"/>
  <c r="W12" i="40" s="1"/>
  <c r="AE12" i="35"/>
  <c r="AE12" i="40" s="1"/>
  <c r="BA10" i="35"/>
  <c r="BA10" i="40" s="1"/>
  <c r="AS10" i="35"/>
  <c r="AS10" i="40" s="1"/>
  <c r="AS76" i="40" s="1"/>
  <c r="AW77" i="40" s="1"/>
  <c r="BE10" i="35"/>
  <c r="BE10" i="40" s="1"/>
  <c r="U10" i="35"/>
  <c r="U10" i="40" s="1"/>
  <c r="U76" i="40" s="1"/>
  <c r="Y77" i="40" s="1"/>
  <c r="BM49" i="18" s="1"/>
  <c r="AC10" i="35"/>
  <c r="AW10" i="35"/>
  <c r="AW10" i="40" s="1"/>
  <c r="AG10" i="35"/>
  <c r="AG10" i="40" s="1"/>
  <c r="Y10" i="35"/>
  <c r="Y10" i="40" s="1"/>
  <c r="AS4" i="35"/>
  <c r="AS4" i="40" s="1"/>
  <c r="AS58" i="40" s="1"/>
  <c r="AW59" i="40" s="1"/>
  <c r="BE4" i="35"/>
  <c r="BE4" i="40" s="1"/>
  <c r="AW4" i="35"/>
  <c r="AW4" i="40" s="1"/>
  <c r="AC4" i="35"/>
  <c r="U4" i="35"/>
  <c r="AG4" i="35"/>
  <c r="AG4" i="40" s="1"/>
  <c r="BA4" i="35"/>
  <c r="BA4" i="40" s="1"/>
  <c r="Y4" i="35"/>
  <c r="Y4" i="40" s="1"/>
  <c r="AW9" i="35"/>
  <c r="AW9" i="40" s="1"/>
  <c r="AG9" i="35"/>
  <c r="Y9" i="35"/>
  <c r="BE9" i="35"/>
  <c r="BE9" i="40" s="1"/>
  <c r="BA9" i="35"/>
  <c r="BA9" i="40" s="1"/>
  <c r="AS9" i="35"/>
  <c r="AS9" i="40" s="1"/>
  <c r="AS73" i="40" s="1"/>
  <c r="AW74" i="40" s="1"/>
  <c r="AC9" i="35"/>
  <c r="U9" i="35"/>
  <c r="AR7" i="35"/>
  <c r="AR7" i="40" s="1"/>
  <c r="AR67" i="40" s="1"/>
  <c r="AV68" i="40" s="1"/>
  <c r="AZ7" i="35"/>
  <c r="AZ7" i="40" s="1"/>
  <c r="AB7" i="35"/>
  <c r="AV7" i="35"/>
  <c r="AV7" i="40" s="1"/>
  <c r="AF7" i="35"/>
  <c r="T7" i="35"/>
  <c r="BD7" i="35"/>
  <c r="BD7" i="40" s="1"/>
  <c r="X7" i="35"/>
  <c r="BE7" i="35"/>
  <c r="BE7" i="40" s="1"/>
  <c r="AG7" i="35"/>
  <c r="AG7" i="40" s="1"/>
  <c r="Y7" i="35"/>
  <c r="AS7" i="35"/>
  <c r="AS7" i="40" s="1"/>
  <c r="AS67" i="40" s="1"/>
  <c r="AW68" i="40" s="1"/>
  <c r="AW7" i="35"/>
  <c r="AW7" i="40" s="1"/>
  <c r="AC7" i="35"/>
  <c r="U7" i="35"/>
  <c r="BA7" i="35"/>
  <c r="BA7" i="40" s="1"/>
  <c r="BC5" i="35"/>
  <c r="BC5" i="40" s="1"/>
  <c r="W5" i="35"/>
  <c r="AU5" i="35"/>
  <c r="AU5" i="40" s="1"/>
  <c r="AE5" i="35"/>
  <c r="AY5" i="35"/>
  <c r="AY5" i="40" s="1"/>
  <c r="AA5" i="35"/>
  <c r="S5" i="35"/>
  <c r="S5" i="40" s="1"/>
  <c r="S61" i="40" s="1"/>
  <c r="W62" i="40" s="1"/>
  <c r="AQ5" i="35"/>
  <c r="AQ5" i="40" s="1"/>
  <c r="AQ61" i="40" s="1"/>
  <c r="AU62" i="40" s="1"/>
  <c r="AZ9" i="35"/>
  <c r="AZ9" i="40" s="1"/>
  <c r="AF9" i="35"/>
  <c r="AF9" i="40" s="1"/>
  <c r="AV9" i="35"/>
  <c r="AV9" i="40" s="1"/>
  <c r="T9" i="35"/>
  <c r="T9" i="40" s="1"/>
  <c r="T73" i="40" s="1"/>
  <c r="X74" i="40" s="1"/>
  <c r="BD9" i="35"/>
  <c r="BD9" i="40" s="1"/>
  <c r="AR9" i="35"/>
  <c r="AR9" i="40" s="1"/>
  <c r="AR73" i="40" s="1"/>
  <c r="AV74" i="40" s="1"/>
  <c r="AB9" i="35"/>
  <c r="X9" i="35"/>
  <c r="X9" i="40" s="1"/>
  <c r="AY8" i="35"/>
  <c r="AY8" i="40" s="1"/>
  <c r="AU8" i="35"/>
  <c r="AU8" i="40" s="1"/>
  <c r="BC8" i="35"/>
  <c r="BC8" i="40" s="1"/>
  <c r="AQ8" i="35"/>
  <c r="AQ8" i="40" s="1"/>
  <c r="AQ70" i="40" s="1"/>
  <c r="AU71" i="40" s="1"/>
  <c r="AE8" i="35"/>
  <c r="W8" i="35"/>
  <c r="W8" i="40" s="1"/>
  <c r="S8" i="35"/>
  <c r="S8" i="40" s="1"/>
  <c r="S70" i="40" s="1"/>
  <c r="W71" i="40" s="1"/>
  <c r="BI41" i="18" s="1"/>
  <c r="AA8" i="35"/>
  <c r="AW5" i="35"/>
  <c r="AW5" i="40" s="1"/>
  <c r="AG5" i="35"/>
  <c r="BA5" i="35"/>
  <c r="BA5" i="40" s="1"/>
  <c r="BE5" i="35"/>
  <c r="BE5" i="40" s="1"/>
  <c r="AS5" i="35"/>
  <c r="AS5" i="40" s="1"/>
  <c r="AS61" i="40" s="1"/>
  <c r="AW62" i="40" s="1"/>
  <c r="AC5" i="35"/>
  <c r="Y5" i="35"/>
  <c r="U5" i="35"/>
  <c r="AZ5" i="35"/>
  <c r="AZ5" i="40" s="1"/>
  <c r="AR5" i="35"/>
  <c r="AR5" i="40" s="1"/>
  <c r="AR61" i="40" s="1"/>
  <c r="AV62" i="40" s="1"/>
  <c r="AF5" i="35"/>
  <c r="AB5" i="35"/>
  <c r="T5" i="35"/>
  <c r="AV5" i="35"/>
  <c r="AV5" i="40" s="1"/>
  <c r="BD5" i="35"/>
  <c r="BD5" i="40" s="1"/>
  <c r="X5" i="35"/>
  <c r="BD10" i="35"/>
  <c r="BD10" i="40" s="1"/>
  <c r="AB10" i="35"/>
  <c r="X10" i="35"/>
  <c r="AR10" i="35"/>
  <c r="AR10" i="40" s="1"/>
  <c r="AR76" i="40" s="1"/>
  <c r="AV77" i="40" s="1"/>
  <c r="AF10" i="35"/>
  <c r="AF10" i="40" s="1"/>
  <c r="AZ10" i="35"/>
  <c r="AZ10" i="40" s="1"/>
  <c r="AV10" i="35"/>
  <c r="AV10" i="40" s="1"/>
  <c r="T10" i="35"/>
  <c r="AU11" i="35"/>
  <c r="AU11" i="40" s="1"/>
  <c r="AE11" i="35"/>
  <c r="AE11" i="40" s="1"/>
  <c r="AY11" i="35"/>
  <c r="AY11" i="40" s="1"/>
  <c r="AA11" i="35"/>
  <c r="AQ11" i="35"/>
  <c r="AQ11" i="40" s="1"/>
  <c r="AQ79" i="40" s="1"/>
  <c r="AU80" i="40" s="1"/>
  <c r="W11" i="35"/>
  <c r="W11" i="40" s="1"/>
  <c r="S11" i="35"/>
  <c r="S11" i="40" s="1"/>
  <c r="S79" i="40" s="1"/>
  <c r="W80" i="40" s="1"/>
  <c r="BI51" i="18" s="1"/>
  <c r="BC11" i="35"/>
  <c r="BC11" i="40" s="1"/>
  <c r="AV8" i="35"/>
  <c r="AV8" i="40" s="1"/>
  <c r="AF8" i="35"/>
  <c r="BD8" i="35"/>
  <c r="BD8" i="40" s="1"/>
  <c r="T8" i="35"/>
  <c r="T8" i="40" s="1"/>
  <c r="T70" i="40" s="1"/>
  <c r="X71" i="40" s="1"/>
  <c r="AZ8" i="35"/>
  <c r="AZ8" i="40" s="1"/>
  <c r="X8" i="35"/>
  <c r="X8" i="40" s="1"/>
  <c r="AR8" i="35"/>
  <c r="AR8" i="40" s="1"/>
  <c r="AR70" i="40" s="1"/>
  <c r="AV71" i="40" s="1"/>
  <c r="AB8" i="35"/>
  <c r="AU7" i="35"/>
  <c r="AU7" i="40" s="1"/>
  <c r="AE7" i="35"/>
  <c r="AQ7" i="35"/>
  <c r="AQ7" i="40" s="1"/>
  <c r="AQ67" i="40" s="1"/>
  <c r="AU68" i="40" s="1"/>
  <c r="AA7" i="35"/>
  <c r="BC7" i="35"/>
  <c r="BC7" i="40" s="1"/>
  <c r="AY7" i="35"/>
  <c r="AY7" i="40" s="1"/>
  <c r="W7" i="35"/>
  <c r="W7" i="40" s="1"/>
  <c r="S7" i="35"/>
  <c r="BP12" i="35"/>
  <c r="BP12" i="40" s="1"/>
  <c r="AV4" i="35"/>
  <c r="AV4" i="40" s="1"/>
  <c r="AF4" i="35"/>
  <c r="AZ4" i="35"/>
  <c r="AZ4" i="40" s="1"/>
  <c r="X4" i="35"/>
  <c r="AR4" i="35"/>
  <c r="AR4" i="40" s="1"/>
  <c r="AR58" i="40" s="1"/>
  <c r="AV59" i="40" s="1"/>
  <c r="T4" i="35"/>
  <c r="BD4" i="35"/>
  <c r="BD4" i="40" s="1"/>
  <c r="AB4" i="35"/>
  <c r="AB4" i="40" s="1"/>
  <c r="AB56" i="40" s="1"/>
  <c r="AZ17" i="35"/>
  <c r="AZ17" i="40" s="1"/>
  <c r="BD17" i="35"/>
  <c r="BD17" i="40" s="1"/>
  <c r="AB17" i="35"/>
  <c r="AB17" i="40" s="1"/>
  <c r="AB69" i="40" s="1"/>
  <c r="T17" i="35"/>
  <c r="AR17" i="35"/>
  <c r="AR17" i="40" s="1"/>
  <c r="AR97" i="40" s="1"/>
  <c r="AV98" i="40" s="1"/>
  <c r="AF17" i="35"/>
  <c r="AV17" i="35"/>
  <c r="AV17" i="40" s="1"/>
  <c r="X17" i="35"/>
  <c r="BC9" i="35"/>
  <c r="BC9" i="40" s="1"/>
  <c r="AY9" i="35"/>
  <c r="AY9" i="40" s="1"/>
  <c r="AQ9" i="35"/>
  <c r="AQ9" i="40" s="1"/>
  <c r="AQ73" i="40" s="1"/>
  <c r="AU74" i="40" s="1"/>
  <c r="W9" i="35"/>
  <c r="W9" i="40" s="1"/>
  <c r="AA9" i="35"/>
  <c r="AU9" i="35"/>
  <c r="AU9" i="40" s="1"/>
  <c r="AE9" i="35"/>
  <c r="AE9" i="40" s="1"/>
  <c r="S9" i="35"/>
  <c r="AQ6" i="35"/>
  <c r="AQ6" i="40" s="1"/>
  <c r="AQ64" i="40" s="1"/>
  <c r="AU65" i="40" s="1"/>
  <c r="AE6" i="35"/>
  <c r="AE6" i="40" s="1"/>
  <c r="AA6" i="35"/>
  <c r="W6" i="35"/>
  <c r="AY6" i="35"/>
  <c r="AY6" i="40" s="1"/>
  <c r="BC6" i="35"/>
  <c r="BC6" i="40" s="1"/>
  <c r="S6" i="35"/>
  <c r="AU6" i="35"/>
  <c r="AU6" i="40" s="1"/>
  <c r="BC13" i="35"/>
  <c r="BC13" i="40" s="1"/>
  <c r="AE13" i="35"/>
  <c r="W13" i="35"/>
  <c r="AQ13" i="35"/>
  <c r="AQ13" i="40" s="1"/>
  <c r="AQ85" i="40" s="1"/>
  <c r="AU86" i="40" s="1"/>
  <c r="AA13" i="35"/>
  <c r="AA13" i="40" s="1"/>
  <c r="AA65" i="40" s="1"/>
  <c r="AU13" i="35"/>
  <c r="AU13" i="40" s="1"/>
  <c r="AY13" i="35"/>
  <c r="AY13" i="40" s="1"/>
  <c r="S13" i="35"/>
  <c r="BM3" i="36"/>
  <c r="BM18" i="40" s="1"/>
  <c r="BQ3" i="36"/>
  <c r="BQ18" i="40" s="1"/>
  <c r="BY3" i="36"/>
  <c r="BY18" i="40" s="1"/>
  <c r="BU3" i="36"/>
  <c r="BU18" i="40" s="1"/>
  <c r="CA16" i="36"/>
  <c r="CA31" i="40" s="1"/>
  <c r="CE16" i="36"/>
  <c r="CE31" i="40" s="1"/>
  <c r="BM11" i="36"/>
  <c r="BM26" i="40" s="1"/>
  <c r="BQ11" i="36"/>
  <c r="BQ26" i="40" s="1"/>
  <c r="BY11" i="36"/>
  <c r="BY26" i="40" s="1"/>
  <c r="BU11" i="36"/>
  <c r="BU26" i="40" s="1"/>
  <c r="BX3" i="36"/>
  <c r="BX18" i="40" s="1"/>
  <c r="BT3" i="36"/>
  <c r="BT18" i="40" s="1"/>
  <c r="CC3" i="36"/>
  <c r="CC18" i="40" s="1"/>
  <c r="CG3" i="36"/>
  <c r="CG18" i="40" s="1"/>
  <c r="BO3" i="36"/>
  <c r="BO18" i="40" s="1"/>
  <c r="BK3" i="36"/>
  <c r="BK18" i="40" s="1"/>
  <c r="CC11" i="36"/>
  <c r="CC26" i="40" s="1"/>
  <c r="CG11" i="36"/>
  <c r="CG26" i="40" s="1"/>
  <c r="CF3" i="36"/>
  <c r="CF18" i="40" s="1"/>
  <c r="CB3" i="36"/>
  <c r="CB18" i="40" s="1"/>
  <c r="BS14" i="36"/>
  <c r="BS29" i="40" s="1"/>
  <c r="BW14" i="36"/>
  <c r="BW29" i="40" s="1"/>
  <c r="BP3" i="36"/>
  <c r="BP18" i="40" s="1"/>
  <c r="BL3" i="36"/>
  <c r="BL18" i="40" s="1"/>
  <c r="BS3" i="36"/>
  <c r="BS18" i="40" s="1"/>
  <c r="BW3" i="36"/>
  <c r="BW18" i="40" s="1"/>
  <c r="BO16" i="36"/>
  <c r="BO31" i="40" s="1"/>
  <c r="BK16" i="36"/>
  <c r="BK31" i="40" s="1"/>
  <c r="CE14" i="36"/>
  <c r="CE29" i="40" s="1"/>
  <c r="CA14" i="36"/>
  <c r="CA29" i="40" s="1"/>
  <c r="BO14" i="36"/>
  <c r="BO29" i="40" s="1"/>
  <c r="BK14" i="36"/>
  <c r="BK29" i="40" s="1"/>
  <c r="BW16" i="36"/>
  <c r="BW31" i="40" s="1"/>
  <c r="BS16" i="36"/>
  <c r="BS31" i="40" s="1"/>
  <c r="CE3" i="36"/>
  <c r="CE18" i="40" s="1"/>
  <c r="CA3" i="36"/>
  <c r="CA18" i="40" s="1"/>
  <c r="BG10" i="36"/>
  <c r="BG25" i="40" s="1"/>
  <c r="BG11" i="36"/>
  <c r="BG26" i="40" s="1"/>
  <c r="BG9" i="36"/>
  <c r="BG24" i="40" s="1"/>
  <c r="BI14" i="36"/>
  <c r="BI29" i="40" s="1"/>
  <c r="BI15" i="36"/>
  <c r="BI30" i="40" s="1"/>
  <c r="BH6" i="36"/>
  <c r="BH21" i="40" s="1"/>
  <c r="BG7" i="36"/>
  <c r="BG22" i="40" s="1"/>
  <c r="BH5" i="36"/>
  <c r="BH20" i="40" s="1"/>
  <c r="BG13" i="36"/>
  <c r="BG28" i="40" s="1"/>
  <c r="BI13" i="36"/>
  <c r="BI28" i="40" s="1"/>
  <c r="BM13" i="35"/>
  <c r="BM13" i="40" s="1"/>
  <c r="BG4" i="36"/>
  <c r="BG19" i="40" s="1"/>
  <c r="BH4" i="36"/>
  <c r="BH19" i="40" s="1"/>
  <c r="BI5" i="36"/>
  <c r="BI20" i="40" s="1"/>
  <c r="BI6" i="36"/>
  <c r="BI21" i="40" s="1"/>
  <c r="BH15" i="36"/>
  <c r="BH30" i="40" s="1"/>
  <c r="BI9" i="36"/>
  <c r="BI24" i="40" s="1"/>
  <c r="BI16" i="36"/>
  <c r="BI31" i="40" s="1"/>
  <c r="BI12" i="36"/>
  <c r="BI27" i="40" s="1"/>
  <c r="BH10" i="36"/>
  <c r="BH25" i="40" s="1"/>
  <c r="BH8" i="36"/>
  <c r="BH23" i="40" s="1"/>
  <c r="BI4" i="36"/>
  <c r="BI19" i="40" s="1"/>
  <c r="BH11" i="36"/>
  <c r="BH26" i="40" s="1"/>
  <c r="BH14" i="36"/>
  <c r="BH29" i="40" s="1"/>
  <c r="BG8" i="36"/>
  <c r="BG23" i="40" s="1"/>
  <c r="BG6" i="36"/>
  <c r="BG21" i="40" s="1"/>
  <c r="BI10" i="36"/>
  <c r="BI25" i="40" s="1"/>
  <c r="BH12" i="36"/>
  <c r="BH27" i="40" s="1"/>
  <c r="BH9" i="36"/>
  <c r="BH24" i="40" s="1"/>
  <c r="BI7" i="36"/>
  <c r="BI22" i="40" s="1"/>
  <c r="BI8" i="36"/>
  <c r="BI23" i="40" s="1"/>
  <c r="BG5" i="36"/>
  <c r="BG20" i="40" s="1"/>
  <c r="BH7" i="36"/>
  <c r="BH22" i="40" s="1"/>
  <c r="BH13" i="36"/>
  <c r="BH28" i="40" s="1"/>
  <c r="BG15" i="36"/>
  <c r="BG30" i="40" s="1"/>
  <c r="BH16" i="36"/>
  <c r="BH31" i="40" s="1"/>
  <c r="BG12" i="36"/>
  <c r="BG27" i="40" s="1"/>
  <c r="BT16" i="35"/>
  <c r="BT16" i="40" s="1"/>
  <c r="CE14" i="35"/>
  <c r="CE14" i="40" s="1"/>
  <c r="CC11" i="35"/>
  <c r="CC11" i="40" s="1"/>
  <c r="BY13" i="35"/>
  <c r="BY13" i="40" s="1"/>
  <c r="CE17" i="35"/>
  <c r="CE17" i="40" s="1"/>
  <c r="BK17" i="35"/>
  <c r="BK17" i="40" s="1"/>
  <c r="BO3" i="35"/>
  <c r="BO3" i="40" s="1"/>
  <c r="CG16" i="35"/>
  <c r="CG16" i="40" s="1"/>
  <c r="CF15" i="35"/>
  <c r="CF15" i="40" s="1"/>
  <c r="BY17" i="35"/>
  <c r="BY17" i="40" s="1"/>
  <c r="BU17" i="35"/>
  <c r="BU17" i="40" s="1"/>
  <c r="BH3" i="35"/>
  <c r="BH3" i="40" s="1"/>
  <c r="BS3" i="35"/>
  <c r="BS3" i="40" s="1"/>
  <c r="CE3" i="35"/>
  <c r="CE3" i="40" s="1"/>
  <c r="BG3" i="35"/>
  <c r="BG3" i="40" s="1"/>
  <c r="BT15" i="35"/>
  <c r="BT15" i="40" s="1"/>
  <c r="BX15" i="35"/>
  <c r="BX15" i="40" s="1"/>
  <c r="BM14" i="35"/>
  <c r="BM14" i="40" s="1"/>
  <c r="BQ14" i="35"/>
  <c r="BQ14" i="40" s="1"/>
  <c r="BU11" i="35"/>
  <c r="BU11" i="40" s="1"/>
  <c r="BY11" i="35"/>
  <c r="BY11" i="40" s="1"/>
  <c r="BK16" i="35"/>
  <c r="BK16" i="40" s="1"/>
  <c r="BO16" i="35"/>
  <c r="BO16" i="40" s="1"/>
  <c r="BY14" i="35"/>
  <c r="BY14" i="40" s="1"/>
  <c r="BU14" i="35"/>
  <c r="BU14" i="40" s="1"/>
  <c r="CB14" i="35"/>
  <c r="CB14" i="40" s="1"/>
  <c r="CF14" i="35"/>
  <c r="CF14" i="40" s="1"/>
  <c r="BL13" i="35"/>
  <c r="BL13" i="40" s="1"/>
  <c r="BP13" i="35"/>
  <c r="BP13" i="40" s="1"/>
  <c r="BK15" i="35"/>
  <c r="BK15" i="40" s="1"/>
  <c r="BO15" i="35"/>
  <c r="BO15" i="40" s="1"/>
  <c r="CA16" i="35"/>
  <c r="CA16" i="40" s="1"/>
  <c r="CE16" i="35"/>
  <c r="CE16" i="40" s="1"/>
  <c r="BQ12" i="35"/>
  <c r="BQ12" i="40" s="1"/>
  <c r="BM12" i="35"/>
  <c r="BM12" i="40" s="1"/>
  <c r="BO10" i="35"/>
  <c r="BO10" i="40" s="1"/>
  <c r="BK10" i="35"/>
  <c r="BK10" i="40" s="1"/>
  <c r="BQ8" i="35"/>
  <c r="BQ8" i="40" s="1"/>
  <c r="BM8" i="35"/>
  <c r="BM8" i="40" s="1"/>
  <c r="CB13" i="35"/>
  <c r="CB13" i="40" s="1"/>
  <c r="CF13" i="35"/>
  <c r="CF13" i="40" s="1"/>
  <c r="BW16" i="35"/>
  <c r="BW16" i="40" s="1"/>
  <c r="BS16" i="35"/>
  <c r="BS16" i="40" s="1"/>
  <c r="CC13" i="35"/>
  <c r="CC13" i="40" s="1"/>
  <c r="CG13" i="35"/>
  <c r="CG13" i="40" s="1"/>
  <c r="CB16" i="35"/>
  <c r="CB16" i="40" s="1"/>
  <c r="CF16" i="35"/>
  <c r="CF16" i="40" s="1"/>
  <c r="CA15" i="35"/>
  <c r="CA15" i="40" s="1"/>
  <c r="CE15" i="35"/>
  <c r="CE15" i="40" s="1"/>
  <c r="BO14" i="35"/>
  <c r="BO14" i="40" s="1"/>
  <c r="BK14" i="35"/>
  <c r="BK14" i="40" s="1"/>
  <c r="BU16" i="35"/>
  <c r="BU16" i="40" s="1"/>
  <c r="BY16" i="35"/>
  <c r="BY16" i="40" s="1"/>
  <c r="BS15" i="35"/>
  <c r="BS15" i="40" s="1"/>
  <c r="BW15" i="35"/>
  <c r="BW15" i="40" s="1"/>
  <c r="CC14" i="35"/>
  <c r="CC14" i="40" s="1"/>
  <c r="CG14" i="35"/>
  <c r="CG14" i="40" s="1"/>
  <c r="BQ11" i="35"/>
  <c r="BQ11" i="40" s="1"/>
  <c r="BM11" i="35"/>
  <c r="BM11" i="40" s="1"/>
  <c r="BL14" i="35"/>
  <c r="BL14" i="40" s="1"/>
  <c r="BP14" i="35"/>
  <c r="BP14" i="40" s="1"/>
  <c r="BX12" i="35"/>
  <c r="BX12" i="40" s="1"/>
  <c r="BT12" i="35"/>
  <c r="BT12" i="40" s="1"/>
  <c r="BX11" i="35"/>
  <c r="BX11" i="40" s="1"/>
  <c r="BT11" i="35"/>
  <c r="BT11" i="40" s="1"/>
  <c r="BM15" i="35"/>
  <c r="BM15" i="40" s="1"/>
  <c r="BQ15" i="35"/>
  <c r="BQ15" i="40" s="1"/>
  <c r="CG8" i="35"/>
  <c r="CG8" i="40" s="1"/>
  <c r="CC8" i="35"/>
  <c r="CC8" i="40" s="1"/>
  <c r="BY8" i="35"/>
  <c r="BY8" i="40" s="1"/>
  <c r="BU8" i="35"/>
  <c r="BU8" i="40" s="1"/>
  <c r="CG6" i="35"/>
  <c r="CG6" i="40" s="1"/>
  <c r="CC6" i="35"/>
  <c r="CC6" i="40" s="1"/>
  <c r="CA4" i="35"/>
  <c r="CA4" i="40" s="1"/>
  <c r="CE4" i="35"/>
  <c r="CE4" i="40" s="1"/>
  <c r="BS14" i="35"/>
  <c r="BS14" i="40" s="1"/>
  <c r="BW14" i="35"/>
  <c r="BW14" i="40" s="1"/>
  <c r="CG12" i="35"/>
  <c r="CG12" i="40" s="1"/>
  <c r="CC12" i="35"/>
  <c r="CC12" i="40" s="1"/>
  <c r="BT14" i="35"/>
  <c r="BT14" i="40" s="1"/>
  <c r="BX14" i="35"/>
  <c r="BX14" i="40" s="1"/>
  <c r="CG15" i="35"/>
  <c r="CG15" i="40" s="1"/>
  <c r="CC15" i="35"/>
  <c r="CC15" i="40" s="1"/>
  <c r="BU15" i="35"/>
  <c r="BU15" i="40" s="1"/>
  <c r="BY15" i="35"/>
  <c r="BY15" i="40" s="1"/>
  <c r="BW4" i="35"/>
  <c r="BW4" i="40" s="1"/>
  <c r="BS4" i="35"/>
  <c r="BS4" i="40" s="1"/>
  <c r="BM17" i="35"/>
  <c r="BM17" i="40" s="1"/>
  <c r="BQ17" i="35"/>
  <c r="BQ17" i="40" s="1"/>
  <c r="BP11" i="35"/>
  <c r="BP11" i="40" s="1"/>
  <c r="BL11" i="35"/>
  <c r="BL11" i="40" s="1"/>
  <c r="CF11" i="35"/>
  <c r="CF11" i="40" s="1"/>
  <c r="CB11" i="35"/>
  <c r="CB11" i="40" s="1"/>
  <c r="BX13" i="35"/>
  <c r="BX13" i="40" s="1"/>
  <c r="BT13" i="35"/>
  <c r="BT13" i="40" s="1"/>
  <c r="BM6" i="35"/>
  <c r="BM6" i="40" s="1"/>
  <c r="BQ6" i="35"/>
  <c r="BQ6" i="40" s="1"/>
  <c r="BY12" i="35"/>
  <c r="BY12" i="40" s="1"/>
  <c r="BU12" i="35"/>
  <c r="BU12" i="40" s="1"/>
  <c r="BO4" i="35"/>
  <c r="BO4" i="40" s="1"/>
  <c r="BK4" i="35"/>
  <c r="BK4" i="40" s="1"/>
  <c r="CC17" i="35"/>
  <c r="CC17" i="40" s="1"/>
  <c r="CG17" i="35"/>
  <c r="CG17" i="40" s="1"/>
  <c r="BQ16" i="35"/>
  <c r="BQ16" i="40" s="1"/>
  <c r="BM16" i="35"/>
  <c r="BM16" i="40" s="1"/>
  <c r="BP15" i="35"/>
  <c r="BP15" i="40" s="1"/>
  <c r="BL15" i="35"/>
  <c r="BL15" i="40" s="1"/>
  <c r="BL16" i="35"/>
  <c r="BL16" i="40" s="1"/>
  <c r="BP16" i="35"/>
  <c r="BP16" i="40" s="1"/>
  <c r="CE10" i="35"/>
  <c r="CE10" i="40" s="1"/>
  <c r="CA10" i="35"/>
  <c r="CA10" i="40" s="1"/>
  <c r="CB12" i="35"/>
  <c r="CB12" i="40" s="1"/>
  <c r="CF12" i="35"/>
  <c r="CF12" i="40" s="1"/>
  <c r="BW10" i="35"/>
  <c r="BW10" i="40" s="1"/>
  <c r="BS10" i="35"/>
  <c r="BS10" i="40" s="1"/>
  <c r="BS17" i="35"/>
  <c r="BS17" i="40" s="1"/>
  <c r="BW17" i="35"/>
  <c r="BW17" i="40" s="1"/>
  <c r="BY6" i="35"/>
  <c r="BY6" i="40" s="1"/>
  <c r="BU6" i="35"/>
  <c r="BU6" i="40" s="1"/>
  <c r="BI3" i="35"/>
  <c r="BI3" i="40" s="1"/>
  <c r="C33" i="12"/>
  <c r="AF4" i="18" s="1"/>
  <c r="B81" i="12" l="1"/>
  <c r="C81" i="12" s="1"/>
  <c r="B75" i="12"/>
  <c r="C75" i="12" s="1"/>
  <c r="C76" i="12"/>
  <c r="AB75" i="12"/>
  <c r="AB76" i="12"/>
  <c r="AB81" i="12"/>
  <c r="S76" i="12"/>
  <c r="S75" i="12"/>
  <c r="S81" i="12"/>
  <c r="U75" i="12"/>
  <c r="U76" i="12"/>
  <c r="U81" i="12"/>
  <c r="V75" i="12"/>
  <c r="V76" i="12"/>
  <c r="V81" i="12"/>
  <c r="X76" i="12"/>
  <c r="X75" i="12"/>
  <c r="X81" i="12"/>
  <c r="Y81" i="12"/>
  <c r="Y76" i="12"/>
  <c r="Y75" i="12"/>
  <c r="Z76" i="12"/>
  <c r="AA75" i="12"/>
  <c r="Z81" i="12"/>
  <c r="T76" i="12"/>
  <c r="AA76" i="12"/>
  <c r="W75" i="12"/>
  <c r="Z75" i="12"/>
  <c r="T81" i="12"/>
  <c r="AA81" i="12"/>
  <c r="T75" i="12"/>
  <c r="W76" i="12"/>
  <c r="W81" i="12"/>
  <c r="BJ20" i="18"/>
  <c r="CL85" i="18"/>
  <c r="CL76" i="18"/>
  <c r="CL77" i="18"/>
  <c r="CL86" i="18"/>
  <c r="BJ37" i="18"/>
  <c r="BJ36" i="18"/>
  <c r="BL28" i="18"/>
  <c r="BL29" i="18"/>
  <c r="BJ44" i="18"/>
  <c r="BJ45" i="18"/>
  <c r="BN29" i="18"/>
  <c r="BN28" i="18"/>
  <c r="BL36" i="18"/>
  <c r="BL37" i="18"/>
  <c r="BN24" i="18"/>
  <c r="BN25" i="18"/>
  <c r="BL60" i="18"/>
  <c r="BL61" i="18"/>
  <c r="BJ72" i="18"/>
  <c r="BJ73" i="18"/>
  <c r="BL25" i="18"/>
  <c r="BL24" i="18"/>
  <c r="BL44" i="18"/>
  <c r="BL45" i="18"/>
  <c r="BJ28" i="18"/>
  <c r="BJ29" i="18"/>
  <c r="BJ56" i="18"/>
  <c r="BJ57" i="18"/>
  <c r="BL33" i="18"/>
  <c r="BL32" i="18"/>
  <c r="BN61" i="18"/>
  <c r="BN60" i="18"/>
  <c r="BJ64" i="18"/>
  <c r="BJ65" i="18"/>
  <c r="BN77" i="18"/>
  <c r="BN76" i="18"/>
  <c r="BL76" i="18"/>
  <c r="BL77" i="18"/>
  <c r="BL41" i="18"/>
  <c r="BL40" i="18"/>
  <c r="BJ53" i="18"/>
  <c r="BJ52" i="18"/>
  <c r="BN48" i="18"/>
  <c r="BN49" i="18"/>
  <c r="BL65" i="18"/>
  <c r="BL64" i="18"/>
  <c r="BJ76" i="18"/>
  <c r="BJ77" i="18"/>
  <c r="BJ60" i="18"/>
  <c r="BJ61" i="18"/>
  <c r="BJ32" i="18"/>
  <c r="BJ33" i="18"/>
  <c r="BL49" i="18"/>
  <c r="BL48" i="18"/>
  <c r="BJ40" i="18"/>
  <c r="BJ41" i="18"/>
  <c r="BN37" i="18"/>
  <c r="BN36" i="18"/>
  <c r="BN45" i="18"/>
  <c r="BN44" i="18"/>
  <c r="BN64" i="18"/>
  <c r="BN65" i="18"/>
  <c r="BN72" i="18"/>
  <c r="BN73" i="18"/>
  <c r="BL73" i="18"/>
  <c r="BL72" i="18"/>
  <c r="CC85" i="18"/>
  <c r="CC89" i="18"/>
  <c r="CC77" i="18"/>
  <c r="CC86" i="18"/>
  <c r="CC90" i="18"/>
  <c r="CC88" i="18"/>
  <c r="CC76" i="18"/>
  <c r="BK39" i="18"/>
  <c r="BK41" i="18"/>
  <c r="BK40" i="18"/>
  <c r="BK71" i="18"/>
  <c r="BK73" i="18"/>
  <c r="BM72" i="18"/>
  <c r="BM32" i="18"/>
  <c r="BI21" i="18"/>
  <c r="BM73" i="18"/>
  <c r="BI19" i="18"/>
  <c r="BK59" i="18"/>
  <c r="BK65" i="18"/>
  <c r="BM47" i="18"/>
  <c r="BI39" i="18"/>
  <c r="BK64" i="18"/>
  <c r="BK61" i="18"/>
  <c r="BK45" i="18"/>
  <c r="BM75" i="18"/>
  <c r="BM64" i="18"/>
  <c r="BM31" i="18"/>
  <c r="BM63" i="18"/>
  <c r="BI55" i="18"/>
  <c r="BK57" i="18"/>
  <c r="BI56" i="18"/>
  <c r="BI27" i="18"/>
  <c r="BI28" i="18"/>
  <c r="BI29" i="18"/>
  <c r="BK56" i="18"/>
  <c r="BI52" i="18"/>
  <c r="BI40" i="18"/>
  <c r="BK44" i="18"/>
  <c r="BK43" i="18"/>
  <c r="BI63" i="18"/>
  <c r="BM48" i="18"/>
  <c r="BI53" i="18"/>
  <c r="W98" i="40"/>
  <c r="BI76" i="18" s="1"/>
  <c r="BM76" i="18"/>
  <c r="CD70" i="18"/>
  <c r="BI64" i="18"/>
  <c r="BM60" i="18"/>
  <c r="BM59" i="18"/>
  <c r="BM61" i="18"/>
  <c r="BI71" i="18"/>
  <c r="BI73" i="18"/>
  <c r="BI72" i="18"/>
  <c r="BO6" i="35"/>
  <c r="BO6" i="40" s="1"/>
  <c r="S6" i="40"/>
  <c r="S64" i="40" s="1"/>
  <c r="W65" i="40" s="1"/>
  <c r="BL17" i="35"/>
  <c r="BL17" i="40" s="1"/>
  <c r="T17" i="40"/>
  <c r="T97" i="40" s="1"/>
  <c r="X98" i="40" s="1"/>
  <c r="CF8" i="35"/>
  <c r="CF8" i="40" s="1"/>
  <c r="AF8" i="40"/>
  <c r="BH5" i="35"/>
  <c r="BH5" i="40" s="1"/>
  <c r="AJ5" i="40"/>
  <c r="AC10" i="40"/>
  <c r="AC62" i="40" s="1"/>
  <c r="BG12" i="35"/>
  <c r="BG12" i="40" s="1"/>
  <c r="AI12" i="40"/>
  <c r="AA6" i="40"/>
  <c r="AA58" i="40" s="1"/>
  <c r="BT17" i="35"/>
  <c r="BT17" i="40" s="1"/>
  <c r="X17" i="40"/>
  <c r="BP4" i="35"/>
  <c r="BP4" i="40" s="1"/>
  <c r="T4" i="40"/>
  <c r="BX10" i="35"/>
  <c r="BX10" i="40" s="1"/>
  <c r="X10" i="40"/>
  <c r="AA5" i="40"/>
  <c r="AA57" i="40" s="1"/>
  <c r="BM7" i="35"/>
  <c r="BM7" i="40" s="1"/>
  <c r="U7" i="40"/>
  <c r="U67" i="40" s="1"/>
  <c r="Y68" i="40" s="1"/>
  <c r="BH7" i="35"/>
  <c r="BH7" i="40" s="1"/>
  <c r="AJ7" i="40"/>
  <c r="BI4" i="35"/>
  <c r="BI4" i="40" s="1"/>
  <c r="AK4" i="40"/>
  <c r="BH6" i="35"/>
  <c r="BH6" i="40" s="1"/>
  <c r="AJ6" i="40"/>
  <c r="BO13" i="35"/>
  <c r="BO13" i="40" s="1"/>
  <c r="S13" i="40"/>
  <c r="S85" i="40" s="1"/>
  <c r="W86" i="40" s="1"/>
  <c r="BI59" i="18" s="1"/>
  <c r="CE13" i="35"/>
  <c r="CE13" i="40" s="1"/>
  <c r="AE13" i="40"/>
  <c r="BG6" i="35"/>
  <c r="BG6" i="40" s="1"/>
  <c r="AI6" i="40"/>
  <c r="BG9" i="35"/>
  <c r="BG9" i="40" s="1"/>
  <c r="AI9" i="40"/>
  <c r="CB17" i="35"/>
  <c r="CB17" i="40" s="1"/>
  <c r="AF17" i="40"/>
  <c r="BH4" i="35"/>
  <c r="BH4" i="40" s="1"/>
  <c r="AJ4" i="40"/>
  <c r="BK7" i="35"/>
  <c r="BK7" i="40" s="1"/>
  <c r="S7" i="40"/>
  <c r="S67" i="40" s="1"/>
  <c r="W68" i="40" s="1"/>
  <c r="BG7" i="35"/>
  <c r="BG7" i="40" s="1"/>
  <c r="AI7" i="40"/>
  <c r="AB8" i="40"/>
  <c r="AB60" i="40" s="1"/>
  <c r="BH8" i="35"/>
  <c r="BH8" i="40" s="1"/>
  <c r="AJ8" i="40"/>
  <c r="AB10" i="40"/>
  <c r="AB62" i="40" s="1"/>
  <c r="BX5" i="35"/>
  <c r="BX5" i="40" s="1"/>
  <c r="X5" i="40"/>
  <c r="CB5" i="35"/>
  <c r="CB5" i="40" s="1"/>
  <c r="AF5" i="40"/>
  <c r="BQ5" i="35"/>
  <c r="BQ5" i="40" s="1"/>
  <c r="U5" i="40"/>
  <c r="U61" i="40" s="1"/>
  <c r="Y62" i="40" s="1"/>
  <c r="BS5" i="35"/>
  <c r="BS5" i="40" s="1"/>
  <c r="W5" i="40"/>
  <c r="BI7" i="35"/>
  <c r="BI7" i="40" s="1"/>
  <c r="AK7" i="40"/>
  <c r="AC7" i="40"/>
  <c r="AC59" i="40" s="1"/>
  <c r="BU7" i="35"/>
  <c r="BU7" i="40" s="1"/>
  <c r="Y7" i="40"/>
  <c r="BP7" i="35"/>
  <c r="BP7" i="40" s="1"/>
  <c r="T7" i="40"/>
  <c r="T67" i="40" s="1"/>
  <c r="X68" i="40" s="1"/>
  <c r="BQ9" i="35"/>
  <c r="BQ9" i="40" s="1"/>
  <c r="U9" i="40"/>
  <c r="U73" i="40" s="1"/>
  <c r="Y74" i="40" s="1"/>
  <c r="BI9" i="35"/>
  <c r="BI9" i="40" s="1"/>
  <c r="AK9" i="40"/>
  <c r="AC4" i="40"/>
  <c r="B83" i="12" s="1"/>
  <c r="BX6" i="35"/>
  <c r="BX6" i="40" s="1"/>
  <c r="X6" i="40"/>
  <c r="BG13" i="35"/>
  <c r="BG13" i="40" s="1"/>
  <c r="AI13" i="40"/>
  <c r="BS6" i="35"/>
  <c r="BS6" i="40" s="1"/>
  <c r="W6" i="40"/>
  <c r="BT4" i="35"/>
  <c r="BT4" i="40" s="1"/>
  <c r="X4" i="40"/>
  <c r="CA7" i="35"/>
  <c r="CA7" i="40" s="1"/>
  <c r="AE7" i="40"/>
  <c r="BG11" i="35"/>
  <c r="BG11" i="40" s="1"/>
  <c r="AI11" i="40"/>
  <c r="BP5" i="35"/>
  <c r="BP5" i="40" s="1"/>
  <c r="T5" i="40"/>
  <c r="T61" i="40" s="1"/>
  <c r="X62" i="40" s="1"/>
  <c r="BY5" i="35"/>
  <c r="BY5" i="40" s="1"/>
  <c r="Y5" i="40"/>
  <c r="CC5" i="35"/>
  <c r="CC5" i="40" s="1"/>
  <c r="AG5" i="40"/>
  <c r="AA8" i="40"/>
  <c r="AA60" i="40" s="1"/>
  <c r="BG8" i="35"/>
  <c r="BG8" i="40" s="1"/>
  <c r="AI8" i="40"/>
  <c r="AB9" i="40"/>
  <c r="AB61" i="40" s="1"/>
  <c r="BH9" i="35"/>
  <c r="BH9" i="40" s="1"/>
  <c r="AJ9" i="40"/>
  <c r="CC9" i="35"/>
  <c r="CC9" i="40" s="1"/>
  <c r="AG9" i="40"/>
  <c r="BQ4" i="35"/>
  <c r="BQ4" i="40" s="1"/>
  <c r="U4" i="40"/>
  <c r="U58" i="40" s="1"/>
  <c r="Y59" i="40" s="1"/>
  <c r="BI10" i="35"/>
  <c r="BI10" i="40" s="1"/>
  <c r="AK10" i="40"/>
  <c r="AB6" i="40"/>
  <c r="AB58" i="40" s="1"/>
  <c r="BS13" i="35"/>
  <c r="BS13" i="40" s="1"/>
  <c r="W13" i="40"/>
  <c r="BO9" i="35"/>
  <c r="BO9" i="40" s="1"/>
  <c r="S9" i="40"/>
  <c r="S73" i="40" s="1"/>
  <c r="W74" i="40" s="1"/>
  <c r="AA7" i="40"/>
  <c r="AA59" i="40" s="1"/>
  <c r="AA11" i="40"/>
  <c r="AA63" i="40" s="1"/>
  <c r="AB5" i="40"/>
  <c r="AB57" i="40" s="1"/>
  <c r="BI5" i="35"/>
  <c r="BI5" i="40" s="1"/>
  <c r="AK5" i="40"/>
  <c r="BY9" i="35"/>
  <c r="BY9" i="40" s="1"/>
  <c r="Y9" i="40"/>
  <c r="AA9" i="40"/>
  <c r="AA61" i="40" s="1"/>
  <c r="BH17" i="35"/>
  <c r="BH17" i="40" s="1"/>
  <c r="AJ17" i="40"/>
  <c r="CB4" i="35"/>
  <c r="CB4" i="40" s="1"/>
  <c r="AF4" i="40"/>
  <c r="BL10" i="35"/>
  <c r="BL10" i="40" s="1"/>
  <c r="T10" i="40"/>
  <c r="T76" i="40" s="1"/>
  <c r="X77" i="40" s="1"/>
  <c r="BH10" i="35"/>
  <c r="BH10" i="40" s="1"/>
  <c r="AJ10" i="40"/>
  <c r="AC5" i="40"/>
  <c r="AC57" i="40" s="1"/>
  <c r="CA8" i="35"/>
  <c r="CA8" i="40" s="1"/>
  <c r="AE8" i="40"/>
  <c r="CA5" i="35"/>
  <c r="CA5" i="40" s="1"/>
  <c r="AE5" i="40"/>
  <c r="BG5" i="35"/>
  <c r="BG5" i="40" s="1"/>
  <c r="AI5" i="40"/>
  <c r="BT7" i="35"/>
  <c r="BT7" i="40" s="1"/>
  <c r="X7" i="40"/>
  <c r="CB7" i="35"/>
  <c r="CB7" i="40" s="1"/>
  <c r="AF7" i="40"/>
  <c r="AB7" i="40"/>
  <c r="AB59" i="40" s="1"/>
  <c r="AC9" i="40"/>
  <c r="AC61" i="40" s="1"/>
  <c r="CF6" i="35"/>
  <c r="CF6" i="40" s="1"/>
  <c r="AF6" i="40"/>
  <c r="BP6" i="35"/>
  <c r="BP6" i="40" s="1"/>
  <c r="T6" i="40"/>
  <c r="T64" i="40" s="1"/>
  <c r="X65" i="40" s="1"/>
  <c r="CE7" i="35"/>
  <c r="CE7" i="40" s="1"/>
  <c r="BM4" i="35"/>
  <c r="BM4" i="40" s="1"/>
  <c r="BP17" i="35"/>
  <c r="BP17" i="40" s="1"/>
  <c r="CF17" i="35"/>
  <c r="CF17" i="40" s="1"/>
  <c r="BP10" i="35"/>
  <c r="BP10" i="40" s="1"/>
  <c r="BX17" i="35"/>
  <c r="BX17" i="40" s="1"/>
  <c r="BM9" i="35"/>
  <c r="BM9" i="40" s="1"/>
  <c r="BK12" i="36"/>
  <c r="BK27" i="40" s="1"/>
  <c r="BO12" i="36"/>
  <c r="BO27" i="40" s="1"/>
  <c r="BW12" i="36"/>
  <c r="BW27" i="40" s="1"/>
  <c r="BS12" i="36"/>
  <c r="BS27" i="40" s="1"/>
  <c r="CB16" i="36"/>
  <c r="CB31" i="40" s="1"/>
  <c r="CF16" i="36"/>
  <c r="CF31" i="40" s="1"/>
  <c r="BO15" i="36"/>
  <c r="BO30" i="40" s="1"/>
  <c r="BK15" i="36"/>
  <c r="BK30" i="40" s="1"/>
  <c r="BP13" i="36"/>
  <c r="BP28" i="40" s="1"/>
  <c r="BL13" i="36"/>
  <c r="BL28" i="40" s="1"/>
  <c r="BT13" i="36"/>
  <c r="BT28" i="40" s="1"/>
  <c r="BX13" i="36"/>
  <c r="BX28" i="40" s="1"/>
  <c r="BP7" i="36"/>
  <c r="BP22" i="40" s="1"/>
  <c r="BL7" i="36"/>
  <c r="BL22" i="40" s="1"/>
  <c r="BM7" i="36"/>
  <c r="BM22" i="40" s="1"/>
  <c r="BQ7" i="36"/>
  <c r="BQ22" i="40" s="1"/>
  <c r="BP9" i="36"/>
  <c r="BP24" i="40" s="1"/>
  <c r="BL9" i="36"/>
  <c r="BL24" i="40" s="1"/>
  <c r="BL12" i="36"/>
  <c r="BL27" i="40" s="1"/>
  <c r="BP12" i="36"/>
  <c r="BP27" i="40" s="1"/>
  <c r="BT12" i="36"/>
  <c r="BT27" i="40" s="1"/>
  <c r="BX12" i="36"/>
  <c r="BX27" i="40" s="1"/>
  <c r="CE6" i="36"/>
  <c r="CE21" i="40" s="1"/>
  <c r="CA6" i="36"/>
  <c r="CA21" i="40" s="1"/>
  <c r="BL14" i="36"/>
  <c r="BL29" i="40" s="1"/>
  <c r="BP14" i="36"/>
  <c r="BP29" i="40" s="1"/>
  <c r="BL11" i="36"/>
  <c r="BL26" i="40" s="1"/>
  <c r="BP11" i="36"/>
  <c r="BP26" i="40" s="1"/>
  <c r="CF11" i="36"/>
  <c r="CF26" i="40" s="1"/>
  <c r="CB11" i="36"/>
  <c r="CB26" i="40" s="1"/>
  <c r="BL10" i="36"/>
  <c r="BL25" i="40" s="1"/>
  <c r="BP10" i="36"/>
  <c r="BP25" i="40" s="1"/>
  <c r="CG12" i="36"/>
  <c r="CG27" i="40" s="1"/>
  <c r="CC12" i="36"/>
  <c r="CC27" i="40" s="1"/>
  <c r="BQ16" i="36"/>
  <c r="BQ31" i="40" s="1"/>
  <c r="BM16" i="36"/>
  <c r="BM31" i="40" s="1"/>
  <c r="BU9" i="36"/>
  <c r="BU24" i="40" s="1"/>
  <c r="BY9" i="36"/>
  <c r="BY24" i="40" s="1"/>
  <c r="BY6" i="36"/>
  <c r="BY21" i="40" s="1"/>
  <c r="BU6" i="36"/>
  <c r="BU21" i="40" s="1"/>
  <c r="BL4" i="36"/>
  <c r="BL19" i="40" s="1"/>
  <c r="BP4" i="36"/>
  <c r="BP19" i="40" s="1"/>
  <c r="BO4" i="36"/>
  <c r="BO19" i="40" s="1"/>
  <c r="BK4" i="36"/>
  <c r="BK19" i="40" s="1"/>
  <c r="BW4" i="36"/>
  <c r="BW19" i="40" s="1"/>
  <c r="BS4" i="36"/>
  <c r="BS19" i="40" s="1"/>
  <c r="BM13" i="36"/>
  <c r="BM28" i="40" s="1"/>
  <c r="BQ13" i="36"/>
  <c r="BQ28" i="40" s="1"/>
  <c r="CF5" i="36"/>
  <c r="CF20" i="40" s="1"/>
  <c r="CB5" i="36"/>
  <c r="CB20" i="40" s="1"/>
  <c r="BT6" i="36"/>
  <c r="BT21" i="40" s="1"/>
  <c r="BX6" i="36"/>
  <c r="BX21" i="40" s="1"/>
  <c r="BP6" i="36"/>
  <c r="BP21" i="40" s="1"/>
  <c r="BL6" i="36"/>
  <c r="BL21" i="40" s="1"/>
  <c r="CC15" i="36"/>
  <c r="CC30" i="40" s="1"/>
  <c r="CG15" i="36"/>
  <c r="CG30" i="40" s="1"/>
  <c r="BS11" i="36"/>
  <c r="BS26" i="40" s="1"/>
  <c r="BW11" i="36"/>
  <c r="BW26" i="40" s="1"/>
  <c r="CA12" i="36"/>
  <c r="CA27" i="40" s="1"/>
  <c r="CE12" i="36"/>
  <c r="CE27" i="40" s="1"/>
  <c r="CF7" i="36"/>
  <c r="CF22" i="40" s="1"/>
  <c r="CB7" i="36"/>
  <c r="CB22" i="40" s="1"/>
  <c r="BQ8" i="36"/>
  <c r="BQ23" i="40" s="1"/>
  <c r="BM8" i="36"/>
  <c r="BM23" i="40" s="1"/>
  <c r="BY7" i="36"/>
  <c r="BY22" i="40" s="1"/>
  <c r="BU7" i="36"/>
  <c r="BU22" i="40" s="1"/>
  <c r="BX9" i="36"/>
  <c r="BX24" i="40" s="1"/>
  <c r="BT9" i="36"/>
  <c r="BT24" i="40" s="1"/>
  <c r="CB12" i="36"/>
  <c r="CB27" i="40" s="1"/>
  <c r="CF12" i="36"/>
  <c r="CF27" i="40" s="1"/>
  <c r="CG10" i="36"/>
  <c r="CG25" i="40" s="1"/>
  <c r="CC10" i="36"/>
  <c r="CC25" i="40" s="1"/>
  <c r="BW8" i="36"/>
  <c r="BW23" i="40" s="1"/>
  <c r="BS8" i="36"/>
  <c r="BS23" i="40" s="1"/>
  <c r="BT14" i="36"/>
  <c r="BT29" i="40" s="1"/>
  <c r="BX14" i="36"/>
  <c r="BX29" i="40" s="1"/>
  <c r="BT8" i="36"/>
  <c r="BT23" i="40" s="1"/>
  <c r="BX8" i="36"/>
  <c r="BX23" i="40" s="1"/>
  <c r="BQ9" i="36"/>
  <c r="BQ24" i="40" s="1"/>
  <c r="BM9" i="36"/>
  <c r="BM24" i="40" s="1"/>
  <c r="BL15" i="36"/>
  <c r="BL30" i="40" s="1"/>
  <c r="BP15" i="36"/>
  <c r="BP30" i="40" s="1"/>
  <c r="CB15" i="36"/>
  <c r="CB30" i="40" s="1"/>
  <c r="CF15" i="36"/>
  <c r="CF30" i="40" s="1"/>
  <c r="CG6" i="36"/>
  <c r="CG21" i="40" s="1"/>
  <c r="CC6" i="36"/>
  <c r="CC21" i="40" s="1"/>
  <c r="BX4" i="36"/>
  <c r="BX19" i="40" s="1"/>
  <c r="BT4" i="36"/>
  <c r="BT19" i="40" s="1"/>
  <c r="CE4" i="36"/>
  <c r="CE19" i="40" s="1"/>
  <c r="CA4" i="36"/>
  <c r="CA19" i="40" s="1"/>
  <c r="BU13" i="36"/>
  <c r="BU28" i="40" s="1"/>
  <c r="BY13" i="36"/>
  <c r="BY28" i="40" s="1"/>
  <c r="BX5" i="36"/>
  <c r="BX20" i="40" s="1"/>
  <c r="BT5" i="36"/>
  <c r="BT20" i="40" s="1"/>
  <c r="BS7" i="36"/>
  <c r="BS22" i="40" s="1"/>
  <c r="BW7" i="36"/>
  <c r="BW22" i="40" s="1"/>
  <c r="CF6" i="36"/>
  <c r="CF21" i="40" s="1"/>
  <c r="CB6" i="36"/>
  <c r="CB21" i="40" s="1"/>
  <c r="BK9" i="36"/>
  <c r="BK24" i="40" s="1"/>
  <c r="BO9" i="36"/>
  <c r="BO24" i="40" s="1"/>
  <c r="CA11" i="36"/>
  <c r="CA26" i="40" s="1"/>
  <c r="CE11" i="36"/>
  <c r="CE26" i="40" s="1"/>
  <c r="BS10" i="36"/>
  <c r="BS25" i="40" s="1"/>
  <c r="BW10" i="36"/>
  <c r="BW25" i="40" s="1"/>
  <c r="CE10" i="36"/>
  <c r="CE25" i="40" s="1"/>
  <c r="CA10" i="36"/>
  <c r="CA25" i="40" s="1"/>
  <c r="BS15" i="36"/>
  <c r="BS30" i="40" s="1"/>
  <c r="BW15" i="36"/>
  <c r="BW30" i="40" s="1"/>
  <c r="CF13" i="36"/>
  <c r="CF28" i="40" s="1"/>
  <c r="CB13" i="36"/>
  <c r="CB28" i="40" s="1"/>
  <c r="BX7" i="36"/>
  <c r="BX22" i="40" s="1"/>
  <c r="BT7" i="36"/>
  <c r="BT22" i="40" s="1"/>
  <c r="BS5" i="36"/>
  <c r="BS20" i="40" s="1"/>
  <c r="BW5" i="36"/>
  <c r="BW20" i="40" s="1"/>
  <c r="CA5" i="36"/>
  <c r="CA20" i="40" s="1"/>
  <c r="CE5" i="36"/>
  <c r="CE20" i="40" s="1"/>
  <c r="BY8" i="36"/>
  <c r="BY23" i="40" s="1"/>
  <c r="BU8" i="36"/>
  <c r="BU23" i="40" s="1"/>
  <c r="CC7" i="36"/>
  <c r="CC22" i="40" s="1"/>
  <c r="CG7" i="36"/>
  <c r="CG22" i="40" s="1"/>
  <c r="BY10" i="36"/>
  <c r="BY25" i="40" s="1"/>
  <c r="BU10" i="36"/>
  <c r="BU25" i="40" s="1"/>
  <c r="BO6" i="36"/>
  <c r="BO21" i="40" s="1"/>
  <c r="BK6" i="36"/>
  <c r="BK21" i="40" s="1"/>
  <c r="CA8" i="36"/>
  <c r="CA23" i="40" s="1"/>
  <c r="CE8" i="36"/>
  <c r="CE23" i="40" s="1"/>
  <c r="CB14" i="36"/>
  <c r="CB29" i="40" s="1"/>
  <c r="CF14" i="36"/>
  <c r="CF29" i="40" s="1"/>
  <c r="BQ4" i="36"/>
  <c r="BQ19" i="40" s="1"/>
  <c r="BM4" i="36"/>
  <c r="BM19" i="40" s="1"/>
  <c r="BY4" i="36"/>
  <c r="BY19" i="40" s="1"/>
  <c r="BU4" i="36"/>
  <c r="BU19" i="40" s="1"/>
  <c r="CB8" i="36"/>
  <c r="CB23" i="40" s="1"/>
  <c r="CF8" i="36"/>
  <c r="CF23" i="40" s="1"/>
  <c r="CF10" i="36"/>
  <c r="CF25" i="40" s="1"/>
  <c r="CB10" i="36"/>
  <c r="CB25" i="40" s="1"/>
  <c r="BU16" i="36"/>
  <c r="BU31" i="40" s="1"/>
  <c r="BY16" i="36"/>
  <c r="BY31" i="40" s="1"/>
  <c r="BX15" i="36"/>
  <c r="BX30" i="40" s="1"/>
  <c r="BT15" i="36"/>
  <c r="BT30" i="40" s="1"/>
  <c r="CG5" i="36"/>
  <c r="CG20" i="40" s="1"/>
  <c r="CC5" i="36"/>
  <c r="CC20" i="40" s="1"/>
  <c r="BQ5" i="36"/>
  <c r="BQ20" i="40" s="1"/>
  <c r="BM5" i="36"/>
  <c r="BM20" i="40" s="1"/>
  <c r="CB4" i="36"/>
  <c r="CB19" i="40" s="1"/>
  <c r="CF4" i="36"/>
  <c r="CF19" i="40" s="1"/>
  <c r="CG13" i="36"/>
  <c r="CG28" i="40" s="1"/>
  <c r="CC13" i="36"/>
  <c r="CC28" i="40" s="1"/>
  <c r="CA13" i="36"/>
  <c r="CA28" i="40" s="1"/>
  <c r="CE13" i="36"/>
  <c r="CE28" i="40" s="1"/>
  <c r="CA7" i="36"/>
  <c r="CA22" i="40" s="1"/>
  <c r="CE7" i="36"/>
  <c r="CE22" i="40" s="1"/>
  <c r="CG14" i="36"/>
  <c r="CG29" i="40" s="1"/>
  <c r="CC14" i="36"/>
  <c r="CC29" i="40" s="1"/>
  <c r="BM14" i="36"/>
  <c r="BM29" i="40" s="1"/>
  <c r="BQ14" i="36"/>
  <c r="BQ29" i="40" s="1"/>
  <c r="CA9" i="36"/>
  <c r="CA24" i="40" s="1"/>
  <c r="CE9" i="36"/>
  <c r="CE24" i="40" s="1"/>
  <c r="BL16" i="36"/>
  <c r="BL31" i="40" s="1"/>
  <c r="BP16" i="36"/>
  <c r="BP31" i="40" s="1"/>
  <c r="BX16" i="36"/>
  <c r="BX31" i="40" s="1"/>
  <c r="BT16" i="36"/>
  <c r="BT31" i="40" s="1"/>
  <c r="CA15" i="36"/>
  <c r="CA30" i="40" s="1"/>
  <c r="CE15" i="36"/>
  <c r="CE30" i="40" s="1"/>
  <c r="BK5" i="36"/>
  <c r="BK20" i="40" s="1"/>
  <c r="BO5" i="36"/>
  <c r="BO20" i="40" s="1"/>
  <c r="CG8" i="36"/>
  <c r="CG23" i="40" s="1"/>
  <c r="CC8" i="36"/>
  <c r="CC23" i="40" s="1"/>
  <c r="CF9" i="36"/>
  <c r="CF24" i="40" s="1"/>
  <c r="CB9" i="36"/>
  <c r="CB24" i="40" s="1"/>
  <c r="BQ10" i="36"/>
  <c r="BQ25" i="40" s="1"/>
  <c r="BM10" i="36"/>
  <c r="BM25" i="40" s="1"/>
  <c r="BS6" i="36"/>
  <c r="BS21" i="40" s="1"/>
  <c r="BW6" i="36"/>
  <c r="BW21" i="40" s="1"/>
  <c r="BK8" i="36"/>
  <c r="BK23" i="40" s="1"/>
  <c r="BO8" i="36"/>
  <c r="BO23" i="40" s="1"/>
  <c r="BX11" i="36"/>
  <c r="BX26" i="40" s="1"/>
  <c r="BT11" i="36"/>
  <c r="BT26" i="40" s="1"/>
  <c r="CG4" i="36"/>
  <c r="CG19" i="40" s="1"/>
  <c r="CC4" i="36"/>
  <c r="CC19" i="40" s="1"/>
  <c r="BL8" i="36"/>
  <c r="BL23" i="40" s="1"/>
  <c r="BP8" i="36"/>
  <c r="BP23" i="40" s="1"/>
  <c r="BT10" i="36"/>
  <c r="BT25" i="40" s="1"/>
  <c r="BX10" i="36"/>
  <c r="BX25" i="40" s="1"/>
  <c r="BQ12" i="36"/>
  <c r="BQ27" i="40" s="1"/>
  <c r="BM12" i="36"/>
  <c r="BM27" i="40" s="1"/>
  <c r="BY12" i="36"/>
  <c r="BY27" i="40" s="1"/>
  <c r="BU12" i="36"/>
  <c r="BU27" i="40" s="1"/>
  <c r="CG16" i="36"/>
  <c r="CG31" i="40" s="1"/>
  <c r="CC16" i="36"/>
  <c r="CC31" i="40" s="1"/>
  <c r="CG9" i="36"/>
  <c r="CG24" i="40" s="1"/>
  <c r="CC9" i="36"/>
  <c r="CC24" i="40" s="1"/>
  <c r="BQ6" i="36"/>
  <c r="BQ21" i="40" s="1"/>
  <c r="BM6" i="36"/>
  <c r="BM21" i="40" s="1"/>
  <c r="BU5" i="36"/>
  <c r="BU20" i="40" s="1"/>
  <c r="BY5" i="36"/>
  <c r="BY20" i="40" s="1"/>
  <c r="BS13" i="36"/>
  <c r="BS28" i="40" s="1"/>
  <c r="BW13" i="36"/>
  <c r="BW28" i="40" s="1"/>
  <c r="BK13" i="36"/>
  <c r="BK28" i="40" s="1"/>
  <c r="BO13" i="36"/>
  <c r="BO28" i="40" s="1"/>
  <c r="BP5" i="36"/>
  <c r="BP20" i="40" s="1"/>
  <c r="BL5" i="36"/>
  <c r="BL20" i="40" s="1"/>
  <c r="BK7" i="36"/>
  <c r="BK22" i="40" s="1"/>
  <c r="BO7" i="36"/>
  <c r="BO22" i="40" s="1"/>
  <c r="BM15" i="36"/>
  <c r="BM30" i="40" s="1"/>
  <c r="BQ15" i="36"/>
  <c r="BQ30" i="40" s="1"/>
  <c r="BU15" i="36"/>
  <c r="BU30" i="40" s="1"/>
  <c r="BY15" i="36"/>
  <c r="BY30" i="40" s="1"/>
  <c r="BY14" i="36"/>
  <c r="BY29" i="40" s="1"/>
  <c r="BU14" i="36"/>
  <c r="BU29" i="40" s="1"/>
  <c r="BS9" i="36"/>
  <c r="BS24" i="40" s="1"/>
  <c r="BW9" i="36"/>
  <c r="BW24" i="40" s="1"/>
  <c r="BK11" i="36"/>
  <c r="BK26" i="40" s="1"/>
  <c r="BO11" i="36"/>
  <c r="BO26" i="40" s="1"/>
  <c r="BO10" i="36"/>
  <c r="BO25" i="40" s="1"/>
  <c r="BK10" i="36"/>
  <c r="BK25" i="40" s="1"/>
  <c r="CF7" i="35"/>
  <c r="CF7" i="40" s="1"/>
  <c r="BK3" i="35"/>
  <c r="BK3" i="40" s="1"/>
  <c r="CB8" i="35"/>
  <c r="CB8" i="40" s="1"/>
  <c r="BK13" i="35"/>
  <c r="BK13" i="40" s="1"/>
  <c r="CA13" i="35"/>
  <c r="CA13" i="40" s="1"/>
  <c r="BL4" i="35"/>
  <c r="BL4" i="40" s="1"/>
  <c r="BT10" i="35"/>
  <c r="BT10" i="40" s="1"/>
  <c r="BL7" i="35"/>
  <c r="BL7" i="40" s="1"/>
  <c r="CG9" i="35"/>
  <c r="CG9" i="40" s="1"/>
  <c r="CG5" i="35"/>
  <c r="CG5" i="40" s="1"/>
  <c r="CF5" i="35"/>
  <c r="CF5" i="40" s="1"/>
  <c r="CF4" i="35"/>
  <c r="CF4" i="40" s="1"/>
  <c r="BU5" i="35"/>
  <c r="BU5" i="40" s="1"/>
  <c r="BW5" i="35"/>
  <c r="BW5" i="40" s="1"/>
  <c r="BT5" i="35"/>
  <c r="BT5" i="40" s="1"/>
  <c r="BT6" i="35"/>
  <c r="BT6" i="40" s="1"/>
  <c r="BW13" i="35"/>
  <c r="BW13" i="40" s="1"/>
  <c r="BQ7" i="35"/>
  <c r="BQ7" i="40" s="1"/>
  <c r="CE5" i="35"/>
  <c r="CE5" i="40" s="1"/>
  <c r="BX4" i="35"/>
  <c r="BX4" i="40" s="1"/>
  <c r="BM5" i="35"/>
  <c r="BM5" i="40" s="1"/>
  <c r="BL5" i="35"/>
  <c r="BL5" i="40" s="1"/>
  <c r="CE8" i="35"/>
  <c r="CE8" i="40" s="1"/>
  <c r="BK9" i="35"/>
  <c r="BK9" i="40" s="1"/>
  <c r="CB6" i="35"/>
  <c r="CB6" i="40" s="1"/>
  <c r="BW3" i="35"/>
  <c r="BW3" i="40" s="1"/>
  <c r="CA3" i="35"/>
  <c r="CA3" i="40" s="1"/>
  <c r="BX7" i="35"/>
  <c r="BX7" i="40" s="1"/>
  <c r="BK6" i="35"/>
  <c r="BK6" i="40" s="1"/>
  <c r="BU9" i="35"/>
  <c r="BU9" i="40" s="1"/>
  <c r="BY7" i="35"/>
  <c r="BY7" i="40" s="1"/>
  <c r="BO7" i="35"/>
  <c r="BO7" i="40" s="1"/>
  <c r="BL6" i="35"/>
  <c r="BL6" i="40" s="1"/>
  <c r="BW6" i="35"/>
  <c r="BW6" i="40" s="1"/>
  <c r="BX8" i="35"/>
  <c r="BX8" i="40" s="1"/>
  <c r="BT8" i="35"/>
  <c r="BT8" i="40" s="1"/>
  <c r="CA11" i="35"/>
  <c r="CA11" i="40" s="1"/>
  <c r="CE11" i="35"/>
  <c r="CE11" i="40" s="1"/>
  <c r="BK11" i="35"/>
  <c r="BK11" i="40" s="1"/>
  <c r="BO11" i="35"/>
  <c r="BO11" i="40" s="1"/>
  <c r="BL9" i="35"/>
  <c r="BL9" i="40" s="1"/>
  <c r="BP9" i="35"/>
  <c r="BP9" i="40" s="1"/>
  <c r="BO12" i="35"/>
  <c r="BO12" i="40" s="1"/>
  <c r="BK12" i="35"/>
  <c r="BK12" i="40" s="1"/>
  <c r="CG4" i="35"/>
  <c r="CG4" i="40" s="1"/>
  <c r="CC4" i="35"/>
  <c r="CC4" i="40" s="1"/>
  <c r="CF10" i="35"/>
  <c r="CF10" i="40" s="1"/>
  <c r="CB10" i="35"/>
  <c r="CB10" i="40" s="1"/>
  <c r="BY4" i="35"/>
  <c r="BY4" i="40" s="1"/>
  <c r="BU4" i="35"/>
  <c r="BU4" i="40" s="1"/>
  <c r="BW11" i="35"/>
  <c r="BW11" i="40" s="1"/>
  <c r="BS11" i="35"/>
  <c r="BS11" i="40" s="1"/>
  <c r="BW8" i="35"/>
  <c r="BW8" i="40" s="1"/>
  <c r="BS8" i="35"/>
  <c r="BS8" i="40" s="1"/>
  <c r="BW7" i="35"/>
  <c r="BW7" i="40" s="1"/>
  <c r="BS7" i="35"/>
  <c r="BS7" i="40" s="1"/>
  <c r="BK5" i="35"/>
  <c r="BK5" i="40" s="1"/>
  <c r="BO5" i="35"/>
  <c r="BO5" i="40" s="1"/>
  <c r="CF3" i="35"/>
  <c r="CF3" i="40" s="1"/>
  <c r="CB3" i="35"/>
  <c r="CB3" i="40" s="1"/>
  <c r="BY10" i="35"/>
  <c r="BY10" i="40" s="1"/>
  <c r="BU10" i="35"/>
  <c r="BU10" i="40" s="1"/>
  <c r="BW12" i="35"/>
  <c r="BW12" i="40" s="1"/>
  <c r="BS12" i="35"/>
  <c r="BS12" i="40" s="1"/>
  <c r="BT3" i="35"/>
  <c r="BT3" i="40" s="1"/>
  <c r="BX3" i="35"/>
  <c r="BX3" i="40" s="1"/>
  <c r="BL8" i="35"/>
  <c r="BL8" i="40" s="1"/>
  <c r="BP8" i="35"/>
  <c r="BP8" i="40" s="1"/>
  <c r="BU3" i="35"/>
  <c r="BU3" i="40" s="1"/>
  <c r="BY3" i="35"/>
  <c r="BY3" i="40" s="1"/>
  <c r="BO8" i="35"/>
  <c r="BO8" i="40" s="1"/>
  <c r="BK8" i="35"/>
  <c r="BK8" i="40" s="1"/>
  <c r="BP3" i="35"/>
  <c r="BP3" i="40" s="1"/>
  <c r="BL3" i="35"/>
  <c r="BL3" i="40" s="1"/>
  <c r="CE9" i="35"/>
  <c r="CE9" i="40" s="1"/>
  <c r="CA9" i="35"/>
  <c r="CA9" i="40" s="1"/>
  <c r="CB9" i="35"/>
  <c r="CB9" i="40" s="1"/>
  <c r="CF9" i="35"/>
  <c r="CF9" i="40" s="1"/>
  <c r="BM10" i="35"/>
  <c r="BM10" i="40" s="1"/>
  <c r="BQ10" i="35"/>
  <c r="BQ10" i="40" s="1"/>
  <c r="BM3" i="35"/>
  <c r="BM3" i="40" s="1"/>
  <c r="BQ3" i="35"/>
  <c r="BQ3" i="40" s="1"/>
  <c r="CA12" i="35"/>
  <c r="CA12" i="40" s="1"/>
  <c r="CE12" i="35"/>
  <c r="CE12" i="40" s="1"/>
  <c r="CE6" i="35"/>
  <c r="CE6" i="40" s="1"/>
  <c r="CA6" i="35"/>
  <c r="CA6" i="40" s="1"/>
  <c r="CC3" i="35"/>
  <c r="CC3" i="40" s="1"/>
  <c r="CG3" i="35"/>
  <c r="CG3" i="40" s="1"/>
  <c r="BX9" i="35"/>
  <c r="BX9" i="40" s="1"/>
  <c r="BT9" i="35"/>
  <c r="BT9" i="40" s="1"/>
  <c r="CG7" i="35"/>
  <c r="CG7" i="40" s="1"/>
  <c r="CC7" i="35"/>
  <c r="CC7" i="40" s="1"/>
  <c r="BS9" i="35"/>
  <c r="BS9" i="40" s="1"/>
  <c r="BW9" i="35"/>
  <c r="BW9" i="40" s="1"/>
  <c r="CG10" i="35"/>
  <c r="CG10" i="40" s="1"/>
  <c r="CC10" i="35"/>
  <c r="CC10" i="40" s="1"/>
  <c r="CC78" i="18"/>
  <c r="B78" i="12" l="1"/>
  <c r="B77" i="12"/>
  <c r="C77" i="12" s="1"/>
  <c r="B79" i="12"/>
  <c r="B80" i="12"/>
  <c r="B82" i="12"/>
  <c r="C82" i="12" s="1"/>
  <c r="B84" i="12"/>
  <c r="C84" i="12" s="1"/>
  <c r="C83" i="12"/>
  <c r="C80" i="12"/>
  <c r="C79" i="12"/>
  <c r="C78" i="12"/>
  <c r="W14" i="18"/>
  <c r="AB80" i="12"/>
  <c r="AB79" i="12"/>
  <c r="AB82" i="12"/>
  <c r="AB84" i="12"/>
  <c r="AB83" i="12"/>
  <c r="AB78" i="12"/>
  <c r="AB77" i="12"/>
  <c r="C13" i="18"/>
  <c r="E12" i="18"/>
  <c r="S84" i="12"/>
  <c r="S77" i="12"/>
  <c r="S78" i="12"/>
  <c r="S83" i="12"/>
  <c r="S82" i="12"/>
  <c r="S80" i="12"/>
  <c r="S79" i="12"/>
  <c r="U84" i="12"/>
  <c r="U83" i="12"/>
  <c r="U77" i="12"/>
  <c r="U78" i="12"/>
  <c r="U80" i="12"/>
  <c r="U79" i="12"/>
  <c r="U82" i="12"/>
  <c r="V78" i="12"/>
  <c r="V77" i="12"/>
  <c r="V84" i="12"/>
  <c r="V80" i="12"/>
  <c r="V82" i="12"/>
  <c r="V79" i="12"/>
  <c r="V83" i="12"/>
  <c r="X84" i="12"/>
  <c r="X78" i="12"/>
  <c r="X77" i="12"/>
  <c r="X82" i="12"/>
  <c r="X79" i="12"/>
  <c r="X80" i="12"/>
  <c r="X83" i="12"/>
  <c r="Y84" i="12"/>
  <c r="Y77" i="12"/>
  <c r="Y78" i="12"/>
  <c r="Y83" i="12"/>
  <c r="Y80" i="12"/>
  <c r="Y82" i="12"/>
  <c r="Y79" i="12"/>
  <c r="Z83" i="12"/>
  <c r="AA84" i="12"/>
  <c r="W83" i="12"/>
  <c r="AA83" i="12"/>
  <c r="T84" i="12"/>
  <c r="Z84" i="12"/>
  <c r="AA79" i="12"/>
  <c r="W80" i="12"/>
  <c r="AA82" i="12"/>
  <c r="T80" i="12"/>
  <c r="W79" i="12"/>
  <c r="Z79" i="12"/>
  <c r="Z82" i="12"/>
  <c r="W82" i="12"/>
  <c r="Z80" i="12"/>
  <c r="AA80" i="12"/>
  <c r="T79" i="12"/>
  <c r="T82" i="12"/>
  <c r="T83" i="12"/>
  <c r="Z77" i="12"/>
  <c r="W77" i="12"/>
  <c r="AA78" i="12"/>
  <c r="T78" i="12"/>
  <c r="Z78" i="12"/>
  <c r="W78" i="12"/>
  <c r="AA77" i="12"/>
  <c r="T77" i="12"/>
  <c r="W84" i="12"/>
  <c r="AC56" i="40"/>
  <c r="AJ11" i="18"/>
  <c r="CH22" i="18"/>
  <c r="CH23" i="18"/>
  <c r="CH24" i="18"/>
  <c r="CE24" i="18"/>
  <c r="CE22" i="18"/>
  <c r="CE23" i="18"/>
  <c r="BI77" i="18"/>
  <c r="BI75" i="18"/>
  <c r="CE33" i="18"/>
  <c r="BK31" i="18"/>
  <c r="BK33" i="18"/>
  <c r="BK32" i="18"/>
  <c r="G11" i="18"/>
  <c r="BI44" i="18"/>
  <c r="BI43" i="18"/>
  <c r="BI45" i="18"/>
  <c r="BM23" i="18"/>
  <c r="BM25" i="18"/>
  <c r="BM24" i="18"/>
  <c r="BK27" i="18"/>
  <c r="BK28" i="18"/>
  <c r="BK29" i="18"/>
  <c r="BK37" i="18"/>
  <c r="BK36" i="18"/>
  <c r="BK35" i="18"/>
  <c r="BI36" i="18"/>
  <c r="BI37" i="18"/>
  <c r="BI35" i="18"/>
  <c r="BM36" i="18"/>
  <c r="BM37" i="18"/>
  <c r="BM35" i="18"/>
  <c r="BK77" i="18"/>
  <c r="BK76" i="18"/>
  <c r="BK75" i="18"/>
  <c r="BI61" i="18"/>
  <c r="BI60" i="18"/>
  <c r="BK48" i="18"/>
  <c r="BK49" i="18"/>
  <c r="BK47" i="18"/>
  <c r="BM44" i="18"/>
  <c r="BM43" i="18"/>
  <c r="BM45" i="18"/>
  <c r="BM27" i="18"/>
  <c r="BM28" i="18"/>
  <c r="BM29" i="18"/>
  <c r="CH33" i="18"/>
  <c r="CE35" i="18"/>
  <c r="CE34" i="18"/>
  <c r="T58" i="40"/>
  <c r="X59" i="40" s="1"/>
  <c r="BI33" i="18"/>
  <c r="BI31" i="18"/>
  <c r="BI32" i="18"/>
  <c r="CH34" i="18"/>
  <c r="CH35" i="18"/>
  <c r="BY31" i="18"/>
  <c r="BY36" i="18"/>
  <c r="BY30" i="18"/>
  <c r="CB31" i="18"/>
  <c r="CB36" i="18"/>
  <c r="CB30" i="18"/>
  <c r="CC59" i="18"/>
  <c r="CC57" i="18"/>
  <c r="CB20" i="18"/>
  <c r="BY20" i="18"/>
  <c r="BY25" i="18"/>
  <c r="CB25" i="18"/>
  <c r="C14" i="18" l="1"/>
  <c r="E14" i="18"/>
  <c r="I14" i="18"/>
  <c r="G14" i="18"/>
  <c r="U14" i="18"/>
  <c r="S14" i="18"/>
  <c r="Q14" i="18"/>
  <c r="O14" i="18"/>
  <c r="M14" i="18"/>
  <c r="K14" i="18"/>
  <c r="AA93" i="12"/>
  <c r="Z93" i="12"/>
  <c r="T93" i="12"/>
  <c r="W93" i="12"/>
  <c r="BK24" i="18"/>
  <c r="BK23" i="18"/>
  <c r="BK25" i="18"/>
  <c r="O7" i="18"/>
  <c r="Q6" i="18"/>
  <c r="S5" i="18"/>
  <c r="K9" i="18"/>
  <c r="I10" i="18"/>
  <c r="U4" i="18"/>
  <c r="M8" i="18"/>
  <c r="CD35" i="18"/>
  <c r="BX35" i="18" s="1"/>
  <c r="CG35" i="18"/>
  <c r="CA35" i="18" s="1"/>
  <c r="CA34" i="18"/>
  <c r="BX33" i="18"/>
  <c r="CA33" i="18"/>
  <c r="BZ19" i="18"/>
  <c r="BX22" i="18"/>
  <c r="BX23" i="18"/>
  <c r="E13" i="18" l="1"/>
  <c r="BX34" i="18"/>
  <c r="BX24" i="18" l="1"/>
  <c r="CC19" i="18"/>
  <c r="CA23" i="18" l="1"/>
  <c r="CA22" i="18"/>
  <c r="CA24" i="18" l="1"/>
  <c r="C17" i="12" l="1"/>
  <c r="AI9" i="46" l="1"/>
  <c r="BU78" i="18"/>
  <c r="DR36" i="18" s="1"/>
  <c r="BM78" i="18"/>
  <c r="BS78" i="18"/>
  <c r="DQ36" i="18" s="1"/>
  <c r="BK78" i="18"/>
  <c r="BQ78" i="18"/>
  <c r="DP36" i="18" s="1"/>
  <c r="BU75" i="18"/>
  <c r="DI33" i="18" s="1"/>
  <c r="BS75" i="18"/>
  <c r="DH33" i="18" s="1"/>
  <c r="BQ75" i="18"/>
  <c r="DG33" i="18" s="1"/>
  <c r="BU74" i="18"/>
  <c r="DR35" i="18" s="1"/>
  <c r="BM74" i="18"/>
  <c r="BS74" i="18"/>
  <c r="DQ35" i="18" s="1"/>
  <c r="BK74" i="18"/>
  <c r="BQ74" i="18"/>
  <c r="DP35" i="18" s="1"/>
  <c r="BU71" i="18"/>
  <c r="DI32" i="18" s="1"/>
  <c r="BS71" i="18"/>
  <c r="DH32" i="18" s="1"/>
  <c r="BQ71" i="18"/>
  <c r="DG32" i="18" s="1"/>
  <c r="BU70" i="18"/>
  <c r="DR34" i="18" s="1"/>
  <c r="BM70" i="18"/>
  <c r="BS70" i="18"/>
  <c r="DQ34" i="18" s="1"/>
  <c r="BK70" i="18"/>
  <c r="BQ70" i="18"/>
  <c r="DP34" i="18" s="1"/>
  <c r="BU67" i="18"/>
  <c r="DI31" i="18" s="1"/>
  <c r="BS67" i="18"/>
  <c r="DH31" i="18" s="1"/>
  <c r="BQ67" i="18"/>
  <c r="DG31" i="18" s="1"/>
  <c r="BU66" i="18"/>
  <c r="DR33" i="18" s="1"/>
  <c r="BM66" i="18"/>
  <c r="BS66" i="18"/>
  <c r="DQ33" i="18" s="1"/>
  <c r="BK66" i="18"/>
  <c r="BQ66" i="18"/>
  <c r="DP33" i="18" s="1"/>
  <c r="BU63" i="18"/>
  <c r="DI30" i="18" s="1"/>
  <c r="BS63" i="18"/>
  <c r="DH30" i="18" s="1"/>
  <c r="BQ63" i="18"/>
  <c r="DG30" i="18" s="1"/>
  <c r="BU62" i="18"/>
  <c r="DR32" i="18" s="1"/>
  <c r="BM62" i="18"/>
  <c r="BS62" i="18"/>
  <c r="DQ32" i="18" s="1"/>
  <c r="BK62" i="18"/>
  <c r="BQ62" i="18"/>
  <c r="DP32" i="18" s="1"/>
  <c r="BU59" i="18"/>
  <c r="DI29" i="18" s="1"/>
  <c r="BS59" i="18"/>
  <c r="DH29" i="18" s="1"/>
  <c r="BQ59" i="18"/>
  <c r="DG29" i="18" s="1"/>
  <c r="BU58" i="18"/>
  <c r="DR31" i="18" s="1"/>
  <c r="BM58" i="18"/>
  <c r="BS58" i="18"/>
  <c r="DQ31" i="18" s="1"/>
  <c r="BK58" i="18"/>
  <c r="BQ58" i="18"/>
  <c r="DP31" i="18" s="1"/>
  <c r="BU55" i="18"/>
  <c r="DI28" i="18" s="1"/>
  <c r="BS55" i="18"/>
  <c r="DH28" i="18" s="1"/>
  <c r="BQ55" i="18"/>
  <c r="DG28" i="18" s="1"/>
  <c r="BU54" i="18"/>
  <c r="DR30" i="18" s="1"/>
  <c r="BM54" i="18"/>
  <c r="BS54" i="18"/>
  <c r="DQ30" i="18" s="1"/>
  <c r="BK54" i="18"/>
  <c r="BQ54" i="18"/>
  <c r="DP30" i="18" s="1"/>
  <c r="BU51" i="18"/>
  <c r="DI27" i="18" s="1"/>
  <c r="BS51" i="18"/>
  <c r="DH27" i="18" s="1"/>
  <c r="BQ51" i="18"/>
  <c r="DG27" i="18" s="1"/>
  <c r="BU50" i="18"/>
  <c r="DR29" i="18" s="1"/>
  <c r="BM50" i="18"/>
  <c r="BS50" i="18"/>
  <c r="DQ29" i="18" s="1"/>
  <c r="BK50" i="18"/>
  <c r="BQ50" i="18"/>
  <c r="DP29" i="18" s="1"/>
  <c r="BU47" i="18"/>
  <c r="DI26" i="18" s="1"/>
  <c r="BS47" i="18"/>
  <c r="DH26" i="18" s="1"/>
  <c r="BQ47" i="18"/>
  <c r="DG26" i="18" s="1"/>
  <c r="BU46" i="18"/>
  <c r="DR28" i="18" s="1"/>
  <c r="BM46" i="18"/>
  <c r="BS46" i="18"/>
  <c r="DQ28" i="18" s="1"/>
  <c r="BK46" i="18"/>
  <c r="BQ46" i="18"/>
  <c r="DP28" i="18" s="1"/>
  <c r="BU43" i="18"/>
  <c r="DI25" i="18" s="1"/>
  <c r="BS43" i="18"/>
  <c r="DH25" i="18" s="1"/>
  <c r="BQ43" i="18"/>
  <c r="DG25" i="18" s="1"/>
  <c r="BU42" i="18"/>
  <c r="DR27" i="18" s="1"/>
  <c r="BM42" i="18"/>
  <c r="BS42" i="18"/>
  <c r="DQ27" i="18" s="1"/>
  <c r="BK42" i="18"/>
  <c r="BQ42" i="18"/>
  <c r="DP27" i="18" s="1"/>
  <c r="BU39" i="18"/>
  <c r="DI24" i="18" s="1"/>
  <c r="BS39" i="18"/>
  <c r="DH24" i="18" s="1"/>
  <c r="BQ39" i="18"/>
  <c r="DG24" i="18" s="1"/>
  <c r="BU38" i="18"/>
  <c r="DR26" i="18" s="1"/>
  <c r="BM38" i="18"/>
  <c r="BS38" i="18"/>
  <c r="DQ26" i="18" s="1"/>
  <c r="BK38" i="18"/>
  <c r="BQ38" i="18"/>
  <c r="DP26" i="18" s="1"/>
  <c r="BU35" i="18"/>
  <c r="DI23" i="18" s="1"/>
  <c r="BS35" i="18"/>
  <c r="DH23" i="18" s="1"/>
  <c r="BQ35" i="18"/>
  <c r="DG23" i="18" s="1"/>
  <c r="BU34" i="18"/>
  <c r="DR25" i="18" s="1"/>
  <c r="BM34" i="18"/>
  <c r="BS34" i="18"/>
  <c r="DQ25" i="18" s="1"/>
  <c r="BK34" i="18"/>
  <c r="BQ34" i="18"/>
  <c r="DP25" i="18" s="1"/>
  <c r="BU31" i="18"/>
  <c r="DI22" i="18" s="1"/>
  <c r="BS31" i="18"/>
  <c r="DH22" i="18" s="1"/>
  <c r="BQ31" i="18"/>
  <c r="DG22" i="18" s="1"/>
  <c r="BM30" i="18"/>
  <c r="BS30" i="18"/>
  <c r="DQ24" i="18" s="1"/>
  <c r="BK30" i="18"/>
  <c r="BQ30" i="18"/>
  <c r="DP24" i="18" s="1"/>
  <c r="BU27" i="18"/>
  <c r="DI21" i="18" s="1"/>
  <c r="BS27" i="18"/>
  <c r="DH21" i="18" s="1"/>
  <c r="BQ27" i="18"/>
  <c r="DG21" i="18" s="1"/>
  <c r="BU30" i="18"/>
  <c r="DR24" i="18" s="1"/>
  <c r="BM26" i="18"/>
  <c r="BS26" i="18"/>
  <c r="DQ23" i="18" s="1"/>
  <c r="BK26" i="18"/>
  <c r="BQ26" i="18"/>
  <c r="DP23" i="18" s="1"/>
  <c r="BU23" i="18"/>
  <c r="DI20" i="18" s="1"/>
  <c r="BS23" i="18"/>
  <c r="DH20" i="18" s="1"/>
  <c r="BQ23" i="18"/>
  <c r="DG20" i="18" s="1"/>
  <c r="BU22" i="18"/>
  <c r="DR22" i="18" s="1"/>
  <c r="BU19" i="18"/>
  <c r="DI19" i="18" s="1"/>
  <c r="BM22" i="18"/>
  <c r="BS22" i="18"/>
  <c r="DQ22" i="18" s="1"/>
  <c r="BS19" i="18"/>
  <c r="DH19" i="18" s="1"/>
  <c r="BK22" i="18"/>
  <c r="BQ22" i="18"/>
  <c r="DP22" i="18" s="1"/>
  <c r="BQ19" i="18"/>
  <c r="DG19" i="18" s="1"/>
  <c r="BU26" i="18"/>
  <c r="DR23" i="18" s="1"/>
  <c r="C88" i="12"/>
  <c r="BB42" i="18" l="1"/>
  <c r="BE42" i="18" s="1"/>
  <c r="AC78" i="18"/>
  <c r="AD78" i="18"/>
  <c r="C16" i="12"/>
  <c r="E3" i="11"/>
  <c r="E4" i="11"/>
  <c r="E5" i="11"/>
  <c r="E6" i="11"/>
  <c r="E7" i="11"/>
  <c r="E8" i="11"/>
  <c r="E9" i="11"/>
  <c r="E10" i="11"/>
  <c r="E11" i="11"/>
  <c r="E12" i="11"/>
  <c r="E2" i="11"/>
  <c r="C15" i="12"/>
  <c r="C14" i="12"/>
  <c r="AI8" i="46" l="1"/>
  <c r="AI6" i="46"/>
  <c r="AI7" i="46"/>
  <c r="AK124" i="18"/>
  <c r="AF31" i="18" l="1"/>
  <c r="AF30" i="18"/>
  <c r="AF32" i="18"/>
  <c r="AF28" i="18"/>
  <c r="AF20" i="18"/>
  <c r="AF21" i="18"/>
  <c r="AF24" i="18"/>
  <c r="AF19" i="18"/>
  <c r="AF26" i="18"/>
  <c r="AE31" i="18" l="1"/>
  <c r="AN104" i="18" s="1"/>
  <c r="AO36" i="18"/>
  <c r="AO35" i="18"/>
  <c r="AO34" i="18"/>
  <c r="AN35" i="18"/>
  <c r="AN98" i="18"/>
  <c r="AO97" i="18"/>
  <c r="AO98" i="18"/>
  <c r="AO99" i="18"/>
  <c r="AO20" i="18"/>
  <c r="AN21" i="18"/>
  <c r="AO22" i="18"/>
  <c r="AO21" i="18"/>
  <c r="AN28" i="18"/>
  <c r="AO28" i="18"/>
  <c r="AO27" i="18"/>
  <c r="AO29" i="18"/>
  <c r="AO84" i="18"/>
  <c r="AN84" i="18"/>
  <c r="AO83" i="18"/>
  <c r="AO85" i="18"/>
  <c r="AO104" i="18"/>
  <c r="AO106" i="18"/>
  <c r="AO105" i="18"/>
  <c r="AN105" i="18"/>
  <c r="AO70" i="18"/>
  <c r="AO69" i="18"/>
  <c r="AN70" i="18"/>
  <c r="AO71" i="18"/>
  <c r="AN56" i="18"/>
  <c r="AO57" i="18"/>
  <c r="AO55" i="18"/>
  <c r="AO56" i="18"/>
  <c r="AO112" i="18"/>
  <c r="AO111" i="18"/>
  <c r="AO113" i="18"/>
  <c r="AN112" i="18"/>
  <c r="A54" i="12"/>
  <c r="AA25" i="18"/>
  <c r="AB25" i="18"/>
  <c r="A50" i="12"/>
  <c r="AA29" i="18"/>
  <c r="AB29" i="18"/>
  <c r="A52" i="12"/>
  <c r="AB27" i="18"/>
  <c r="AA27" i="18"/>
  <c r="A53" i="12"/>
  <c r="AB26" i="18"/>
  <c r="AA26" i="18"/>
  <c r="A55" i="12"/>
  <c r="AB24" i="18"/>
  <c r="AA24" i="18"/>
  <c r="A47" i="12"/>
  <c r="AB32" i="18"/>
  <c r="AA32" i="18"/>
  <c r="A57" i="12"/>
  <c r="AB22" i="18"/>
  <c r="AA22" i="18"/>
  <c r="A46" i="12"/>
  <c r="AB33" i="18"/>
  <c r="AA33" i="18"/>
  <c r="A58" i="12"/>
  <c r="AB21" i="18"/>
  <c r="AA21" i="18"/>
  <c r="A49" i="12"/>
  <c r="AB30" i="18"/>
  <c r="AA77" i="18" s="1"/>
  <c r="AA30" i="18"/>
  <c r="A60" i="12"/>
  <c r="AB19" i="18"/>
  <c r="AA19" i="18"/>
  <c r="A59" i="12"/>
  <c r="AB20" i="18"/>
  <c r="AA20" i="18"/>
  <c r="A45" i="12"/>
  <c r="AB34" i="18"/>
  <c r="AA34" i="18"/>
  <c r="A51" i="12"/>
  <c r="AB28" i="18"/>
  <c r="AA28" i="18"/>
  <c r="A48" i="12"/>
  <c r="AB31" i="18"/>
  <c r="Z79" i="18" s="1"/>
  <c r="AA31" i="18"/>
  <c r="AC31" i="18"/>
  <c r="Z31" i="18"/>
  <c r="AD31" i="18"/>
  <c r="AC24" i="18"/>
  <c r="AD30" i="18"/>
  <c r="AD19" i="18"/>
  <c r="AD25" i="18"/>
  <c r="AE28" i="18"/>
  <c r="AC33" i="18"/>
  <c r="AE27" i="18"/>
  <c r="AC34" i="18"/>
  <c r="AL124" i="18" s="1"/>
  <c r="AU125" i="18" s="1"/>
  <c r="AD34" i="18"/>
  <c r="Z34" i="18"/>
  <c r="AE34" i="18"/>
  <c r="AE30" i="18"/>
  <c r="AC30" i="18"/>
  <c r="Z30" i="18"/>
  <c r="AD32" i="18"/>
  <c r="AE32" i="18"/>
  <c r="Z32" i="18"/>
  <c r="AC32" i="18"/>
  <c r="AD20" i="18"/>
  <c r="AE20" i="18"/>
  <c r="AD21" i="18"/>
  <c r="AE21" i="18"/>
  <c r="AC22" i="18"/>
  <c r="AE22" i="18"/>
  <c r="AN44" i="18" s="1"/>
  <c r="Z20" i="18"/>
  <c r="AC20" i="18"/>
  <c r="AD28" i="18"/>
  <c r="Z28" i="18"/>
  <c r="AC28" i="18"/>
  <c r="AC21" i="18"/>
  <c r="Z21" i="18"/>
  <c r="Z24" i="18"/>
  <c r="AG19" i="18"/>
  <c r="AE24" i="18"/>
  <c r="AD24" i="18"/>
  <c r="AD27" i="18"/>
  <c r="AC27" i="18"/>
  <c r="AE19" i="18"/>
  <c r="AE25" i="18"/>
  <c r="Z25" i="18"/>
  <c r="AC25" i="18"/>
  <c r="AC19" i="18"/>
  <c r="Z19" i="18"/>
  <c r="AE26" i="18"/>
  <c r="AD29" i="18"/>
  <c r="AD26" i="18"/>
  <c r="Z33" i="18"/>
  <c r="AD33" i="18"/>
  <c r="AE33" i="18"/>
  <c r="AN121" i="18" s="1"/>
  <c r="Z29" i="18"/>
  <c r="Z26" i="18"/>
  <c r="AC26" i="18"/>
  <c r="AE29" i="18"/>
  <c r="AC29" i="18"/>
  <c r="AD22" i="18"/>
  <c r="Z22" i="18"/>
  <c r="Z27" i="18"/>
  <c r="AC81" i="18" l="1"/>
  <c r="AD80" i="18"/>
  <c r="AC77" i="18"/>
  <c r="AC80" i="18"/>
  <c r="AD79" i="18"/>
  <c r="AN103" i="18"/>
  <c r="AF33" i="18"/>
  <c r="AN120" i="18" s="1"/>
  <c r="AF22" i="18"/>
  <c r="AN23" i="18"/>
  <c r="AN19" i="18"/>
  <c r="AN20" i="18"/>
  <c r="AN55" i="18"/>
  <c r="AN54" i="18"/>
  <c r="AN110" i="18"/>
  <c r="AN111" i="18"/>
  <c r="AN96" i="18"/>
  <c r="AN97" i="18"/>
  <c r="AF29" i="18"/>
  <c r="AN92" i="18" s="1"/>
  <c r="AN93" i="18"/>
  <c r="AN33" i="18"/>
  <c r="AN34" i="18"/>
  <c r="AN125" i="18"/>
  <c r="AN124" i="18"/>
  <c r="AF27" i="18"/>
  <c r="AN78" i="18" s="1"/>
  <c r="AN79" i="18"/>
  <c r="AN69" i="18"/>
  <c r="AN68" i="18"/>
  <c r="AF25" i="18"/>
  <c r="AN64" i="18" s="1"/>
  <c r="AN65" i="18"/>
  <c r="AN31" i="18"/>
  <c r="AN27" i="18"/>
  <c r="AN30" i="18"/>
  <c r="AN26" i="18"/>
  <c r="AN83" i="18"/>
  <c r="AN82" i="18"/>
  <c r="AF34" i="18"/>
  <c r="AI11" i="18"/>
  <c r="AO23" i="18"/>
  <c r="AO30" i="18"/>
  <c r="AM26" i="18"/>
  <c r="AM27" i="18"/>
  <c r="AL27" i="18"/>
  <c r="AL26" i="18"/>
  <c r="AD81" i="18"/>
  <c r="AD77" i="18"/>
  <c r="AC79" i="18"/>
  <c r="AM124" i="18"/>
  <c r="AV125" i="18" s="1"/>
  <c r="AY125" i="18" s="1"/>
  <c r="AL125" i="18"/>
  <c r="AU127" i="18" s="1"/>
  <c r="AX127" i="18" s="1"/>
  <c r="AM125" i="18"/>
  <c r="AX125" i="18"/>
  <c r="AN24" i="18"/>
  <c r="A1" i="18"/>
  <c r="V3" i="18" l="1"/>
  <c r="AO93" i="18"/>
  <c r="AN43" i="18"/>
  <c r="AO120" i="18"/>
  <c r="AO121" i="18"/>
  <c r="AO119" i="18"/>
  <c r="AO118" i="18" s="1"/>
  <c r="AO65" i="18"/>
  <c r="AO78" i="18"/>
  <c r="AO91" i="18"/>
  <c r="AO90" i="18" s="1"/>
  <c r="AO44" i="18"/>
  <c r="AO92" i="18"/>
  <c r="AO43" i="18"/>
  <c r="AO42" i="18"/>
  <c r="AO41" i="18" s="1"/>
  <c r="AO63" i="18"/>
  <c r="AO62" i="18" s="1"/>
  <c r="AO77" i="18"/>
  <c r="AO76" i="18" s="1"/>
  <c r="AO126" i="18"/>
  <c r="AN126" i="18"/>
  <c r="AO125" i="18"/>
  <c r="AO127" i="18"/>
  <c r="AO64" i="18"/>
  <c r="AO79" i="18"/>
  <c r="W3" i="18"/>
  <c r="AU126" i="18"/>
  <c r="AX126" i="18" s="1"/>
  <c r="AV127" i="18"/>
  <c r="AY127" i="18" s="1"/>
  <c r="AN14" i="18" l="1"/>
  <c r="AP14" i="18"/>
  <c r="BQ32" i="18"/>
  <c r="DJ23" i="18" s="1"/>
  <c r="BP76" i="18"/>
  <c r="CX34" i="18" s="1"/>
  <c r="BP36" i="18"/>
  <c r="CX24" i="18" s="1"/>
  <c r="BQ20" i="18"/>
  <c r="DJ20" i="18" s="1"/>
  <c r="AV126" i="18"/>
  <c r="AY126" i="18" s="1"/>
  <c r="BP20" i="18"/>
  <c r="CX20" i="18" s="1"/>
  <c r="BQ33" i="18" l="1"/>
  <c r="DM24" i="18" s="1"/>
  <c r="BP75" i="18"/>
  <c r="CU33" i="18" s="1"/>
  <c r="BP35" i="18"/>
  <c r="CU23" i="18" s="1"/>
  <c r="BI78" i="18"/>
  <c r="BP37" i="18"/>
  <c r="DA25" i="18" s="1"/>
  <c r="BQ77" i="18"/>
  <c r="DM35" i="18" s="1"/>
  <c r="BQ76" i="18"/>
  <c r="DJ34" i="18" s="1"/>
  <c r="BQ73" i="18"/>
  <c r="DM34" i="18" s="1"/>
  <c r="BQ72" i="18"/>
  <c r="DJ33" i="18" s="1"/>
  <c r="BP72" i="18"/>
  <c r="CX33" i="18" s="1"/>
  <c r="BP71" i="18"/>
  <c r="CU32" i="18" s="1"/>
  <c r="BP68" i="18"/>
  <c r="CX32" i="18" s="1"/>
  <c r="BP67" i="18"/>
  <c r="CU31" i="18" s="1"/>
  <c r="BQ69" i="18"/>
  <c r="DM33" i="18" s="1"/>
  <c r="BQ68" i="18"/>
  <c r="DJ32" i="18" s="1"/>
  <c r="BQ65" i="18"/>
  <c r="DM32" i="18" s="1"/>
  <c r="BQ64" i="18"/>
  <c r="DJ31" i="18" s="1"/>
  <c r="BP64" i="18"/>
  <c r="CX31" i="18" s="1"/>
  <c r="BP63" i="18"/>
  <c r="CU30" i="18" s="1"/>
  <c r="BQ61" i="18"/>
  <c r="DM31" i="18" s="1"/>
  <c r="BQ60" i="18"/>
  <c r="DJ30" i="18" s="1"/>
  <c r="BP60" i="18"/>
  <c r="CX30" i="18" s="1"/>
  <c r="BP59" i="18"/>
  <c r="CU29" i="18" s="1"/>
  <c r="BP56" i="18"/>
  <c r="CX29" i="18" s="1"/>
  <c r="BP55" i="18"/>
  <c r="CU28" i="18" s="1"/>
  <c r="BQ57" i="18"/>
  <c r="DM30" i="18" s="1"/>
  <c r="BQ56" i="18"/>
  <c r="DJ29" i="18" s="1"/>
  <c r="BQ53" i="18"/>
  <c r="DM29" i="18" s="1"/>
  <c r="BQ52" i="18"/>
  <c r="DJ28" i="18" s="1"/>
  <c r="BP52" i="18"/>
  <c r="CX28" i="18" s="1"/>
  <c r="BP51" i="18"/>
  <c r="CU27" i="18" s="1"/>
  <c r="BQ49" i="18"/>
  <c r="DM28" i="18" s="1"/>
  <c r="BQ48" i="18"/>
  <c r="DJ27" i="18" s="1"/>
  <c r="BP48" i="18"/>
  <c r="CX27" i="18" s="1"/>
  <c r="BP47" i="18"/>
  <c r="CU26" i="18" s="1"/>
  <c r="BQ44" i="18"/>
  <c r="DJ26" i="18" s="1"/>
  <c r="BQ45" i="18"/>
  <c r="DM27" i="18" s="1"/>
  <c r="BP44" i="18"/>
  <c r="CX26" i="18" s="1"/>
  <c r="BP43" i="18"/>
  <c r="CU25" i="18" s="1"/>
  <c r="BP39" i="18"/>
  <c r="CU24" i="18" s="1"/>
  <c r="BP40" i="18"/>
  <c r="CX25" i="18" s="1"/>
  <c r="BQ41" i="18"/>
  <c r="DM26" i="18" s="1"/>
  <c r="BQ40" i="18"/>
  <c r="DJ25" i="18" s="1"/>
  <c r="BQ36" i="18"/>
  <c r="DJ24" i="18" s="1"/>
  <c r="BQ37" i="18"/>
  <c r="DM25" i="18" s="1"/>
  <c r="BP32" i="18"/>
  <c r="CX23" i="18" s="1"/>
  <c r="BP31" i="18"/>
  <c r="CU22" i="18" s="1"/>
  <c r="BP27" i="18"/>
  <c r="CU21" i="18" s="1"/>
  <c r="BP28" i="18"/>
  <c r="CX22" i="18" s="1"/>
  <c r="BQ29" i="18"/>
  <c r="DM23" i="18" s="1"/>
  <c r="BQ28" i="18"/>
  <c r="DJ22" i="18" s="1"/>
  <c r="BP23" i="18"/>
  <c r="CU20" i="18" s="1"/>
  <c r="BP24" i="18"/>
  <c r="CX21" i="18" s="1"/>
  <c r="BQ25" i="18"/>
  <c r="DM22" i="18" s="1"/>
  <c r="BQ24" i="18"/>
  <c r="DJ21" i="18" s="1"/>
  <c r="BI22" i="18"/>
  <c r="BP19" i="18"/>
  <c r="CU19" i="18" s="1"/>
  <c r="BQ21" i="18"/>
  <c r="DM21" i="18" s="1"/>
  <c r="AD22" i="31"/>
  <c r="AE22" i="31"/>
  <c r="AF22" i="31"/>
  <c r="AD23" i="31"/>
  <c r="AE23" i="31"/>
  <c r="AF23" i="31"/>
  <c r="AD24" i="31"/>
  <c r="AE24" i="31"/>
  <c r="AF24" i="31"/>
  <c r="AD25" i="31"/>
  <c r="AE25" i="31"/>
  <c r="AF25" i="31"/>
  <c r="AD26" i="31"/>
  <c r="AE26" i="31"/>
  <c r="AF26" i="31"/>
  <c r="AD27" i="31"/>
  <c r="AE27" i="31"/>
  <c r="AF27" i="31"/>
  <c r="AD28" i="31"/>
  <c r="AE28" i="31"/>
  <c r="AF28" i="31"/>
  <c r="AD29" i="31"/>
  <c r="AE29" i="31"/>
  <c r="AF29" i="31"/>
  <c r="AD30" i="31"/>
  <c r="AE30" i="31"/>
  <c r="AF30" i="31"/>
  <c r="AD31" i="31"/>
  <c r="AE31" i="31"/>
  <c r="AF31" i="31"/>
  <c r="AD32" i="31"/>
  <c r="AE32" i="31"/>
  <c r="AF32" i="31"/>
  <c r="AD33" i="31"/>
  <c r="AE33" i="31"/>
  <c r="AF33" i="31"/>
  <c r="AD34" i="31"/>
  <c r="AE34" i="31"/>
  <c r="AF34" i="31"/>
  <c r="AD35" i="31"/>
  <c r="AE35" i="31"/>
  <c r="AF35" i="31"/>
  <c r="AE21" i="31"/>
  <c r="AF21" i="31"/>
  <c r="AD21" i="31"/>
  <c r="J22" i="31"/>
  <c r="Z22" i="31" s="1"/>
  <c r="K22" i="31"/>
  <c r="AA22" i="31" s="1"/>
  <c r="L22" i="31"/>
  <c r="AB22" i="31" s="1"/>
  <c r="J23" i="31"/>
  <c r="Z23" i="31" s="1"/>
  <c r="K23" i="31"/>
  <c r="AA23" i="31" s="1"/>
  <c r="L23" i="31"/>
  <c r="AB23" i="31" s="1"/>
  <c r="J24" i="31"/>
  <c r="Z24" i="31" s="1"/>
  <c r="K24" i="31"/>
  <c r="AA24" i="31" s="1"/>
  <c r="L24" i="31"/>
  <c r="AB24" i="31" s="1"/>
  <c r="J25" i="31"/>
  <c r="Z25" i="31" s="1"/>
  <c r="K25" i="31"/>
  <c r="AA25" i="31" s="1"/>
  <c r="L25" i="31"/>
  <c r="AB25" i="31" s="1"/>
  <c r="J26" i="31"/>
  <c r="Z26" i="31" s="1"/>
  <c r="K26" i="31"/>
  <c r="AA26" i="31" s="1"/>
  <c r="L26" i="31"/>
  <c r="AB26" i="31" s="1"/>
  <c r="J27" i="31"/>
  <c r="Z27" i="31" s="1"/>
  <c r="K27" i="31"/>
  <c r="AA27" i="31" s="1"/>
  <c r="L27" i="31"/>
  <c r="AB27" i="31" s="1"/>
  <c r="J28" i="31"/>
  <c r="Z28" i="31" s="1"/>
  <c r="K28" i="31"/>
  <c r="AA28" i="31" s="1"/>
  <c r="L28" i="31"/>
  <c r="AB28" i="31" s="1"/>
  <c r="J29" i="31"/>
  <c r="Z29" i="31" s="1"/>
  <c r="K29" i="31"/>
  <c r="AA29" i="31" s="1"/>
  <c r="L29" i="31"/>
  <c r="AB29" i="31" s="1"/>
  <c r="J30" i="31"/>
  <c r="Z30" i="31" s="1"/>
  <c r="K30" i="31"/>
  <c r="AA30" i="31" s="1"/>
  <c r="L30" i="31"/>
  <c r="AB30" i="31" s="1"/>
  <c r="J31" i="31"/>
  <c r="Z31" i="31" s="1"/>
  <c r="K31" i="31"/>
  <c r="AA31" i="31" s="1"/>
  <c r="L31" i="31"/>
  <c r="AB31" i="31" s="1"/>
  <c r="J32" i="31"/>
  <c r="Z32" i="31" s="1"/>
  <c r="K32" i="31"/>
  <c r="AA32" i="31" s="1"/>
  <c r="L32" i="31"/>
  <c r="AB32" i="31" s="1"/>
  <c r="J33" i="31"/>
  <c r="Z33" i="31" s="1"/>
  <c r="K33" i="31"/>
  <c r="AA33" i="31" s="1"/>
  <c r="L33" i="31"/>
  <c r="AB33" i="31" s="1"/>
  <c r="J34" i="31"/>
  <c r="Z34" i="31" s="1"/>
  <c r="K34" i="31"/>
  <c r="AA34" i="31" s="1"/>
  <c r="L34" i="31"/>
  <c r="AB34" i="31" s="1"/>
  <c r="J35" i="31"/>
  <c r="Z35" i="31" s="1"/>
  <c r="K35" i="31"/>
  <c r="AA35" i="31" s="1"/>
  <c r="L35" i="31"/>
  <c r="AB35" i="31" s="1"/>
  <c r="K21" i="31"/>
  <c r="AA21" i="31" s="1"/>
  <c r="L21" i="31"/>
  <c r="AB21" i="31" s="1"/>
  <c r="J21" i="31"/>
  <c r="Z21" i="31" s="1"/>
  <c r="F22" i="31"/>
  <c r="G22" i="31"/>
  <c r="H22" i="31"/>
  <c r="F23" i="31"/>
  <c r="G23" i="31"/>
  <c r="H23" i="31"/>
  <c r="F24" i="31"/>
  <c r="G24" i="31"/>
  <c r="H24" i="31"/>
  <c r="F25" i="31"/>
  <c r="G25" i="31"/>
  <c r="H25" i="31"/>
  <c r="F26" i="31"/>
  <c r="G26" i="31"/>
  <c r="H26" i="31"/>
  <c r="F27" i="31"/>
  <c r="G27" i="31"/>
  <c r="H27" i="31"/>
  <c r="F28" i="31"/>
  <c r="G28" i="31"/>
  <c r="H28" i="31"/>
  <c r="F29" i="31"/>
  <c r="G29" i="31"/>
  <c r="H29" i="31"/>
  <c r="F30" i="31"/>
  <c r="G30" i="31"/>
  <c r="H30" i="31"/>
  <c r="F31" i="31"/>
  <c r="G31" i="31"/>
  <c r="H31" i="31"/>
  <c r="F32" i="31"/>
  <c r="G32" i="31"/>
  <c r="H32" i="31"/>
  <c r="F33" i="31"/>
  <c r="G33" i="31"/>
  <c r="H33" i="31"/>
  <c r="F34" i="31"/>
  <c r="G34" i="31"/>
  <c r="H34" i="31"/>
  <c r="F35" i="31"/>
  <c r="G35" i="31"/>
  <c r="H35" i="31"/>
  <c r="G21" i="31"/>
  <c r="H21" i="31"/>
  <c r="F21" i="31"/>
  <c r="P5" i="31"/>
  <c r="P4" i="31" s="1"/>
  <c r="P3" i="31" s="1"/>
  <c r="P2" i="31" s="1"/>
  <c r="O5" i="31"/>
  <c r="O4" i="31" s="1"/>
  <c r="O3" i="31" s="1"/>
  <c r="O2" i="31" s="1"/>
  <c r="N5" i="31"/>
  <c r="N4" i="31" s="1"/>
  <c r="N3" i="31" s="1"/>
  <c r="N2" i="31" s="1"/>
  <c r="W2" i="31"/>
  <c r="O21" i="31" s="1"/>
  <c r="W21" i="31" s="1"/>
  <c r="X2" i="31"/>
  <c r="P21" i="31" s="1"/>
  <c r="X21" i="31" s="1"/>
  <c r="W3" i="31"/>
  <c r="O22" i="31" s="1"/>
  <c r="W22" i="31" s="1"/>
  <c r="X3" i="31"/>
  <c r="P22" i="31" s="1"/>
  <c r="X22" i="31" s="1"/>
  <c r="W4" i="31"/>
  <c r="O23" i="31" s="1"/>
  <c r="W23" i="31" s="1"/>
  <c r="X4" i="31"/>
  <c r="P23" i="31" s="1"/>
  <c r="X23" i="31" s="1"/>
  <c r="W5" i="31"/>
  <c r="O24" i="31" s="1"/>
  <c r="W24" i="31" s="1"/>
  <c r="X5" i="31"/>
  <c r="P24" i="31" s="1"/>
  <c r="X24" i="31" s="1"/>
  <c r="W6" i="31"/>
  <c r="O25" i="31" s="1"/>
  <c r="W25" i="31" s="1"/>
  <c r="X6" i="31"/>
  <c r="P25" i="31" s="1"/>
  <c r="X25" i="31" s="1"/>
  <c r="W7" i="31"/>
  <c r="O26" i="31" s="1"/>
  <c r="W26" i="31" s="1"/>
  <c r="X7" i="31"/>
  <c r="P26" i="31" s="1"/>
  <c r="X26" i="31" s="1"/>
  <c r="W8" i="31"/>
  <c r="O27" i="31" s="1"/>
  <c r="W27" i="31" s="1"/>
  <c r="X8" i="31"/>
  <c r="P27" i="31" s="1"/>
  <c r="X27" i="31" s="1"/>
  <c r="W9" i="31"/>
  <c r="O28" i="31" s="1"/>
  <c r="W28" i="31" s="1"/>
  <c r="X9" i="31"/>
  <c r="P28" i="31" s="1"/>
  <c r="X28" i="31" s="1"/>
  <c r="W10" i="31"/>
  <c r="O29" i="31" s="1"/>
  <c r="W29" i="31" s="1"/>
  <c r="X10" i="31"/>
  <c r="P29" i="31" s="1"/>
  <c r="X29" i="31" s="1"/>
  <c r="W11" i="31"/>
  <c r="O30" i="31" s="1"/>
  <c r="W30" i="31" s="1"/>
  <c r="X11" i="31"/>
  <c r="P30" i="31" s="1"/>
  <c r="X30" i="31" s="1"/>
  <c r="W12" i="31"/>
  <c r="O31" i="31" s="1"/>
  <c r="W31" i="31" s="1"/>
  <c r="X12" i="31"/>
  <c r="P31" i="31" s="1"/>
  <c r="X31" i="31" s="1"/>
  <c r="W13" i="31"/>
  <c r="O32" i="31" s="1"/>
  <c r="W32" i="31" s="1"/>
  <c r="X13" i="31"/>
  <c r="P32" i="31" s="1"/>
  <c r="X32" i="31" s="1"/>
  <c r="W14" i="31"/>
  <c r="O33" i="31" s="1"/>
  <c r="W33" i="31" s="1"/>
  <c r="X14" i="31"/>
  <c r="P33" i="31" s="1"/>
  <c r="X33" i="31" s="1"/>
  <c r="W15" i="31"/>
  <c r="O34" i="31" s="1"/>
  <c r="W34" i="31" s="1"/>
  <c r="X15" i="31"/>
  <c r="P34" i="31" s="1"/>
  <c r="X34" i="31" s="1"/>
  <c r="W16" i="31"/>
  <c r="O35" i="31" s="1"/>
  <c r="W35" i="31" s="1"/>
  <c r="X16" i="31"/>
  <c r="P35" i="31" s="1"/>
  <c r="X35" i="31" s="1"/>
  <c r="V3" i="31"/>
  <c r="N22" i="31" s="1"/>
  <c r="V22" i="31" s="1"/>
  <c r="V4" i="31"/>
  <c r="N23" i="31" s="1"/>
  <c r="V23" i="31" s="1"/>
  <c r="V5" i="31"/>
  <c r="N24" i="31" s="1"/>
  <c r="V24" i="31" s="1"/>
  <c r="V6" i="31"/>
  <c r="N25" i="31" s="1"/>
  <c r="V25" i="31" s="1"/>
  <c r="V7" i="31"/>
  <c r="N26" i="31" s="1"/>
  <c r="V26" i="31" s="1"/>
  <c r="V8" i="31"/>
  <c r="N27" i="31" s="1"/>
  <c r="V27" i="31" s="1"/>
  <c r="V9" i="31"/>
  <c r="N28" i="31" s="1"/>
  <c r="V28" i="31" s="1"/>
  <c r="V10" i="31"/>
  <c r="N29" i="31" s="1"/>
  <c r="V29" i="31" s="1"/>
  <c r="V11" i="31"/>
  <c r="N30" i="31" s="1"/>
  <c r="V30" i="31" s="1"/>
  <c r="V12" i="31"/>
  <c r="N31" i="31" s="1"/>
  <c r="V31" i="31" s="1"/>
  <c r="V13" i="31"/>
  <c r="N32" i="31" s="1"/>
  <c r="V32" i="31" s="1"/>
  <c r="V14" i="31"/>
  <c r="N33" i="31" s="1"/>
  <c r="V33" i="31" s="1"/>
  <c r="V15" i="31"/>
  <c r="N34" i="31" s="1"/>
  <c r="V34" i="31" s="1"/>
  <c r="V16" i="31"/>
  <c r="N35" i="31" s="1"/>
  <c r="V35" i="31" s="1"/>
  <c r="V2" i="31"/>
  <c r="N21" i="31" s="1"/>
  <c r="V21" i="31" s="1"/>
  <c r="BP77" i="18" l="1"/>
  <c r="DA35" i="18" s="1"/>
  <c r="BI38" i="18"/>
  <c r="BP38" i="18"/>
  <c r="DD26" i="18" s="1"/>
  <c r="BU77" i="18"/>
  <c r="DO35" i="18" s="1"/>
  <c r="BU76" i="18"/>
  <c r="DL34" i="18" s="1"/>
  <c r="BP73" i="18"/>
  <c r="DA34" i="18" s="1"/>
  <c r="BI74" i="18"/>
  <c r="BP69" i="18"/>
  <c r="DA33" i="18" s="1"/>
  <c r="BI70" i="18"/>
  <c r="BT64" i="18"/>
  <c r="CZ31" i="18" s="1"/>
  <c r="BT63" i="18"/>
  <c r="CW30" i="18" s="1"/>
  <c r="BT65" i="18"/>
  <c r="BP65" i="18"/>
  <c r="DA32" i="18" s="1"/>
  <c r="BI66" i="18"/>
  <c r="BP61" i="18"/>
  <c r="DA31" i="18" s="1"/>
  <c r="BI62" i="18"/>
  <c r="BT59" i="18"/>
  <c r="CW29" i="18" s="1"/>
  <c r="BT61" i="18"/>
  <c r="BT60" i="18"/>
  <c r="CZ30" i="18" s="1"/>
  <c r="BT55" i="18"/>
  <c r="CW28" i="18" s="1"/>
  <c r="BT57" i="18"/>
  <c r="BT56" i="18"/>
  <c r="CZ29" i="18" s="1"/>
  <c r="BP57" i="18"/>
  <c r="DA30" i="18" s="1"/>
  <c r="BI58" i="18"/>
  <c r="BI54" i="18"/>
  <c r="BP53" i="18"/>
  <c r="DA29" i="18" s="1"/>
  <c r="BP49" i="18"/>
  <c r="DA28" i="18" s="1"/>
  <c r="BI50" i="18"/>
  <c r="BP45" i="18"/>
  <c r="DA27" i="18" s="1"/>
  <c r="BI46" i="18"/>
  <c r="BP41" i="18"/>
  <c r="DA26" i="18" s="1"/>
  <c r="BI42" i="18"/>
  <c r="BU37" i="18"/>
  <c r="DO25" i="18" s="1"/>
  <c r="BU36" i="18"/>
  <c r="DL24" i="18" s="1"/>
  <c r="BI34" i="18"/>
  <c r="BP33" i="18"/>
  <c r="DA24" i="18" s="1"/>
  <c r="BI30" i="18"/>
  <c r="BP29" i="18"/>
  <c r="DA23" i="18" s="1"/>
  <c r="BI26" i="18"/>
  <c r="BP25" i="18"/>
  <c r="DA22" i="18" s="1"/>
  <c r="BT19" i="18"/>
  <c r="CW19" i="18" s="1"/>
  <c r="BT21" i="18"/>
  <c r="BT20" i="18"/>
  <c r="CZ20" i="18" s="1"/>
  <c r="BU20" i="18"/>
  <c r="DL20" i="18" s="1"/>
  <c r="M25" i="2"/>
  <c r="L25" i="2"/>
  <c r="M24" i="2"/>
  <c r="L24" i="2"/>
  <c r="M23" i="2"/>
  <c r="L23" i="2"/>
  <c r="M22" i="2"/>
  <c r="L22" i="2"/>
  <c r="M21" i="2"/>
  <c r="L21" i="2"/>
  <c r="M20" i="2"/>
  <c r="L20" i="2"/>
  <c r="M19" i="2"/>
  <c r="L19" i="2"/>
  <c r="M18" i="2"/>
  <c r="L18" i="2"/>
  <c r="M17" i="2"/>
  <c r="L17" i="2"/>
  <c r="M16" i="2"/>
  <c r="L16" i="2"/>
  <c r="M15" i="2"/>
  <c r="L15" i="2"/>
  <c r="M14" i="2"/>
  <c r="L14" i="2"/>
  <c r="M13" i="2"/>
  <c r="L13" i="2"/>
  <c r="M11" i="2"/>
  <c r="L11" i="2"/>
  <c r="M10" i="2"/>
  <c r="L10" i="2"/>
  <c r="M9" i="2"/>
  <c r="L9" i="2"/>
  <c r="I12" i="2"/>
  <c r="I32" i="2" s="1"/>
  <c r="G44" i="2" s="1"/>
  <c r="M8" i="2"/>
  <c r="L8" i="2"/>
  <c r="M7" i="2"/>
  <c r="L7" i="2"/>
  <c r="M6" i="2"/>
  <c r="L6" i="2"/>
  <c r="M5" i="2"/>
  <c r="L5" i="2"/>
  <c r="M4" i="2"/>
  <c r="L4" i="2"/>
  <c r="M3" i="2"/>
  <c r="L3" i="2"/>
  <c r="D16" i="31"/>
  <c r="T35" i="31" s="1"/>
  <c r="C16" i="31"/>
  <c r="S35" i="31" s="1"/>
  <c r="B16" i="31"/>
  <c r="R35" i="31" s="1"/>
  <c r="D15" i="31"/>
  <c r="T34" i="31" s="1"/>
  <c r="C15" i="31"/>
  <c r="S34" i="31" s="1"/>
  <c r="B15" i="31"/>
  <c r="R34" i="31" s="1"/>
  <c r="D14" i="31"/>
  <c r="T33" i="31" s="1"/>
  <c r="C14" i="31"/>
  <c r="S33" i="31" s="1"/>
  <c r="B14" i="31"/>
  <c r="R33" i="31" s="1"/>
  <c r="D13" i="31"/>
  <c r="T32" i="31" s="1"/>
  <c r="C13" i="31"/>
  <c r="S32" i="31" s="1"/>
  <c r="B13" i="31"/>
  <c r="R32" i="31" s="1"/>
  <c r="D12" i="31"/>
  <c r="T31" i="31" s="1"/>
  <c r="C12" i="31"/>
  <c r="S31" i="31" s="1"/>
  <c r="B12" i="31"/>
  <c r="R31" i="31" s="1"/>
  <c r="D11" i="31"/>
  <c r="T30" i="31" s="1"/>
  <c r="C11" i="31"/>
  <c r="S30" i="31" s="1"/>
  <c r="B11" i="31"/>
  <c r="R30" i="31" s="1"/>
  <c r="D10" i="31"/>
  <c r="T29" i="31" s="1"/>
  <c r="C10" i="31"/>
  <c r="S29" i="31" s="1"/>
  <c r="B10" i="31"/>
  <c r="R29" i="31" s="1"/>
  <c r="D9" i="31"/>
  <c r="T28" i="31" s="1"/>
  <c r="C9" i="31"/>
  <c r="S28" i="31" s="1"/>
  <c r="B9" i="31"/>
  <c r="R28" i="31" s="1"/>
  <c r="D8" i="31"/>
  <c r="T27" i="31" s="1"/>
  <c r="C8" i="31"/>
  <c r="S27" i="31" s="1"/>
  <c r="B8" i="31"/>
  <c r="R27" i="31" s="1"/>
  <c r="D7" i="31"/>
  <c r="T26" i="31" s="1"/>
  <c r="C7" i="31"/>
  <c r="S26" i="31" s="1"/>
  <c r="B7" i="31"/>
  <c r="R26" i="31" s="1"/>
  <c r="D6" i="31"/>
  <c r="T25" i="31" s="1"/>
  <c r="C6" i="31"/>
  <c r="S25" i="31" s="1"/>
  <c r="B6" i="31"/>
  <c r="R25" i="31" s="1"/>
  <c r="D5" i="31"/>
  <c r="T24" i="31" s="1"/>
  <c r="C5" i="31"/>
  <c r="S24" i="31" s="1"/>
  <c r="B5" i="31"/>
  <c r="R24" i="31" s="1"/>
  <c r="D4" i="31"/>
  <c r="T23" i="31" s="1"/>
  <c r="C4" i="31"/>
  <c r="S23" i="31" s="1"/>
  <c r="B4" i="31"/>
  <c r="R23" i="31" s="1"/>
  <c r="D3" i="31"/>
  <c r="T22" i="31" s="1"/>
  <c r="C3" i="31"/>
  <c r="S22" i="31" s="1"/>
  <c r="B3" i="31"/>
  <c r="R22" i="31" s="1"/>
  <c r="D2" i="31"/>
  <c r="T21" i="31" s="1"/>
  <c r="C2" i="31"/>
  <c r="S21" i="31" s="1"/>
  <c r="AN66" i="18"/>
  <c r="G47" i="2" l="1"/>
  <c r="G48" i="2" s="1"/>
  <c r="BP78" i="18"/>
  <c r="DD36" i="18" s="1"/>
  <c r="BY23" i="18"/>
  <c r="BY22" i="18"/>
  <c r="BY24" i="18"/>
  <c r="CB24" i="18"/>
  <c r="CB34" i="18"/>
  <c r="BY33" i="18"/>
  <c r="CB22" i="18"/>
  <c r="CB33" i="18"/>
  <c r="CB23" i="18"/>
  <c r="CB35" i="18"/>
  <c r="BT58" i="18"/>
  <c r="DF31" i="18" s="1"/>
  <c r="DC30" i="18"/>
  <c r="BT66" i="18"/>
  <c r="DF33" i="18" s="1"/>
  <c r="DC32" i="18"/>
  <c r="BT22" i="18"/>
  <c r="DF22" i="18" s="1"/>
  <c r="DC21" i="18"/>
  <c r="BT62" i="18"/>
  <c r="DF32" i="18" s="1"/>
  <c r="DC31" i="18"/>
  <c r="BP62" i="18"/>
  <c r="DD32" i="18" s="1"/>
  <c r="BP54" i="18"/>
  <c r="DD30" i="18" s="1"/>
  <c r="BP74" i="18"/>
  <c r="DD35" i="18" s="1"/>
  <c r="BP34" i="18"/>
  <c r="DD25" i="18" s="1"/>
  <c r="BP46" i="18"/>
  <c r="DD28" i="18" s="1"/>
  <c r="BP66" i="18"/>
  <c r="DD33" i="18" s="1"/>
  <c r="BP42" i="18"/>
  <c r="DD27" i="18" s="1"/>
  <c r="BP50" i="18"/>
  <c r="DD29" i="18" s="1"/>
  <c r="BP58" i="18"/>
  <c r="DD31" i="18" s="1"/>
  <c r="BP30" i="18"/>
  <c r="DD24" i="18" s="1"/>
  <c r="BP26" i="18"/>
  <c r="DD23" i="18" s="1"/>
  <c r="BP70" i="18"/>
  <c r="DD34" i="18" s="1"/>
  <c r="BS28" i="18"/>
  <c r="DK22" i="18" s="1"/>
  <c r="BS29" i="18"/>
  <c r="DN23" i="18" s="1"/>
  <c r="BS73" i="18"/>
  <c r="DN34" i="18" s="1"/>
  <c r="BS72" i="18"/>
  <c r="DK33" i="18" s="1"/>
  <c r="BS57" i="18"/>
  <c r="DN30" i="18" s="1"/>
  <c r="BS56" i="18"/>
  <c r="DK29" i="18" s="1"/>
  <c r="BS41" i="18"/>
  <c r="DN26" i="18" s="1"/>
  <c r="BS40" i="18"/>
  <c r="DK25" i="18" s="1"/>
  <c r="BS21" i="18"/>
  <c r="DN21" i="18" s="1"/>
  <c r="BS20" i="18"/>
  <c r="DK20" i="18" s="1"/>
  <c r="BS36" i="18"/>
  <c r="DK24" i="18" s="1"/>
  <c r="BS37" i="18"/>
  <c r="DN25" i="18" s="1"/>
  <c r="BS44" i="18"/>
  <c r="DK26" i="18" s="1"/>
  <c r="BS45" i="18"/>
  <c r="DN27" i="18" s="1"/>
  <c r="BS48" i="18"/>
  <c r="DK27" i="18" s="1"/>
  <c r="BS49" i="18"/>
  <c r="DN28" i="18" s="1"/>
  <c r="BS65" i="18"/>
  <c r="DN32" i="18" s="1"/>
  <c r="BS64" i="18"/>
  <c r="DK31" i="18" s="1"/>
  <c r="BS60" i="18"/>
  <c r="DK30" i="18" s="1"/>
  <c r="BS61" i="18"/>
  <c r="DN31" i="18" s="1"/>
  <c r="BS33" i="18"/>
  <c r="DN24" i="18" s="1"/>
  <c r="BS32" i="18"/>
  <c r="DK23" i="18" s="1"/>
  <c r="BS68" i="18"/>
  <c r="DK32" i="18" s="1"/>
  <c r="BS69" i="18"/>
  <c r="DN33" i="18" s="1"/>
  <c r="BS76" i="18"/>
  <c r="DK34" i="18" s="1"/>
  <c r="BS77" i="18"/>
  <c r="DN35" i="18" s="1"/>
  <c r="BS53" i="18"/>
  <c r="DN29" i="18" s="1"/>
  <c r="BS52" i="18"/>
  <c r="DK28" i="18" s="1"/>
  <c r="BS25" i="18"/>
  <c r="DN22" i="18" s="1"/>
  <c r="BS24" i="18"/>
  <c r="DK21" i="18" s="1"/>
  <c r="BT75" i="18"/>
  <c r="CW33" i="18" s="1"/>
  <c r="BT77" i="18"/>
  <c r="BT76" i="18"/>
  <c r="CZ34" i="18" s="1"/>
  <c r="BU73" i="18"/>
  <c r="DO34" i="18" s="1"/>
  <c r="BU72" i="18"/>
  <c r="DL33" i="18" s="1"/>
  <c r="BT72" i="18"/>
  <c r="CZ33" i="18" s="1"/>
  <c r="BT71" i="18"/>
  <c r="CW32" i="18" s="1"/>
  <c r="BT73" i="18"/>
  <c r="BU69" i="18"/>
  <c r="DO33" i="18" s="1"/>
  <c r="BU68" i="18"/>
  <c r="DL32" i="18" s="1"/>
  <c r="BT67" i="18"/>
  <c r="CW31" i="18" s="1"/>
  <c r="BT69" i="18"/>
  <c r="BT68" i="18"/>
  <c r="CZ32" i="18" s="1"/>
  <c r="BU65" i="18"/>
  <c r="DO32" i="18" s="1"/>
  <c r="BU64" i="18"/>
  <c r="DL31" i="18" s="1"/>
  <c r="BU61" i="18"/>
  <c r="DO31" i="18" s="1"/>
  <c r="BU60" i="18"/>
  <c r="DL30" i="18" s="1"/>
  <c r="BU57" i="18"/>
  <c r="DO30" i="18" s="1"/>
  <c r="BU56" i="18"/>
  <c r="DL29" i="18" s="1"/>
  <c r="BT51" i="18"/>
  <c r="CW27" i="18" s="1"/>
  <c r="BT53" i="18"/>
  <c r="BT52" i="18"/>
  <c r="CZ28" i="18" s="1"/>
  <c r="BU53" i="18"/>
  <c r="DO29" i="18" s="1"/>
  <c r="BU52" i="18"/>
  <c r="DL28" i="18" s="1"/>
  <c r="BT47" i="18"/>
  <c r="CW26" i="18" s="1"/>
  <c r="BT49" i="18"/>
  <c r="BT48" i="18"/>
  <c r="CZ27" i="18" s="1"/>
  <c r="BU49" i="18"/>
  <c r="DO28" i="18" s="1"/>
  <c r="BU48" i="18"/>
  <c r="DL27" i="18" s="1"/>
  <c r="BT45" i="18"/>
  <c r="BT44" i="18"/>
  <c r="CZ26" i="18" s="1"/>
  <c r="BT43" i="18"/>
  <c r="CW25" i="18" s="1"/>
  <c r="BU45" i="18"/>
  <c r="DO27" i="18" s="1"/>
  <c r="BU44" i="18"/>
  <c r="DL26" i="18" s="1"/>
  <c r="BU40" i="18"/>
  <c r="DL25" i="18" s="1"/>
  <c r="BU41" i="18"/>
  <c r="DO26" i="18" s="1"/>
  <c r="BT41" i="18"/>
  <c r="BT40" i="18"/>
  <c r="CZ25" i="18" s="1"/>
  <c r="BT39" i="18"/>
  <c r="CW24" i="18" s="1"/>
  <c r="BT35" i="18"/>
  <c r="CW23" i="18" s="1"/>
  <c r="BT37" i="18"/>
  <c r="BT36" i="18"/>
  <c r="CZ24" i="18" s="1"/>
  <c r="BR40" i="18"/>
  <c r="CY25" i="18" s="1"/>
  <c r="BR39" i="18"/>
  <c r="CV24" i="18" s="1"/>
  <c r="BR41" i="18"/>
  <c r="BR73" i="18"/>
  <c r="BR72" i="18"/>
  <c r="CY33" i="18" s="1"/>
  <c r="BR71" i="18"/>
  <c r="CV32" i="18" s="1"/>
  <c r="BR77" i="18"/>
  <c r="BR76" i="18"/>
  <c r="CY34" i="18" s="1"/>
  <c r="BR75" i="18"/>
  <c r="CV33" i="18" s="1"/>
  <c r="BR43" i="18"/>
  <c r="CV25" i="18" s="1"/>
  <c r="BR45" i="18"/>
  <c r="BR44" i="18"/>
  <c r="CY26" i="18" s="1"/>
  <c r="BR37" i="18"/>
  <c r="BR36" i="18"/>
  <c r="CY24" i="18" s="1"/>
  <c r="BR35" i="18"/>
  <c r="CV23" i="18" s="1"/>
  <c r="BR53" i="18"/>
  <c r="BR52" i="18"/>
  <c r="CY28" i="18" s="1"/>
  <c r="BR51" i="18"/>
  <c r="CV27" i="18" s="1"/>
  <c r="BR61" i="18"/>
  <c r="BR60" i="18"/>
  <c r="CY30" i="18" s="1"/>
  <c r="BR59" i="18"/>
  <c r="CV29" i="18" s="1"/>
  <c r="BR47" i="18"/>
  <c r="CV26" i="18" s="1"/>
  <c r="BR49" i="18"/>
  <c r="BR48" i="18"/>
  <c r="CY27" i="18" s="1"/>
  <c r="BR69" i="18"/>
  <c r="BR68" i="18"/>
  <c r="CY32" i="18" s="1"/>
  <c r="BR67" i="18"/>
  <c r="CV31" i="18" s="1"/>
  <c r="BR65" i="18"/>
  <c r="BR64" i="18"/>
  <c r="CY31" i="18" s="1"/>
  <c r="BR63" i="18"/>
  <c r="CV30" i="18" s="1"/>
  <c r="BR57" i="18"/>
  <c r="BR56" i="18"/>
  <c r="CY29" i="18" s="1"/>
  <c r="BR55" i="18"/>
  <c r="CV28" i="18" s="1"/>
  <c r="BU32" i="18"/>
  <c r="DL23" i="18" s="1"/>
  <c r="BU33" i="18"/>
  <c r="DO24" i="18" s="1"/>
  <c r="BR33" i="18"/>
  <c r="BR32" i="18"/>
  <c r="CY23" i="18" s="1"/>
  <c r="BR31" i="18"/>
  <c r="CV22" i="18" s="1"/>
  <c r="BT33" i="18"/>
  <c r="BT32" i="18"/>
  <c r="CZ23" i="18" s="1"/>
  <c r="BT31" i="18"/>
  <c r="CW22" i="18" s="1"/>
  <c r="BR29" i="18"/>
  <c r="BR28" i="18"/>
  <c r="CY22" i="18" s="1"/>
  <c r="BR27" i="18"/>
  <c r="CV21" i="18" s="1"/>
  <c r="BU29" i="18"/>
  <c r="DO23" i="18" s="1"/>
  <c r="BU28" i="18"/>
  <c r="DL22" i="18" s="1"/>
  <c r="BU25" i="18"/>
  <c r="DO22" i="18" s="1"/>
  <c r="BU24" i="18"/>
  <c r="DL21" i="18" s="1"/>
  <c r="BR23" i="18"/>
  <c r="CV20" i="18" s="1"/>
  <c r="BR25" i="18"/>
  <c r="BR24" i="18"/>
  <c r="CY21" i="18" s="1"/>
  <c r="BT28" i="18"/>
  <c r="CZ22" i="18" s="1"/>
  <c r="BT25" i="18"/>
  <c r="BT27" i="18"/>
  <c r="CW21" i="18" s="1"/>
  <c r="BT24" i="18"/>
  <c r="CZ21" i="18" s="1"/>
  <c r="BT23" i="18"/>
  <c r="CW20" i="18" s="1"/>
  <c r="BT29" i="18"/>
  <c r="BU21" i="18"/>
  <c r="DO21" i="18" s="1"/>
  <c r="BR19" i="18"/>
  <c r="CV19" i="18" s="1"/>
  <c r="BR21" i="18"/>
  <c r="BR20" i="18"/>
  <c r="CY20" i="18" s="1"/>
  <c r="AL20" i="18"/>
  <c r="AU22" i="18" s="1"/>
  <c r="AL19" i="18"/>
  <c r="AU20" i="18" s="1"/>
  <c r="AX20" i="18" s="1"/>
  <c r="AN45" i="18"/>
  <c r="AN40" i="18" s="1"/>
  <c r="AN80" i="18"/>
  <c r="AN94" i="18"/>
  <c r="AM19" i="18"/>
  <c r="AV20" i="18" s="1"/>
  <c r="AY20" i="18" s="1"/>
  <c r="AM20" i="18"/>
  <c r="D21" i="31"/>
  <c r="C22" i="31"/>
  <c r="B23" i="31"/>
  <c r="D25" i="31"/>
  <c r="C26" i="31"/>
  <c r="B27" i="31"/>
  <c r="D29" i="31"/>
  <c r="C30" i="31"/>
  <c r="C32" i="31"/>
  <c r="C34" i="31"/>
  <c r="D22" i="31"/>
  <c r="C23" i="31"/>
  <c r="B24" i="31"/>
  <c r="D26" i="31"/>
  <c r="C27" i="31"/>
  <c r="B28" i="31"/>
  <c r="D30" i="31"/>
  <c r="B31" i="31"/>
  <c r="D32" i="31"/>
  <c r="B33" i="31"/>
  <c r="D34" i="31"/>
  <c r="B35" i="31"/>
  <c r="D23" i="31"/>
  <c r="C24" i="31"/>
  <c r="B25" i="31"/>
  <c r="D27" i="31"/>
  <c r="C28" i="31"/>
  <c r="B29" i="31"/>
  <c r="C31" i="31"/>
  <c r="C33" i="31"/>
  <c r="C35" i="31"/>
  <c r="C21" i="31"/>
  <c r="B22" i="31"/>
  <c r="D24" i="31"/>
  <c r="C25" i="31"/>
  <c r="B26" i="31"/>
  <c r="D28" i="31"/>
  <c r="C29" i="31"/>
  <c r="B30" i="31"/>
  <c r="D31" i="31"/>
  <c r="B32" i="31"/>
  <c r="D33" i="31"/>
  <c r="B34" i="31"/>
  <c r="D35" i="31"/>
  <c r="AN122" i="18"/>
  <c r="AN61" i="18"/>
  <c r="AN62" i="18"/>
  <c r="AM40" i="18"/>
  <c r="AV41" i="18" s="1"/>
  <c r="AM41" i="18"/>
  <c r="AM34" i="18"/>
  <c r="AM33" i="18"/>
  <c r="AV34" i="18" s="1"/>
  <c r="AL41" i="18"/>
  <c r="AU43" i="18" s="1"/>
  <c r="AL40" i="18"/>
  <c r="AL34" i="18"/>
  <c r="AU36" i="18" s="1"/>
  <c r="AL33" i="18"/>
  <c r="CH21" i="18" l="1"/>
  <c r="CB21" i="18" s="1"/>
  <c r="CE21" i="18"/>
  <c r="BY21" i="18" s="1"/>
  <c r="CF21" i="18"/>
  <c r="BZ21" i="18" s="1"/>
  <c r="CD21" i="18"/>
  <c r="BX21" i="18" s="1"/>
  <c r="CG21" i="18"/>
  <c r="CI21" i="18"/>
  <c r="BY34" i="18"/>
  <c r="BY35" i="18"/>
  <c r="CD32" i="18"/>
  <c r="CG32" i="18"/>
  <c r="CE32" i="18"/>
  <c r="BY32" i="18" s="1"/>
  <c r="CI32" i="18"/>
  <c r="CH45" i="18" s="1"/>
  <c r="CF32" i="18"/>
  <c r="CA45" i="18" s="1"/>
  <c r="CH32" i="18"/>
  <c r="CB32" i="18" s="1"/>
  <c r="AV22" i="18"/>
  <c r="AV21" i="18" s="1"/>
  <c r="AU21" i="18"/>
  <c r="BR26" i="18"/>
  <c r="DE23" i="18" s="1"/>
  <c r="DB22" i="18"/>
  <c r="BR78" i="18"/>
  <c r="DE36" i="18" s="1"/>
  <c r="DB35" i="18"/>
  <c r="BR42" i="18"/>
  <c r="DE27" i="18" s="1"/>
  <c r="DB26" i="18"/>
  <c r="BR22" i="18"/>
  <c r="DE22" i="18" s="1"/>
  <c r="DB21" i="18"/>
  <c r="BR38" i="18"/>
  <c r="DE26" i="18" s="1"/>
  <c r="DB25" i="18"/>
  <c r="BR34" i="18"/>
  <c r="DE25" i="18" s="1"/>
  <c r="DB24" i="18"/>
  <c r="BR66" i="18"/>
  <c r="DE33" i="18" s="1"/>
  <c r="DB32" i="18"/>
  <c r="BR54" i="18"/>
  <c r="DE30" i="18" s="1"/>
  <c r="DB29" i="18"/>
  <c r="BR30" i="18"/>
  <c r="DE24" i="18" s="1"/>
  <c r="DB23" i="18"/>
  <c r="BR70" i="18"/>
  <c r="DE34" i="18" s="1"/>
  <c r="DB33" i="18"/>
  <c r="BR58" i="18"/>
  <c r="DE31" i="18" s="1"/>
  <c r="DB30" i="18"/>
  <c r="BR50" i="18"/>
  <c r="DE29" i="18" s="1"/>
  <c r="DB28" i="18"/>
  <c r="BR62" i="18"/>
  <c r="DE32" i="18" s="1"/>
  <c r="DB31" i="18"/>
  <c r="BR46" i="18"/>
  <c r="DE28" i="18" s="1"/>
  <c r="DB27" i="18"/>
  <c r="BR74" i="18"/>
  <c r="DE35" i="18" s="1"/>
  <c r="DB34" i="18"/>
  <c r="BT30" i="18"/>
  <c r="DF24" i="18" s="1"/>
  <c r="DC23" i="18"/>
  <c r="BT26" i="18"/>
  <c r="DF23" i="18" s="1"/>
  <c r="DC22" i="18"/>
  <c r="BT70" i="18"/>
  <c r="DF34" i="18" s="1"/>
  <c r="DC33" i="18"/>
  <c r="BT74" i="18"/>
  <c r="DF35" i="18" s="1"/>
  <c r="DC34" i="18"/>
  <c r="BT34" i="18"/>
  <c r="DF25" i="18" s="1"/>
  <c r="DC24" i="18"/>
  <c r="BT46" i="18"/>
  <c r="DF28" i="18" s="1"/>
  <c r="DC27" i="18"/>
  <c r="BT50" i="18"/>
  <c r="DF29" i="18" s="1"/>
  <c r="DC28" i="18"/>
  <c r="BT78" i="18"/>
  <c r="DF36" i="18" s="1"/>
  <c r="DC35" i="18"/>
  <c r="BT38" i="18"/>
  <c r="DF26" i="18" s="1"/>
  <c r="DC25" i="18"/>
  <c r="BT42" i="18"/>
  <c r="DF27" i="18" s="1"/>
  <c r="DC26" i="18"/>
  <c r="BT54" i="18"/>
  <c r="DF30" i="18" s="1"/>
  <c r="DC29" i="18"/>
  <c r="AN41" i="18"/>
  <c r="AN89" i="18"/>
  <c r="AN90" i="18"/>
  <c r="AN75" i="18"/>
  <c r="AX22" i="18"/>
  <c r="AN76" i="18"/>
  <c r="AN118" i="18"/>
  <c r="AN117" i="18"/>
  <c r="AX43" i="18"/>
  <c r="AY41" i="18"/>
  <c r="AX36" i="18"/>
  <c r="AY34" i="18"/>
  <c r="CI22" i="18" l="1"/>
  <c r="CC50" i="18"/>
  <c r="CF33" i="18"/>
  <c r="CM31" i="18" s="1"/>
  <c r="CF22" i="18"/>
  <c r="CA21" i="18"/>
  <c r="BX32" i="18"/>
  <c r="BZ32" i="18"/>
  <c r="CC32" i="18"/>
  <c r="CA32" i="18"/>
  <c r="BZ33" i="18" l="1"/>
  <c r="CB45" i="18" l="1"/>
  <c r="H5" i="6"/>
  <c r="H6" i="6"/>
  <c r="H7" i="6"/>
  <c r="H8" i="6"/>
  <c r="H9" i="6"/>
  <c r="H10" i="6"/>
  <c r="H11" i="6"/>
  <c r="H12" i="6"/>
  <c r="H13" i="6"/>
  <c r="H14" i="6"/>
  <c r="H15" i="6"/>
  <c r="H4" i="6"/>
  <c r="H3" i="6"/>
  <c r="H2" i="6"/>
  <c r="BZ22" i="18" l="1"/>
  <c r="AL118" i="18"/>
  <c r="AU120" i="18" s="1"/>
  <c r="AX120" i="18" s="1"/>
  <c r="AL117" i="18"/>
  <c r="AU118" i="18" s="1"/>
  <c r="AL90" i="18"/>
  <c r="AU92" i="18" s="1"/>
  <c r="AL89" i="18"/>
  <c r="AL76" i="18"/>
  <c r="AU78" i="18" s="1"/>
  <c r="AL75" i="18"/>
  <c r="AL69" i="18"/>
  <c r="AU71" i="18" s="1"/>
  <c r="AL68" i="18"/>
  <c r="AL62" i="18"/>
  <c r="AU64" i="18" s="1"/>
  <c r="AL61" i="18"/>
  <c r="AL55" i="18"/>
  <c r="AU57" i="18" s="1"/>
  <c r="AL54" i="18"/>
  <c r="AU29" i="18"/>
  <c r="AM118" i="18"/>
  <c r="AM117" i="18"/>
  <c r="AV118" i="18" s="1"/>
  <c r="AM111" i="18"/>
  <c r="AM110" i="18"/>
  <c r="AV111" i="18" s="1"/>
  <c r="AM90" i="18"/>
  <c r="AM89" i="18"/>
  <c r="AV90" i="18" s="1"/>
  <c r="AM76" i="18"/>
  <c r="AM75" i="18"/>
  <c r="AV76" i="18" s="1"/>
  <c r="AM69" i="18"/>
  <c r="AM68" i="18"/>
  <c r="AV69" i="18" s="1"/>
  <c r="AM62" i="18"/>
  <c r="AM61" i="18"/>
  <c r="AV62" i="18" s="1"/>
  <c r="AM55" i="18"/>
  <c r="AM54" i="18"/>
  <c r="AV55" i="18" s="1"/>
  <c r="AV27" i="18"/>
  <c r="AK117" i="18"/>
  <c r="AK110" i="18"/>
  <c r="AK103" i="18"/>
  <c r="AK96" i="18"/>
  <c r="AK89" i="18"/>
  <c r="AK82" i="18"/>
  <c r="AK75" i="18"/>
  <c r="AK68" i="18"/>
  <c r="AK61" i="18"/>
  <c r="AK54" i="18"/>
  <c r="AK47" i="18"/>
  <c r="AK40" i="18"/>
  <c r="AU119" i="18" l="1"/>
  <c r="AY118" i="18"/>
  <c r="AV120" i="18"/>
  <c r="AY120" i="18" s="1"/>
  <c r="AY55" i="18"/>
  <c r="AX57" i="18"/>
  <c r="AX64" i="18"/>
  <c r="AY62" i="18"/>
  <c r="AY69" i="18"/>
  <c r="AX71" i="18"/>
  <c r="AY76" i="18"/>
  <c r="AX78" i="18"/>
  <c r="AY27" i="18"/>
  <c r="AX29" i="18"/>
  <c r="AY90" i="18"/>
  <c r="AX92" i="18"/>
  <c r="AY111" i="18"/>
  <c r="AK33" i="18"/>
  <c r="AL103" i="18"/>
  <c r="AV119" i="18" l="1"/>
  <c r="AL111" i="18"/>
  <c r="AU113" i="18" s="1"/>
  <c r="AL110" i="18"/>
  <c r="AL104" i="18"/>
  <c r="AU106" i="18" s="1"/>
  <c r="AL97" i="18"/>
  <c r="AU99" i="18" s="1"/>
  <c r="AL96" i="18"/>
  <c r="AL83" i="18"/>
  <c r="AU85" i="18" s="1"/>
  <c r="AL82" i="18"/>
  <c r="AX85" i="18" l="1"/>
  <c r="AX99" i="18"/>
  <c r="AX106" i="18"/>
  <c r="AX113" i="18"/>
  <c r="AM83" i="18" l="1"/>
  <c r="AM82" i="18"/>
  <c r="AV83" i="18" s="1"/>
  <c r="AM97" i="18"/>
  <c r="AM96" i="18"/>
  <c r="AV97" i="18" s="1"/>
  <c r="AM104" i="18"/>
  <c r="AM103" i="18"/>
  <c r="AV104" i="18" s="1"/>
  <c r="AY83" i="18" l="1"/>
  <c r="AY97" i="18"/>
  <c r="AY104" i="18"/>
  <c r="J28" i="18"/>
  <c r="I28" i="18"/>
  <c r="H28" i="18"/>
  <c r="G28" i="18"/>
  <c r="F28" i="18"/>
  <c r="E12" i="2"/>
  <c r="F3" i="11" l="1"/>
  <c r="F4" i="11"/>
  <c r="F5" i="11"/>
  <c r="F6" i="11"/>
  <c r="F7" i="11"/>
  <c r="F8" i="11"/>
  <c r="F9" i="11"/>
  <c r="F10" i="11"/>
  <c r="F11" i="11"/>
  <c r="F12" i="11"/>
  <c r="F2" i="11"/>
  <c r="AU41" i="18" l="1"/>
  <c r="AU27" i="18"/>
  <c r="I3" i="11"/>
  <c r="I4" i="11"/>
  <c r="I5" i="11"/>
  <c r="I6" i="11"/>
  <c r="I7" i="11"/>
  <c r="I8" i="11"/>
  <c r="I9" i="11"/>
  <c r="I10" i="11"/>
  <c r="I11" i="11"/>
  <c r="I12" i="11"/>
  <c r="I2" i="11"/>
  <c r="H3" i="11"/>
  <c r="H4" i="11"/>
  <c r="H5" i="11"/>
  <c r="H6" i="11"/>
  <c r="H7" i="11"/>
  <c r="H8" i="11"/>
  <c r="H9" i="11"/>
  <c r="H10" i="11"/>
  <c r="H11" i="11"/>
  <c r="H12" i="11"/>
  <c r="H2" i="11"/>
  <c r="K12" i="11" l="1"/>
  <c r="J12" i="11"/>
  <c r="K4" i="11"/>
  <c r="J4" i="11"/>
  <c r="J11" i="11"/>
  <c r="K11" i="11"/>
  <c r="J3" i="11"/>
  <c r="K3" i="11"/>
  <c r="K10" i="11"/>
  <c r="J10" i="11"/>
  <c r="K6" i="11"/>
  <c r="J6" i="11"/>
  <c r="K8" i="11"/>
  <c r="J8" i="11"/>
  <c r="J7" i="11"/>
  <c r="K7" i="11"/>
  <c r="J2" i="11"/>
  <c r="K2" i="11"/>
  <c r="J9" i="11"/>
  <c r="K9" i="11"/>
  <c r="J5" i="11"/>
  <c r="K5" i="11"/>
  <c r="AX27" i="18"/>
  <c r="AU28" i="18"/>
  <c r="AX28" i="18" s="1"/>
  <c r="AV29" i="18"/>
  <c r="AX41" i="18"/>
  <c r="AU42" i="18"/>
  <c r="AX42" i="18" s="1"/>
  <c r="AV43" i="18"/>
  <c r="AU34" i="18"/>
  <c r="G12" i="11"/>
  <c r="C12" i="11"/>
  <c r="C24" i="11" s="1"/>
  <c r="G11" i="11"/>
  <c r="C11" i="11"/>
  <c r="C23" i="11" s="1"/>
  <c r="G10" i="11"/>
  <c r="C10" i="11"/>
  <c r="C22" i="11" s="1"/>
  <c r="G9" i="11"/>
  <c r="C9" i="11"/>
  <c r="C21" i="11" s="1"/>
  <c r="G8" i="11"/>
  <c r="C8" i="11"/>
  <c r="C20" i="11" s="1"/>
  <c r="G7" i="11"/>
  <c r="C7" i="11"/>
  <c r="C19" i="11" s="1"/>
  <c r="G6" i="11"/>
  <c r="C6" i="11"/>
  <c r="C18" i="11" s="1"/>
  <c r="G5" i="11"/>
  <c r="C5" i="11"/>
  <c r="C17" i="11" s="1"/>
  <c r="G4" i="11"/>
  <c r="C4" i="11"/>
  <c r="C16" i="11" s="1"/>
  <c r="G3" i="11"/>
  <c r="C3" i="11"/>
  <c r="C15" i="11" s="1"/>
  <c r="G2" i="11"/>
  <c r="C2" i="11"/>
  <c r="C14" i="11" s="1"/>
  <c r="G14" i="11" l="1"/>
  <c r="R14" i="11"/>
  <c r="E14" i="11"/>
  <c r="U14" i="11"/>
  <c r="K14" i="11"/>
  <c r="H14" i="11"/>
  <c r="S14" i="11"/>
  <c r="Q14" i="11"/>
  <c r="T14" i="11"/>
  <c r="J14" i="11"/>
  <c r="P14" i="11"/>
  <c r="V14" i="11"/>
  <c r="D14" i="11"/>
  <c r="O14" i="11"/>
  <c r="M14" i="11"/>
  <c r="L14" i="11"/>
  <c r="F14" i="11"/>
  <c r="N14" i="11"/>
  <c r="I14" i="11"/>
  <c r="F20" i="11"/>
  <c r="J20" i="11"/>
  <c r="I20" i="11"/>
  <c r="O20" i="11"/>
  <c r="V20" i="11"/>
  <c r="U20" i="11"/>
  <c r="P20" i="11"/>
  <c r="K20" i="11"/>
  <c r="E20" i="11"/>
  <c r="R20" i="11"/>
  <c r="Q20" i="11"/>
  <c r="L20" i="11"/>
  <c r="N20" i="11"/>
  <c r="M20" i="11"/>
  <c r="T20" i="11"/>
  <c r="D20" i="11"/>
  <c r="S20" i="11"/>
  <c r="H20" i="11"/>
  <c r="G20" i="11"/>
  <c r="F16" i="11"/>
  <c r="J16" i="11"/>
  <c r="V16" i="11"/>
  <c r="U16" i="11"/>
  <c r="P16" i="11"/>
  <c r="K16" i="11"/>
  <c r="S16" i="11"/>
  <c r="R16" i="11"/>
  <c r="Q16" i="11"/>
  <c r="I16" i="11"/>
  <c r="D16" i="11"/>
  <c r="O16" i="11"/>
  <c r="N16" i="11"/>
  <c r="M16" i="11"/>
  <c r="T16" i="11"/>
  <c r="L16" i="11"/>
  <c r="E16" i="11"/>
  <c r="H16" i="11"/>
  <c r="G16" i="11"/>
  <c r="F18" i="11"/>
  <c r="J18" i="11"/>
  <c r="E18" i="11"/>
  <c r="V18" i="11"/>
  <c r="U18" i="11"/>
  <c r="T18" i="11"/>
  <c r="D18" i="11"/>
  <c r="R18" i="11"/>
  <c r="Q18" i="11"/>
  <c r="I18" i="11"/>
  <c r="S18" i="11"/>
  <c r="N18" i="11"/>
  <c r="M18" i="11"/>
  <c r="P18" i="11"/>
  <c r="K18" i="11"/>
  <c r="O18" i="11"/>
  <c r="H18" i="11"/>
  <c r="G18" i="11"/>
  <c r="L18" i="11"/>
  <c r="F22" i="11"/>
  <c r="K22" i="11"/>
  <c r="J22" i="11"/>
  <c r="D22" i="11"/>
  <c r="S22" i="11"/>
  <c r="V22" i="11"/>
  <c r="U22" i="11"/>
  <c r="I22" i="11"/>
  <c r="O22" i="11"/>
  <c r="R22" i="11"/>
  <c r="Q22" i="11"/>
  <c r="T22" i="11"/>
  <c r="E22" i="11"/>
  <c r="N22" i="11"/>
  <c r="M22" i="11"/>
  <c r="P22" i="11"/>
  <c r="H22" i="11"/>
  <c r="G22" i="11"/>
  <c r="L22" i="11"/>
  <c r="F24" i="11"/>
  <c r="K24" i="11"/>
  <c r="V24" i="11"/>
  <c r="U24" i="11"/>
  <c r="P24" i="11"/>
  <c r="D24" i="11"/>
  <c r="S24" i="11"/>
  <c r="R24" i="11"/>
  <c r="Q24" i="11"/>
  <c r="L24" i="11"/>
  <c r="J24" i="11"/>
  <c r="I24" i="11"/>
  <c r="O24" i="11"/>
  <c r="N24" i="11"/>
  <c r="M24" i="11"/>
  <c r="E24" i="11"/>
  <c r="H24" i="11"/>
  <c r="G24" i="11"/>
  <c r="T24" i="11"/>
  <c r="F15" i="11"/>
  <c r="Q15" i="11"/>
  <c r="O15" i="11"/>
  <c r="D15" i="11"/>
  <c r="U15" i="11"/>
  <c r="V15" i="11"/>
  <c r="L15" i="11"/>
  <c r="E15" i="11"/>
  <c r="K15" i="11"/>
  <c r="S15" i="11"/>
  <c r="M15" i="11"/>
  <c r="R15" i="11"/>
  <c r="I15" i="11"/>
  <c r="G15" i="11"/>
  <c r="N15" i="11"/>
  <c r="T15" i="11"/>
  <c r="P15" i="11"/>
  <c r="J15" i="11"/>
  <c r="H15" i="11"/>
  <c r="F17" i="11"/>
  <c r="J17" i="11"/>
  <c r="Q17" i="11"/>
  <c r="D17" i="11"/>
  <c r="V17" i="11"/>
  <c r="T17" i="11"/>
  <c r="P17" i="11"/>
  <c r="S17" i="11"/>
  <c r="I17" i="11"/>
  <c r="G17" i="11"/>
  <c r="R17" i="11"/>
  <c r="O17" i="11"/>
  <c r="U17" i="11"/>
  <c r="N17" i="11"/>
  <c r="L17" i="11"/>
  <c r="K17" i="11"/>
  <c r="E17" i="11"/>
  <c r="M17" i="11"/>
  <c r="H17" i="11"/>
  <c r="F19" i="11"/>
  <c r="Q19" i="11"/>
  <c r="G19" i="11"/>
  <c r="U19" i="11"/>
  <c r="V19" i="11"/>
  <c r="L19" i="11"/>
  <c r="D19" i="11"/>
  <c r="M19" i="11"/>
  <c r="R19" i="11"/>
  <c r="J19" i="11"/>
  <c r="I19" i="11"/>
  <c r="K19" i="11"/>
  <c r="N19" i="11"/>
  <c r="T19" i="11"/>
  <c r="P19" i="11"/>
  <c r="E19" i="11"/>
  <c r="O19" i="11"/>
  <c r="S19" i="11"/>
  <c r="H19" i="11"/>
  <c r="F21" i="11"/>
  <c r="O21" i="11"/>
  <c r="V21" i="11"/>
  <c r="T21" i="11"/>
  <c r="I21" i="11"/>
  <c r="E21" i="11"/>
  <c r="R21" i="11"/>
  <c r="P21" i="11"/>
  <c r="Q21" i="11"/>
  <c r="U21" i="11"/>
  <c r="N21" i="11"/>
  <c r="L21" i="11"/>
  <c r="K21" i="11"/>
  <c r="S21" i="11"/>
  <c r="J21" i="11"/>
  <c r="G21" i="11"/>
  <c r="M21" i="11"/>
  <c r="D21" i="11"/>
  <c r="H21" i="11"/>
  <c r="F23" i="11"/>
  <c r="J23" i="11"/>
  <c r="U23" i="11"/>
  <c r="V23" i="11"/>
  <c r="L23" i="11"/>
  <c r="Q23" i="11"/>
  <c r="S23" i="11"/>
  <c r="M23" i="11"/>
  <c r="R23" i="11"/>
  <c r="O23" i="11"/>
  <c r="G23" i="11"/>
  <c r="N23" i="11"/>
  <c r="T23" i="11"/>
  <c r="I23" i="11"/>
  <c r="E23" i="11"/>
  <c r="K23" i="11"/>
  <c r="D23" i="11"/>
  <c r="H23" i="11"/>
  <c r="P23" i="11"/>
  <c r="AU55" i="18"/>
  <c r="AV57" i="18" s="1"/>
  <c r="AX34" i="18"/>
  <c r="AV36" i="18"/>
  <c r="AU35" i="18"/>
  <c r="AX35" i="18" s="1"/>
  <c r="AV28" i="18"/>
  <c r="AY28" i="18" s="1"/>
  <c r="AY29" i="18"/>
  <c r="AV42" i="18"/>
  <c r="AY42" i="18" s="1"/>
  <c r="AY43" i="18"/>
  <c r="C12" i="2"/>
  <c r="D12" i="2"/>
  <c r="D32" i="2" s="1"/>
  <c r="B12" i="2"/>
  <c r="D46" i="2" l="1"/>
  <c r="D53" i="2"/>
  <c r="L12" i="2"/>
  <c r="M12" i="2"/>
  <c r="AU56" i="18"/>
  <c r="AX56" i="18" s="1"/>
  <c r="AX55" i="18"/>
  <c r="AU69" i="18"/>
  <c r="AU70" i="18" s="1"/>
  <c r="AX70" i="18" s="1"/>
  <c r="AV35" i="18"/>
  <c r="AY35" i="18" s="1"/>
  <c r="AY36" i="18"/>
  <c r="AY57" i="18"/>
  <c r="AV56" i="18"/>
  <c r="AY56" i="18" s="1"/>
  <c r="D13" i="6"/>
  <c r="D12" i="6"/>
  <c r="D10" i="6"/>
  <c r="D47" i="2" l="1"/>
  <c r="D45" i="2"/>
  <c r="D44" i="2" s="1"/>
  <c r="D48" i="2" s="1"/>
  <c r="D54" i="2"/>
  <c r="D52" i="2"/>
  <c r="D51" i="2" s="1"/>
  <c r="D55" i="2" s="1"/>
  <c r="AX69" i="18"/>
  <c r="AV71" i="18"/>
  <c r="AV70" i="18" s="1"/>
  <c r="AY70" i="18" s="1"/>
  <c r="AU83" i="18"/>
  <c r="AX83" i="18" s="1"/>
  <c r="AU90" i="18"/>
  <c r="AV92" i="18" s="1"/>
  <c r="AU91" i="18" l="1"/>
  <c r="AX91" i="18" s="1"/>
  <c r="AX90" i="18"/>
  <c r="AV85" i="18"/>
  <c r="AV84" i="18" s="1"/>
  <c r="AY84" i="18" s="1"/>
  <c r="AY71" i="18"/>
  <c r="AU84" i="18"/>
  <c r="AX84" i="18" s="1"/>
  <c r="AU104" i="18"/>
  <c r="AU105" i="18" s="1"/>
  <c r="AX105" i="18" s="1"/>
  <c r="AV91" i="18"/>
  <c r="AY91" i="18" s="1"/>
  <c r="AY92" i="18"/>
  <c r="B11" i="7"/>
  <c r="C11" i="7"/>
  <c r="D11" i="7"/>
  <c r="E11" i="7"/>
  <c r="F11" i="7"/>
  <c r="F12" i="7" s="1"/>
  <c r="G11" i="7"/>
  <c r="G12" i="7" s="1"/>
  <c r="H11" i="7"/>
  <c r="H12" i="7" s="1"/>
  <c r="I11" i="7"/>
  <c r="I12" i="7" s="1"/>
  <c r="J11" i="7"/>
  <c r="K11" i="7"/>
  <c r="L11" i="7"/>
  <c r="M11" i="7"/>
  <c r="N11" i="7"/>
  <c r="N12" i="7" s="1"/>
  <c r="O11" i="7"/>
  <c r="O12" i="7" s="1"/>
  <c r="P11" i="7"/>
  <c r="P12" i="7" s="1"/>
  <c r="Q11" i="7"/>
  <c r="Q12" i="7" s="1"/>
  <c r="R11" i="7"/>
  <c r="S11" i="7"/>
  <c r="T11" i="7"/>
  <c r="U11" i="7"/>
  <c r="V11" i="7"/>
  <c r="V12" i="7" s="1"/>
  <c r="W11" i="7"/>
  <c r="W12" i="7" s="1"/>
  <c r="X11" i="7"/>
  <c r="X12" i="7" s="1"/>
  <c r="Y11" i="7"/>
  <c r="Y12" i="7" s="1"/>
  <c r="Z11" i="7"/>
  <c r="AA11" i="7"/>
  <c r="AB11" i="7"/>
  <c r="AC11" i="7"/>
  <c r="AD11" i="7"/>
  <c r="AD12" i="7" s="1"/>
  <c r="AE11" i="7"/>
  <c r="AE12" i="7" s="1"/>
  <c r="AF11" i="7"/>
  <c r="AF12" i="7" s="1"/>
  <c r="AG11" i="7"/>
  <c r="AG12" i="7" s="1"/>
  <c r="AH11" i="7"/>
  <c r="AI11" i="7"/>
  <c r="AJ11" i="7"/>
  <c r="AK11" i="7"/>
  <c r="B12" i="7"/>
  <c r="C12" i="7"/>
  <c r="D12" i="7"/>
  <c r="E12" i="7"/>
  <c r="J12" i="7"/>
  <c r="K12" i="7"/>
  <c r="L12" i="7"/>
  <c r="M12" i="7"/>
  <c r="R12" i="7"/>
  <c r="S12" i="7"/>
  <c r="T12" i="7"/>
  <c r="U12" i="7"/>
  <c r="Z12" i="7"/>
  <c r="AA12" i="7"/>
  <c r="AB12" i="7"/>
  <c r="AC12" i="7"/>
  <c r="AH12" i="7"/>
  <c r="AI12" i="7"/>
  <c r="AJ12" i="7"/>
  <c r="AK12" i="7"/>
  <c r="AX104" i="18" l="1"/>
  <c r="AY85" i="18"/>
  <c r="AV106" i="18"/>
  <c r="AV105" i="18" s="1"/>
  <c r="AY105" i="18" s="1"/>
  <c r="AY106" i="18" l="1"/>
  <c r="B2" i="31" l="1"/>
  <c r="B21" i="31" s="1"/>
  <c r="R21" i="31" l="1"/>
  <c r="AU111" i="18"/>
  <c r="AV113" i="18" s="1"/>
  <c r="AU97" i="18"/>
  <c r="AU76" i="18"/>
  <c r="AU62" i="18"/>
  <c r="AU98" i="18" l="1"/>
  <c r="AX98" i="18" s="1"/>
  <c r="AV99" i="18"/>
  <c r="AX97" i="18"/>
  <c r="AV112" i="18"/>
  <c r="AY112" i="18" s="1"/>
  <c r="AY113" i="18"/>
  <c r="AU63" i="18"/>
  <c r="AX63" i="18" s="1"/>
  <c r="AV64" i="18"/>
  <c r="AX62" i="18"/>
  <c r="AU112" i="18"/>
  <c r="AX112" i="18" s="1"/>
  <c r="AX111" i="18"/>
  <c r="AX76" i="18"/>
  <c r="AV78" i="18"/>
  <c r="AU77" i="18"/>
  <c r="AX77" i="18" s="1"/>
  <c r="AX119" i="18"/>
  <c r="AX118" i="18"/>
  <c r="AY78" i="18" l="1"/>
  <c r="AV77" i="18"/>
  <c r="AY77" i="18" s="1"/>
  <c r="AY119" i="18"/>
  <c r="AY64" i="18"/>
  <c r="AV63" i="18"/>
  <c r="AY63" i="18" s="1"/>
  <c r="AY99" i="18"/>
  <c r="AV98" i="18"/>
  <c r="AY98" i="18" s="1"/>
  <c r="BP21" i="18" l="1"/>
  <c r="DA21" i="18" s="1"/>
  <c r="BP22" i="18" l="1"/>
  <c r="DD22" i="18" s="1"/>
  <c r="AN3" i="18"/>
  <c r="AX13" i="18" l="1"/>
  <c r="AP3" i="18"/>
  <c r="AU3" i="18" s="1"/>
  <c r="AM3" i="18"/>
  <c r="S13" i="18"/>
  <c r="S12" i="18" s="1"/>
  <c r="S11" i="18" s="1"/>
  <c r="S10" i="18" s="1"/>
  <c r="S9" i="18" s="1"/>
  <c r="S8" i="18" s="1"/>
  <c r="S7" i="18" s="1"/>
  <c r="S6" i="18" s="1"/>
  <c r="BB32" i="18"/>
  <c r="BA32" i="18"/>
  <c r="BA33" i="18"/>
  <c r="BB33" i="18"/>
  <c r="BA43" i="18"/>
  <c r="BA42" i="18"/>
  <c r="BD42" i="18" s="1"/>
  <c r="AO3" i="18"/>
  <c r="AV4" i="18" s="1"/>
  <c r="BB4" i="18" s="1"/>
  <c r="U13" i="18"/>
  <c r="U12" i="18" s="1"/>
  <c r="U11" i="18" s="1"/>
  <c r="U10" i="18" s="1"/>
  <c r="U9" i="18" s="1"/>
  <c r="U8" i="18" s="1"/>
  <c r="U7" i="18" s="1"/>
  <c r="U6" i="18" s="1"/>
  <c r="U5" i="18" s="1"/>
  <c r="O13" i="18"/>
  <c r="O12" i="18" s="1"/>
  <c r="O11" i="18" s="1"/>
  <c r="O10" i="18" s="1"/>
  <c r="O9" i="18" s="1"/>
  <c r="O8" i="18" s="1"/>
  <c r="Q13" i="18"/>
  <c r="Q12" i="18" s="1"/>
  <c r="Q11" i="18" s="1"/>
  <c r="Q10" i="18" s="1"/>
  <c r="Q9" i="18" s="1"/>
  <c r="Q8" i="18" s="1"/>
  <c r="Q7" i="18" s="1"/>
  <c r="M13" i="18"/>
  <c r="M12" i="18" s="1"/>
  <c r="M11" i="18" s="1"/>
  <c r="M10" i="18" s="1"/>
  <c r="M9" i="18" s="1"/>
  <c r="I13" i="18"/>
  <c r="I12" i="18" s="1"/>
  <c r="I11" i="18" s="1"/>
  <c r="G13" i="18"/>
  <c r="K13" i="18"/>
  <c r="G12" i="18" l="1"/>
  <c r="W12" i="18" s="1"/>
  <c r="W13" i="18"/>
  <c r="K12" i="18"/>
  <c r="BA3" i="18"/>
  <c r="BX3" i="18"/>
  <c r="BD13" i="18"/>
  <c r="BX14" i="18"/>
  <c r="AQ3" i="18"/>
  <c r="AU4" i="18" s="1"/>
  <c r="BA4" i="18" s="1"/>
  <c r="AV3" i="18"/>
  <c r="BB43" i="18"/>
  <c r="BE43" i="18" s="1"/>
  <c r="BD43" i="18"/>
  <c r="K11" i="18" l="1"/>
  <c r="AP12" i="18"/>
  <c r="AX9" i="18" s="1"/>
  <c r="BD9" i="18" s="1"/>
  <c r="BB3" i="18"/>
  <c r="BZ3" i="18"/>
  <c r="AN13" i="18"/>
  <c r="AP13" i="18"/>
  <c r="AX11" i="18" s="1"/>
  <c r="CD20" i="18" l="1"/>
  <c r="BX20" i="18" s="1"/>
  <c r="BX12" i="18"/>
  <c r="AN12" i="18"/>
  <c r="K10" i="18"/>
  <c r="W11" i="18"/>
  <c r="AN11" i="18" s="1"/>
  <c r="BD11" i="18"/>
  <c r="BX13" i="18"/>
  <c r="W10" i="18" l="1"/>
  <c r="W9" i="18" s="1"/>
  <c r="AP11" i="18"/>
  <c r="AX7" i="18" s="1"/>
  <c r="BX11" i="18" s="1"/>
  <c r="BD7" i="18" l="1"/>
  <c r="AP10" i="18"/>
  <c r="AX5" i="18" s="1"/>
  <c r="BD5" i="18" s="1"/>
  <c r="AN10" i="18"/>
  <c r="W8" i="18"/>
  <c r="W7" i="18" s="1"/>
  <c r="W6" i="18" s="1"/>
  <c r="W5" i="18" s="1"/>
  <c r="W4" i="18" s="1"/>
  <c r="AN9" i="18"/>
  <c r="AP9" i="18"/>
  <c r="AX3" i="18" s="1"/>
  <c r="BX9" i="18" s="1"/>
  <c r="AN8" i="18" l="1"/>
  <c r="AP7" i="18"/>
  <c r="AU11" i="18" s="1"/>
  <c r="BA11" i="18" s="1"/>
  <c r="BX10" i="18"/>
  <c r="BD3" i="18"/>
  <c r="AN7" i="18"/>
  <c r="AP8" i="18"/>
  <c r="AU13" i="18" s="1"/>
  <c r="BX8" i="18" s="1"/>
  <c r="AP6" i="18"/>
  <c r="AU9" i="18" s="1"/>
  <c r="AN6" i="18"/>
  <c r="BX7" i="18" l="1"/>
  <c r="BA13" i="18"/>
  <c r="BA9" i="18"/>
  <c r="BX6" i="18"/>
  <c r="AN5" i="18"/>
  <c r="AP5" i="18"/>
  <c r="AU7" i="18" s="1"/>
  <c r="BA7" i="18" l="1"/>
  <c r="BX5" i="18"/>
  <c r="AN4" i="18"/>
  <c r="AP4" i="18"/>
  <c r="AU5" i="18" s="1"/>
  <c r="BA5" i="18" l="1"/>
  <c r="BX4" i="18"/>
  <c r="CD25" i="18" s="1"/>
  <c r="CD26" i="18" s="1"/>
  <c r="BX25" i="18" l="1"/>
  <c r="BX26" i="18" s="1"/>
  <c r="CG25" i="18"/>
  <c r="CG26" i="18" s="1"/>
  <c r="CA26" i="18" s="1"/>
  <c r="CD36" i="18"/>
  <c r="CG36" i="18"/>
  <c r="CC62" i="18" l="1"/>
  <c r="CG37" i="18"/>
  <c r="CD37" i="18"/>
  <c r="CA25" i="18"/>
  <c r="BX36" i="18"/>
  <c r="CA36" i="18"/>
  <c r="CA62" i="18" l="1"/>
  <c r="CC63" i="18"/>
  <c r="CA37" i="18"/>
  <c r="BX37" i="18"/>
  <c r="CA63" i="18" l="1"/>
  <c r="CC58" i="18" l="1"/>
  <c r="CC21" i="18"/>
  <c r="CI33" i="18" l="1"/>
  <c r="CI45" i="18"/>
  <c r="CM30" i="18" l="1"/>
  <c r="CM19" i="18"/>
  <c r="CC22" i="18"/>
  <c r="CC33" i="18"/>
  <c r="AX21" i="18"/>
  <c r="AY21" i="18"/>
  <c r="AY22" i="18"/>
  <c r="G45" i="2" l="1"/>
  <c r="M7" i="46" l="1"/>
  <c r="P7" i="46"/>
  <c r="M8" i="46"/>
  <c r="AA7" i="46" l="1"/>
  <c r="P8" i="46"/>
  <c r="AB8" i="46" s="1"/>
  <c r="AB7" i="46"/>
  <c r="AA8" i="46" l="1"/>
  <c r="M9" i="46" l="1"/>
  <c r="P9" i="46"/>
  <c r="AB9" i="46" l="1"/>
  <c r="AA9" i="46"/>
  <c r="V10" i="18" l="1"/>
  <c r="AO10" i="18" s="1"/>
  <c r="V9" i="18"/>
  <c r="AQ10" i="18" l="1"/>
  <c r="AX6" i="18" s="1"/>
  <c r="BD6" i="18" s="1"/>
  <c r="AM10" i="18"/>
  <c r="AM9" i="18"/>
  <c r="AO9" i="18"/>
  <c r="AQ9" i="18"/>
  <c r="AX4" i="18" s="1"/>
  <c r="BD4" i="18" s="1"/>
  <c r="AY5" i="18"/>
  <c r="AY6" i="18"/>
  <c r="BE6" i="18" s="1"/>
  <c r="V8" i="18"/>
  <c r="AQ8" i="18" l="1"/>
  <c r="AU14" i="18" s="1"/>
  <c r="BA14" i="18" s="1"/>
  <c r="AO8" i="18"/>
  <c r="AM8" i="18"/>
  <c r="BZ10" i="18"/>
  <c r="BE5" i="18"/>
  <c r="V7" i="18"/>
  <c r="AY4" i="18"/>
  <c r="BE4" i="18" s="1"/>
  <c r="AY3" i="18"/>
  <c r="BE3" i="18" l="1"/>
  <c r="BZ9" i="18"/>
  <c r="AM7" i="18"/>
  <c r="AQ7" i="18"/>
  <c r="AU12" i="18" s="1"/>
  <c r="BA12" i="18" s="1"/>
  <c r="AO7" i="18"/>
  <c r="V6" i="18"/>
  <c r="AV14" i="18"/>
  <c r="BB14" i="18" s="1"/>
  <c r="AV13" i="18"/>
  <c r="BB13" i="18" l="1"/>
  <c r="BZ8" i="18"/>
  <c r="AV11" i="18"/>
  <c r="AV12" i="18"/>
  <c r="BB12" i="18" s="1"/>
  <c r="AM6" i="18"/>
  <c r="AO6" i="18"/>
  <c r="AQ6" i="18"/>
  <c r="AU10" i="18" s="1"/>
  <c r="BA10" i="18" s="1"/>
  <c r="BZ7" i="18" l="1"/>
  <c r="BB11" i="18"/>
  <c r="AV9" i="18"/>
  <c r="AV10" i="18"/>
  <c r="BB10" i="18" s="1"/>
  <c r="BB9" i="18" l="1"/>
  <c r="BZ6" i="18"/>
  <c r="CF26" i="18" l="1"/>
  <c r="CF24" i="18" l="1"/>
  <c r="BZ24" i="18" s="1"/>
  <c r="M6" i="46" l="1"/>
  <c r="P6" i="46"/>
  <c r="AA6" i="46" l="1"/>
  <c r="AB6" i="46"/>
  <c r="V4" i="18"/>
  <c r="AQ4" i="18" s="1"/>
  <c r="AU6" i="18" s="1"/>
  <c r="BA6" i="18" s="1"/>
  <c r="V5" i="18"/>
  <c r="AQ5" i="18" s="1"/>
  <c r="AU8" i="18" s="1"/>
  <c r="BA8" i="18" s="1"/>
  <c r="CF23" i="18"/>
  <c r="BZ23" i="18" s="1"/>
  <c r="CF25" i="18"/>
  <c r="BZ25" i="18" s="1"/>
  <c r="BZ26" i="18"/>
  <c r="AO5" i="18" l="1"/>
  <c r="AV8" i="18" s="1"/>
  <c r="BB8" i="18" s="1"/>
  <c r="AM5" i="18"/>
  <c r="AM4" i="18"/>
  <c r="AO4" i="18"/>
  <c r="AV5" i="18" s="1"/>
  <c r="AV7" i="18" l="1"/>
  <c r="BB7" i="18" s="1"/>
  <c r="AV6" i="18"/>
  <c r="BB6" i="18" s="1"/>
  <c r="BZ4" i="18"/>
  <c r="BB5" i="18"/>
  <c r="BZ5" i="18" l="1"/>
  <c r="AF46" i="18" l="1"/>
  <c r="H4" i="46" l="1"/>
  <c r="Z3" i="46"/>
  <c r="H3" i="46"/>
  <c r="P3" i="46"/>
  <c r="M3" i="46"/>
  <c r="Z4" i="46"/>
  <c r="P4" i="46"/>
  <c r="M4" i="46"/>
  <c r="B870" i="41" s="1"/>
  <c r="AC23" i="18"/>
  <c r="CB82" i="18" s="1"/>
  <c r="AB23" i="18"/>
  <c r="AM47" i="18" s="1"/>
  <c r="AV48" i="18" s="1"/>
  <c r="Z5" i="46"/>
  <c r="M5" i="46"/>
  <c r="P5" i="46"/>
  <c r="H5" i="46"/>
  <c r="AD23" i="18"/>
  <c r="P12" i="46"/>
  <c r="A56" i="12"/>
  <c r="AA23" i="18"/>
  <c r="M12" i="46"/>
  <c r="AE23" i="18"/>
  <c r="AF23" i="18" s="1"/>
  <c r="Z23" i="18"/>
  <c r="B909" i="41" l="1"/>
  <c r="B919" i="41"/>
  <c r="B925" i="41"/>
  <c r="B893" i="41"/>
  <c r="B932" i="41"/>
  <c r="B920" i="41"/>
  <c r="B930" i="41"/>
  <c r="B907" i="41"/>
  <c r="B861" i="41"/>
  <c r="B898" i="41"/>
  <c r="B865" i="41"/>
  <c r="B811" i="41"/>
  <c r="B868" i="41"/>
  <c r="B890" i="41"/>
  <c r="B830" i="41"/>
  <c r="B914" i="41"/>
  <c r="B820" i="41"/>
  <c r="B875" i="41"/>
  <c r="B928" i="41"/>
  <c r="B831" i="41"/>
  <c r="CB99" i="18"/>
  <c r="B918" i="41"/>
  <c r="B883" i="41"/>
  <c r="B924" i="41"/>
  <c r="B900" i="41"/>
  <c r="B917" i="41"/>
  <c r="B822" i="41"/>
  <c r="B922" i="41"/>
  <c r="B912" i="41"/>
  <c r="B911" i="41"/>
  <c r="B847" i="41"/>
  <c r="B812" i="41"/>
  <c r="B877" i="41"/>
  <c r="B860" i="41"/>
  <c r="B884" i="41"/>
  <c r="B813" i="41"/>
  <c r="AB4" i="46"/>
  <c r="B927" i="41"/>
  <c r="B838" i="41"/>
  <c r="B936" i="41"/>
  <c r="B862" i="41"/>
  <c r="B814" i="41"/>
  <c r="B834" i="41"/>
  <c r="B882" i="41"/>
  <c r="B938" i="41"/>
  <c r="B848" i="41"/>
  <c r="B894" i="41"/>
  <c r="B856" i="41"/>
  <c r="B857" i="41"/>
  <c r="B824" i="41"/>
  <c r="B833" i="41"/>
  <c r="B901" i="41"/>
  <c r="B873" i="41"/>
  <c r="B826" i="41"/>
  <c r="B842" i="41"/>
  <c r="B891" i="41"/>
  <c r="B851" i="41"/>
  <c r="B841" i="41"/>
  <c r="B859" i="41"/>
  <c r="B858" i="41"/>
  <c r="B935" i="41"/>
  <c r="B853" i="41"/>
  <c r="B887" i="41"/>
  <c r="B899" i="41"/>
  <c r="B881" i="41"/>
  <c r="B843" i="41"/>
  <c r="B886" i="41"/>
  <c r="B915" i="41"/>
  <c r="B939" i="41"/>
  <c r="B871" i="41"/>
  <c r="B906" i="41"/>
  <c r="B885" i="41"/>
  <c r="B904" i="41"/>
  <c r="B866" i="41"/>
  <c r="B835" i="41"/>
  <c r="B821" i="41"/>
  <c r="B832" i="41"/>
  <c r="B872" i="41"/>
  <c r="B903" i="41"/>
  <c r="B836" i="41"/>
  <c r="B926" i="41"/>
  <c r="B849" i="41"/>
  <c r="B827" i="41"/>
  <c r="B934" i="41"/>
  <c r="B902" i="41"/>
  <c r="B816" i="41"/>
  <c r="B880" i="41"/>
  <c r="B837" i="41"/>
  <c r="B869" i="41"/>
  <c r="B910" i="41"/>
  <c r="B850" i="41"/>
  <c r="B889" i="41"/>
  <c r="B823" i="41"/>
  <c r="B929" i="41"/>
  <c r="B864" i="41"/>
  <c r="B933" i="41"/>
  <c r="B888" i="41"/>
  <c r="B846" i="41"/>
  <c r="B913" i="41"/>
  <c r="B867" i="41"/>
  <c r="B892" i="41"/>
  <c r="B874" i="41"/>
  <c r="B876" i="41"/>
  <c r="B854" i="41"/>
  <c r="B878" i="41"/>
  <c r="B815" i="41"/>
  <c r="B879" i="41"/>
  <c r="B895" i="41"/>
  <c r="B921" i="41"/>
  <c r="B840" i="41"/>
  <c r="B828" i="41"/>
  <c r="B923" i="41"/>
  <c r="B825" i="41"/>
  <c r="B897" i="41"/>
  <c r="B905" i="41"/>
  <c r="B863" i="41"/>
  <c r="B908" i="41"/>
  <c r="B937" i="41"/>
  <c r="B817" i="41"/>
  <c r="B818" i="41"/>
  <c r="B852" i="41"/>
  <c r="B819" i="41"/>
  <c r="B896" i="41"/>
  <c r="B855" i="41"/>
  <c r="B845" i="41"/>
  <c r="B844" i="41"/>
  <c r="B916" i="41"/>
  <c r="B931" i="41"/>
  <c r="B829" i="41"/>
  <c r="AB3" i="46"/>
  <c r="AA3" i="46"/>
  <c r="B839" i="41"/>
  <c r="AA4" i="46"/>
  <c r="CB86" i="18"/>
  <c r="CB76" i="18" s="1"/>
  <c r="CK85" i="18"/>
  <c r="CK77" i="18" s="1"/>
  <c r="CB95" i="18"/>
  <c r="AL47" i="18"/>
  <c r="AU48" i="18" s="1"/>
  <c r="AX48" i="18" s="1"/>
  <c r="CB96" i="18"/>
  <c r="CB84" i="18"/>
  <c r="CB78" i="18" s="1"/>
  <c r="CB90" i="18"/>
  <c r="CB85" i="18"/>
  <c r="CB77" i="18" s="1"/>
  <c r="CK82" i="18"/>
  <c r="CB80" i="18"/>
  <c r="CB100" i="18"/>
  <c r="CB88" i="18"/>
  <c r="AL48" i="18"/>
  <c r="AU50" i="18" s="1"/>
  <c r="CK83" i="18"/>
  <c r="CK79" i="18" s="1"/>
  <c r="CB101" i="18"/>
  <c r="CB102" i="18"/>
  <c r="CB93" i="18"/>
  <c r="CB103" i="18"/>
  <c r="CK86" i="18"/>
  <c r="CK76" i="18" s="1"/>
  <c r="CK84" i="18"/>
  <c r="CK78" i="18" s="1"/>
  <c r="CB83" i="18"/>
  <c r="CB79" i="18" s="1"/>
  <c r="CK80" i="18"/>
  <c r="CB94" i="18"/>
  <c r="CB97" i="18"/>
  <c r="AJ12" i="18"/>
  <c r="AJ14" i="18"/>
  <c r="AM48" i="18"/>
  <c r="D12" i="18"/>
  <c r="B13" i="18"/>
  <c r="V14" i="18"/>
  <c r="F11" i="18"/>
  <c r="AI12" i="18"/>
  <c r="AI14" i="18"/>
  <c r="AO50" i="18"/>
  <c r="AN50" i="18"/>
  <c r="AO51" i="18"/>
  <c r="AO49" i="18"/>
  <c r="AO48" i="18" s="1"/>
  <c r="CC81" i="18"/>
  <c r="CL81" i="18"/>
  <c r="CC80" i="18"/>
  <c r="CC83" i="18"/>
  <c r="CL80" i="18"/>
  <c r="CC79" i="18"/>
  <c r="CL82" i="18"/>
  <c r="CC82" i="18"/>
  <c r="CL79" i="18"/>
  <c r="CL83" i="18"/>
  <c r="AY48" i="18"/>
  <c r="AN51" i="18"/>
  <c r="AN52" i="18"/>
  <c r="AA5" i="46"/>
  <c r="AB5" i="46"/>
  <c r="AV50" i="18" l="1"/>
  <c r="AY50" i="18" s="1"/>
  <c r="AU49" i="18"/>
  <c r="AX49" i="18" s="1"/>
  <c r="B14" i="18"/>
  <c r="F14" i="18"/>
  <c r="F13" i="18" s="1"/>
  <c r="J14" i="18"/>
  <c r="N14" i="18"/>
  <c r="R14" i="18"/>
  <c r="T14" i="18"/>
  <c r="D14" i="18"/>
  <c r="H14" i="18"/>
  <c r="L14" i="18"/>
  <c r="P14" i="18"/>
  <c r="AX50" i="18"/>
  <c r="BA37" i="18"/>
  <c r="BA36" i="18"/>
  <c r="V11" i="18"/>
  <c r="L8" i="18"/>
  <c r="P6" i="18"/>
  <c r="N7" i="18"/>
  <c r="T4" i="18"/>
  <c r="H10" i="18"/>
  <c r="R5" i="18"/>
  <c r="J9" i="18"/>
  <c r="BA40" i="18"/>
  <c r="BA41" i="18"/>
  <c r="AJ13" i="18"/>
  <c r="BB26" i="18"/>
  <c r="BB27" i="18"/>
  <c r="AQ14" i="18"/>
  <c r="AX14" i="18" s="1"/>
  <c r="BD14" i="18" s="1"/>
  <c r="AO14" i="18"/>
  <c r="AM14" i="18"/>
  <c r="AI13" i="18"/>
  <c r="BA30" i="18"/>
  <c r="BA31" i="18"/>
  <c r="BB31" i="18"/>
  <c r="BB30" i="18"/>
  <c r="AN47" i="18"/>
  <c r="AN48" i="18"/>
  <c r="AV49" i="18"/>
  <c r="AY49" i="18" s="1"/>
  <c r="D13" i="18" l="1"/>
  <c r="V13" i="18" s="1"/>
  <c r="AQ13" i="18" s="1"/>
  <c r="AX12" i="18" s="1"/>
  <c r="BD12" i="18" s="1"/>
  <c r="P13" i="18"/>
  <c r="P12" i="18" s="1"/>
  <c r="P11" i="18" s="1"/>
  <c r="P10" i="18" s="1"/>
  <c r="P9" i="18" s="1"/>
  <c r="P8" i="18" s="1"/>
  <c r="P7" i="18" s="1"/>
  <c r="H13" i="18"/>
  <c r="H12" i="18" s="1"/>
  <c r="H11" i="18" s="1"/>
  <c r="J13" i="18"/>
  <c r="J12" i="18" s="1"/>
  <c r="J11" i="18" s="1"/>
  <c r="J10" i="18" s="1"/>
  <c r="AY14" i="18"/>
  <c r="BE14" i="18" s="1"/>
  <c r="AY13" i="18"/>
  <c r="BA28" i="18"/>
  <c r="BB28" i="18"/>
  <c r="BB29" i="18"/>
  <c r="BA29" i="18"/>
  <c r="BD41" i="18"/>
  <c r="BB41" i="18"/>
  <c r="BE41" i="18" s="1"/>
  <c r="R13" i="18"/>
  <c r="R12" i="18" s="1"/>
  <c r="R11" i="18" s="1"/>
  <c r="R10" i="18" s="1"/>
  <c r="R9" i="18" s="1"/>
  <c r="R8" i="18" s="1"/>
  <c r="R7" i="18" s="1"/>
  <c r="R6" i="18" s="1"/>
  <c r="AM11" i="18"/>
  <c r="AQ11" i="18"/>
  <c r="AX8" i="18" s="1"/>
  <c r="BD8" i="18" s="1"/>
  <c r="AO11" i="18"/>
  <c r="BD40" i="18"/>
  <c r="BB40" i="18"/>
  <c r="BE40" i="18" s="1"/>
  <c r="L13" i="18"/>
  <c r="L12" i="18" s="1"/>
  <c r="L11" i="18" s="1"/>
  <c r="L10" i="18" s="1"/>
  <c r="L9" i="18" s="1"/>
  <c r="BD36" i="18"/>
  <c r="BB36" i="18"/>
  <c r="BE36" i="18" s="1"/>
  <c r="N13" i="18"/>
  <c r="N12" i="18" s="1"/>
  <c r="N11" i="18" s="1"/>
  <c r="N10" i="18" s="1"/>
  <c r="N9" i="18" s="1"/>
  <c r="N8" i="18" s="1"/>
  <c r="BA39" i="18"/>
  <c r="BA38" i="18"/>
  <c r="T13" i="18"/>
  <c r="T12" i="18" s="1"/>
  <c r="T11" i="18" s="1"/>
  <c r="T10" i="18" s="1"/>
  <c r="T9" i="18" s="1"/>
  <c r="T8" i="18" s="1"/>
  <c r="T7" i="18" s="1"/>
  <c r="T6" i="18" s="1"/>
  <c r="T5" i="18" s="1"/>
  <c r="F12" i="18"/>
  <c r="V12" i="18" s="1"/>
  <c r="BB37" i="18"/>
  <c r="BE37" i="18" s="1"/>
  <c r="BD37" i="18"/>
  <c r="AM13" i="18" l="1"/>
  <c r="AO13" i="18"/>
  <c r="AY12" i="18" s="1"/>
  <c r="BE12" i="18" s="1"/>
  <c r="BD39" i="18"/>
  <c r="BB39" i="18"/>
  <c r="BE39" i="18" s="1"/>
  <c r="BZ14" i="18"/>
  <c r="BE13" i="18"/>
  <c r="AO12" i="18"/>
  <c r="AQ12" i="18"/>
  <c r="AX10" i="18" s="1"/>
  <c r="BD10" i="18" s="1"/>
  <c r="AM12" i="18"/>
  <c r="BD38" i="18"/>
  <c r="BB38" i="18"/>
  <c r="BE38" i="18" s="1"/>
  <c r="AY7" i="18"/>
  <c r="AY8" i="18"/>
  <c r="BE8" i="18" s="1"/>
  <c r="AY11" i="18" l="1"/>
  <c r="BE11" i="18" s="1"/>
  <c r="CG20" i="18"/>
  <c r="CA20" i="18" s="1"/>
  <c r="CA57" i="18" s="1"/>
  <c r="CG31" i="18"/>
  <c r="CL30" i="18" s="1"/>
  <c r="BE7" i="18"/>
  <c r="BZ11" i="18"/>
  <c r="CD31" i="18"/>
  <c r="AY10" i="18"/>
  <c r="BE10" i="18" s="1"/>
  <c r="AY9" i="18"/>
  <c r="BZ13" i="18" l="1"/>
  <c r="CA31" i="18"/>
  <c r="CL19" i="18"/>
  <c r="CA59" i="18"/>
  <c r="CK19" i="18"/>
  <c r="CK30" i="18"/>
  <c r="BX31" i="18"/>
  <c r="CL31" i="18"/>
  <c r="CK31" i="18"/>
  <c r="BZ12" i="18"/>
  <c r="BE9" i="18"/>
  <c r="CF36" i="18" l="1"/>
  <c r="BZ36" i="18" s="1"/>
  <c r="CI25" i="18"/>
  <c r="CI26" i="18" s="1"/>
  <c r="CI36" i="18"/>
  <c r="CA44" i="18" l="1"/>
  <c r="CB44" i="18" s="1"/>
  <c r="CC25" i="18"/>
  <c r="CC26" i="18" s="1"/>
  <c r="CD62" i="18"/>
  <c r="CI37" i="18"/>
  <c r="CB62" i="18"/>
  <c r="CH44" i="18"/>
  <c r="CC36" i="18"/>
  <c r="CC37" i="18" s="1"/>
  <c r="CF34" i="18" l="1"/>
  <c r="BZ34" i="18" s="1"/>
  <c r="CI44" i="18"/>
  <c r="CC54" i="18"/>
  <c r="CI34" i="18"/>
  <c r="CI23" i="18"/>
  <c r="CQ19" i="18"/>
  <c r="CQ30" i="18"/>
  <c r="CB63" i="18"/>
  <c r="CD63" i="18"/>
  <c r="B22" i="12" s="1"/>
  <c r="CN31" i="18" l="1"/>
  <c r="CF35" i="18"/>
  <c r="BZ35" i="18" s="1"/>
  <c r="CI24" i="18"/>
  <c r="CC23" i="18"/>
  <c r="CN19" i="18"/>
  <c r="CD66" i="18"/>
  <c r="CC34" i="18"/>
  <c r="CI35" i="18"/>
  <c r="CN30" i="18"/>
  <c r="CO31" i="18"/>
  <c r="CP31" i="18" l="1"/>
  <c r="CO30" i="18"/>
  <c r="B85" i="12" s="1"/>
  <c r="CC35" i="18"/>
  <c r="CP30" i="18"/>
  <c r="A22" i="12"/>
  <c r="C22" i="12"/>
  <c r="CO19" i="18"/>
  <c r="CC24" i="18"/>
  <c r="CP19" i="18"/>
  <c r="B23" i="12" l="1"/>
  <c r="C23" i="12"/>
  <c r="C89" i="12" s="1"/>
  <c r="C85" i="12"/>
  <c r="W23" i="12"/>
  <c r="AB85" i="12"/>
  <c r="W85" i="12"/>
  <c r="S85" i="12"/>
  <c r="Y85" i="12"/>
  <c r="Z85" i="12"/>
  <c r="V85" i="12"/>
  <c r="CQ31" i="18"/>
  <c r="T85" i="12"/>
  <c r="AA23" i="12"/>
  <c r="AB23" i="12"/>
  <c r="T23" i="12"/>
  <c r="V23" i="12"/>
  <c r="U23" i="12"/>
  <c r="U85" i="12"/>
  <c r="X85" i="12"/>
  <c r="X23" i="12"/>
  <c r="Z23" i="12"/>
  <c r="S23" i="12"/>
  <c r="AA85" i="12"/>
  <c r="Y23" i="12"/>
  <c r="BZ37" i="18" l="1"/>
  <c r="CF37"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Oltman</author>
  </authors>
  <commentList>
    <comment ref="CK19" authorId="0" shapeId="0" xr:uid="{00000000-0006-0000-0300-000001000000}">
      <text>
        <r>
          <rPr>
            <b/>
            <sz val="9"/>
            <color indexed="81"/>
            <rFont val="Tahoma"/>
            <family val="2"/>
          </rPr>
          <t>0 to Outer Hip Slot</t>
        </r>
      </text>
    </comment>
    <comment ref="CL19" authorId="0" shapeId="0" xr:uid="{00000000-0006-0000-0300-000002000000}">
      <text>
        <r>
          <rPr>
            <b/>
            <sz val="9"/>
            <color indexed="81"/>
            <rFont val="Tahoma"/>
            <family val="2"/>
          </rPr>
          <t>Hip Slot to Top of Thigh</t>
        </r>
      </text>
    </comment>
    <comment ref="CM19" authorId="0" shapeId="0" xr:uid="{00000000-0006-0000-0300-000003000000}">
      <text>
        <r>
          <rPr>
            <b/>
            <sz val="9"/>
            <color indexed="81"/>
            <rFont val="Tahoma"/>
            <family val="2"/>
          </rPr>
          <t>Top of Thigh to Buckle</t>
        </r>
      </text>
    </comment>
    <comment ref="CN19" authorId="0" shapeId="0" xr:uid="{00000000-0006-0000-0300-000004000000}">
      <text>
        <r>
          <rPr>
            <b/>
            <sz val="9"/>
            <color indexed="81"/>
            <rFont val="Tahoma"/>
            <family val="2"/>
          </rPr>
          <t>Buckle to Bottom of Chest Clip</t>
        </r>
      </text>
    </comment>
    <comment ref="CO19" authorId="0" shapeId="0" xr:uid="{00000000-0006-0000-0300-000005000000}">
      <text>
        <r>
          <rPr>
            <b/>
            <sz val="9"/>
            <color indexed="81"/>
            <rFont val="Tahoma"/>
            <family val="2"/>
          </rPr>
          <t>Bottom of Chest Clip to Top of Chest Clip</t>
        </r>
      </text>
    </comment>
    <comment ref="CP19" authorId="0" shapeId="0" xr:uid="{00000000-0006-0000-0300-000006000000}">
      <text>
        <r>
          <rPr>
            <b/>
            <sz val="9"/>
            <color indexed="81"/>
            <rFont val="Tahoma"/>
            <family val="2"/>
          </rPr>
          <t>Top of Chest Clip to Harness Slot</t>
        </r>
      </text>
    </comment>
    <comment ref="CQ19" authorId="0" shapeId="0" xr:uid="{00000000-0006-0000-0300-000007000000}">
      <text>
        <r>
          <rPr>
            <b/>
            <sz val="9"/>
            <color indexed="81"/>
            <rFont val="Tahoma"/>
            <family val="2"/>
          </rPr>
          <t>Harness to Splitter Plate</t>
        </r>
      </text>
    </comment>
    <comment ref="BW22" authorId="0" shapeId="0" xr:uid="{00000000-0006-0000-0300-000008000000}">
      <text>
        <r>
          <rPr>
            <b/>
            <sz val="9"/>
            <color indexed="81"/>
            <rFont val="Tahoma"/>
            <family val="2"/>
          </rPr>
          <t>Buckle Cordinates</t>
        </r>
      </text>
    </comment>
    <comment ref="BW23" authorId="0" shapeId="0" xr:uid="{00000000-0006-0000-0300-000009000000}">
      <text>
        <r>
          <rPr>
            <b/>
            <sz val="9"/>
            <color indexed="81"/>
            <rFont val="Tahoma"/>
            <family val="2"/>
          </rPr>
          <t>Chest Clip Cordinates</t>
        </r>
      </text>
    </comment>
    <comment ref="BW24" authorId="0" shapeId="0" xr:uid="{00000000-0006-0000-0300-00000A000000}">
      <text>
        <r>
          <rPr>
            <b/>
            <sz val="9"/>
            <color indexed="81"/>
            <rFont val="Tahoma"/>
            <family val="2"/>
          </rPr>
          <t>Chest Clip</t>
        </r>
      </text>
    </comment>
    <comment ref="BW25" authorId="0" shapeId="0" xr:uid="{00000000-0006-0000-0300-00000B000000}">
      <text>
        <r>
          <rPr>
            <b/>
            <sz val="9"/>
            <color indexed="81"/>
            <rFont val="Tahoma"/>
            <family val="2"/>
          </rPr>
          <t>Harness Slot</t>
        </r>
      </text>
    </comment>
    <comment ref="BW26" authorId="0" shapeId="0" xr:uid="{00000000-0006-0000-0300-00000C000000}">
      <text>
        <r>
          <rPr>
            <b/>
            <sz val="9"/>
            <color indexed="81"/>
            <rFont val="Tahoma"/>
            <family val="2"/>
          </rPr>
          <t>Slot To Splitter</t>
        </r>
      </text>
    </comment>
    <comment ref="BW27" authorId="0" shapeId="0" xr:uid="{00000000-0006-0000-0300-00000D000000}">
      <text>
        <r>
          <rPr>
            <b/>
            <sz val="9"/>
            <color indexed="81"/>
            <rFont val="Tahoma"/>
            <family val="2"/>
          </rPr>
          <t>Splitter to CFA</t>
        </r>
      </text>
    </comment>
    <comment ref="CK30" authorId="0" shapeId="0" xr:uid="{00000000-0006-0000-0300-00000E000000}">
      <text>
        <r>
          <rPr>
            <b/>
            <sz val="9"/>
            <color indexed="81"/>
            <rFont val="Tahoma"/>
            <family val="2"/>
          </rPr>
          <t>0 to Outer Hip Slot</t>
        </r>
      </text>
    </comment>
    <comment ref="CL30" authorId="0" shapeId="0" xr:uid="{00000000-0006-0000-0300-00000F000000}">
      <text>
        <r>
          <rPr>
            <b/>
            <sz val="9"/>
            <color indexed="81"/>
            <rFont val="Tahoma"/>
            <family val="2"/>
          </rPr>
          <t>Hip Slot to Top of Thigh</t>
        </r>
      </text>
    </comment>
    <comment ref="CM30" authorId="0" shapeId="0" xr:uid="{00000000-0006-0000-0300-000010000000}">
      <text>
        <r>
          <rPr>
            <b/>
            <sz val="9"/>
            <color indexed="81"/>
            <rFont val="Tahoma"/>
            <family val="2"/>
          </rPr>
          <t>Top of Thigh to Buckle</t>
        </r>
      </text>
    </comment>
    <comment ref="CN30" authorId="0" shapeId="0" xr:uid="{00000000-0006-0000-0300-000011000000}">
      <text>
        <r>
          <rPr>
            <b/>
            <sz val="9"/>
            <color indexed="81"/>
            <rFont val="Tahoma"/>
            <family val="2"/>
          </rPr>
          <t>Buckle to Bottom of Chest Clip</t>
        </r>
      </text>
    </comment>
    <comment ref="CO30" authorId="0" shapeId="0" xr:uid="{00000000-0006-0000-0300-000012000000}">
      <text>
        <r>
          <rPr>
            <b/>
            <sz val="9"/>
            <color indexed="81"/>
            <rFont val="Tahoma"/>
            <family val="2"/>
          </rPr>
          <t>Bottom of Chest Clip to Top of Chest Clip</t>
        </r>
      </text>
    </comment>
    <comment ref="CP30" authorId="0" shapeId="0" xr:uid="{00000000-0006-0000-0300-000013000000}">
      <text>
        <r>
          <rPr>
            <b/>
            <sz val="9"/>
            <color indexed="81"/>
            <rFont val="Tahoma"/>
            <family val="2"/>
          </rPr>
          <t>Top of Chest Clip to Harness Slot</t>
        </r>
      </text>
    </comment>
    <comment ref="BW33" authorId="0" shapeId="0" xr:uid="{00000000-0006-0000-0300-000014000000}">
      <text>
        <r>
          <rPr>
            <b/>
            <sz val="9"/>
            <color indexed="81"/>
            <rFont val="Tahoma"/>
            <family val="2"/>
          </rPr>
          <t>Buckle Cordinates</t>
        </r>
      </text>
    </comment>
    <comment ref="BW34" authorId="0" shapeId="0" xr:uid="{00000000-0006-0000-0300-000015000000}">
      <text>
        <r>
          <rPr>
            <b/>
            <sz val="9"/>
            <color indexed="81"/>
            <rFont val="Tahoma"/>
            <family val="2"/>
          </rPr>
          <t>Chest Clip Cordinates</t>
        </r>
      </text>
    </comment>
    <comment ref="BW35" authorId="0" shapeId="0" xr:uid="{00000000-0006-0000-0300-000016000000}">
      <text>
        <r>
          <rPr>
            <b/>
            <sz val="9"/>
            <color indexed="81"/>
            <rFont val="Tahoma"/>
            <family val="2"/>
          </rPr>
          <t>Chest Clip</t>
        </r>
      </text>
    </comment>
    <comment ref="BW36" authorId="0" shapeId="0" xr:uid="{00000000-0006-0000-0300-000017000000}">
      <text>
        <r>
          <rPr>
            <b/>
            <sz val="9"/>
            <color indexed="81"/>
            <rFont val="Tahoma"/>
            <family val="2"/>
          </rPr>
          <t>Harness Slot</t>
        </r>
      </text>
    </comment>
    <comment ref="BW37" authorId="0" shapeId="0" xr:uid="{00000000-0006-0000-0300-000018000000}">
      <text>
        <r>
          <rPr>
            <b/>
            <sz val="9"/>
            <color indexed="81"/>
            <rFont val="Tahoma"/>
            <family val="2"/>
          </rPr>
          <t>Slot To Splitter</t>
        </r>
      </text>
    </comment>
    <comment ref="BW38" authorId="0" shapeId="0" xr:uid="{00000000-0006-0000-0300-000019000000}">
      <text>
        <r>
          <rPr>
            <b/>
            <sz val="9"/>
            <color indexed="81"/>
            <rFont val="Tahoma"/>
            <family val="2"/>
          </rPr>
          <t>Splitter to CFA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 Oltman</author>
  </authors>
  <commentList>
    <comment ref="W1" authorId="0" shapeId="0" xr:uid="{00000000-0006-0000-0F00-000001000000}">
      <text>
        <r>
          <rPr>
            <b/>
            <sz val="9"/>
            <color indexed="81"/>
            <rFont val="Tahoma"/>
            <family val="2"/>
          </rPr>
          <t>See Biacromial Conversion Tab</t>
        </r>
      </text>
    </comment>
    <comment ref="AA1" authorId="0" shapeId="0" xr:uid="{00000000-0006-0000-0F00-000002000000}">
      <text>
        <r>
          <rPr>
            <b/>
            <sz val="9"/>
            <color indexed="81"/>
            <rFont val="Tahoma"/>
            <family val="2"/>
          </rPr>
          <t>Extrapolation between 2 studies</t>
        </r>
      </text>
    </comment>
    <comment ref="AM1" authorId="0" shapeId="0" xr:uid="{00000000-0006-0000-0F00-000003000000}">
      <text>
        <r>
          <rPr>
            <b/>
            <sz val="9"/>
            <color indexed="81"/>
            <rFont val="Tahoma"/>
            <family val="2"/>
          </rPr>
          <t>Upper Leg Length, Butock to Popliteal Seated</t>
        </r>
      </text>
    </comment>
    <comment ref="W19" authorId="0" shapeId="0" xr:uid="{00000000-0006-0000-0F00-000004000000}">
      <text>
        <r>
          <rPr>
            <b/>
            <sz val="9"/>
            <color indexed="81"/>
            <rFont val="Tahoma"/>
            <family val="2"/>
          </rPr>
          <t>See Biacromial Conversion Tab</t>
        </r>
      </text>
    </comment>
    <comment ref="AA19" authorId="0" shapeId="0" xr:uid="{00000000-0006-0000-0F00-000005000000}">
      <text>
        <r>
          <rPr>
            <b/>
            <sz val="9"/>
            <color indexed="81"/>
            <rFont val="Tahoma"/>
            <family val="2"/>
          </rPr>
          <t>Extrapolation between 2 studies</t>
        </r>
      </text>
    </comment>
    <comment ref="AM19" authorId="0" shapeId="0" xr:uid="{00000000-0006-0000-0F00-000006000000}">
      <text>
        <r>
          <rPr>
            <b/>
            <sz val="9"/>
            <color indexed="81"/>
            <rFont val="Tahoma"/>
            <family val="2"/>
          </rPr>
          <t>Upper Leg Length, Butock to Popliteal Seated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Steve Oltman</author>
  </authors>
  <commentList>
    <comment ref="W1" authorId="0" shapeId="0" xr:uid="{00000000-0006-0000-1000-000001000000}">
      <text>
        <r>
          <rPr>
            <b/>
            <sz val="9"/>
            <color indexed="81"/>
            <rFont val="Tahoma"/>
            <family val="2"/>
          </rPr>
          <t>See Biacromial Conversion Tab</t>
        </r>
      </text>
    </comment>
    <comment ref="AA1" authorId="0" shapeId="0" xr:uid="{00000000-0006-0000-1000-000002000000}">
      <text>
        <r>
          <rPr>
            <b/>
            <sz val="9"/>
            <color indexed="81"/>
            <rFont val="Tahoma"/>
            <family val="2"/>
          </rPr>
          <t>Extrapolation between 2 studies</t>
        </r>
      </text>
    </comment>
    <comment ref="AM1" authorId="0" shapeId="0" xr:uid="{00000000-0006-0000-1000-000003000000}">
      <text>
        <r>
          <rPr>
            <b/>
            <sz val="9"/>
            <color indexed="81"/>
            <rFont val="Tahoma"/>
            <family val="2"/>
          </rPr>
          <t>Upper Leg Length, Butock to Popliteal Seated</t>
        </r>
      </text>
    </comment>
    <comment ref="B3" authorId="0" shapeId="0" xr:uid="{00000000-0006-0000-1000-000004000000}">
      <text>
        <r>
          <rPr>
            <b/>
            <sz val="9"/>
            <color indexed="81"/>
            <rFont val="Tahoma"/>
            <family val="2"/>
          </rPr>
          <t xml:space="preserve"> 1 = Include Data
 0 = Filter Out Data</t>
        </r>
      </text>
    </comment>
    <comment ref="B4" authorId="0" shapeId="0" xr:uid="{00000000-0006-0000-1000-000005000000}">
      <text>
        <r>
          <rPr>
            <b/>
            <sz val="9"/>
            <color indexed="81"/>
            <rFont val="Tahoma"/>
            <family val="2"/>
          </rPr>
          <t xml:space="preserve"> 1 = Include Data
 0 = Filter Out Data</t>
        </r>
      </text>
    </comment>
    <comment ref="B5" authorId="0" shapeId="0" xr:uid="{00000000-0006-0000-1000-000006000000}">
      <text>
        <r>
          <rPr>
            <b/>
            <sz val="9"/>
            <color indexed="81"/>
            <rFont val="Tahoma"/>
            <family val="2"/>
          </rPr>
          <t xml:space="preserve"> 1 = Include Data
 0 = Filter Out Data</t>
        </r>
      </text>
    </comment>
    <comment ref="B6" authorId="0" shapeId="0" xr:uid="{00000000-0006-0000-1000-000007000000}">
      <text>
        <r>
          <rPr>
            <b/>
            <sz val="9"/>
            <color indexed="81"/>
            <rFont val="Tahoma"/>
            <family val="2"/>
          </rPr>
          <t xml:space="preserve"> 1 = Include Data
 0 = Filter Out Data</t>
        </r>
      </text>
    </comment>
    <comment ref="B7" authorId="0" shapeId="0" xr:uid="{00000000-0006-0000-1000-000008000000}">
      <text>
        <r>
          <rPr>
            <b/>
            <sz val="9"/>
            <color indexed="81"/>
            <rFont val="Tahoma"/>
            <family val="2"/>
          </rPr>
          <t xml:space="preserve"> 1 = Include Data
 0 = Filter Out Data</t>
        </r>
      </text>
    </comment>
    <comment ref="B8" authorId="0" shapeId="0" xr:uid="{00000000-0006-0000-1000-000009000000}">
      <text>
        <r>
          <rPr>
            <b/>
            <sz val="9"/>
            <color indexed="81"/>
            <rFont val="Tahoma"/>
            <family val="2"/>
          </rPr>
          <t xml:space="preserve"> 1 = Include Data
 0 = Filter Out Data</t>
        </r>
      </text>
    </comment>
    <comment ref="B9" authorId="0" shapeId="0" xr:uid="{00000000-0006-0000-1000-00000A000000}">
      <text>
        <r>
          <rPr>
            <b/>
            <sz val="9"/>
            <color indexed="81"/>
            <rFont val="Tahoma"/>
            <family val="2"/>
          </rPr>
          <t xml:space="preserve"> 1 = Include Data
 0 = Filter Out Data</t>
        </r>
      </text>
    </comment>
    <comment ref="B10" authorId="0" shapeId="0" xr:uid="{00000000-0006-0000-1000-00000B000000}">
      <text>
        <r>
          <rPr>
            <b/>
            <sz val="9"/>
            <color indexed="81"/>
            <rFont val="Tahoma"/>
            <family val="2"/>
          </rPr>
          <t xml:space="preserve"> 1 = Include Data
 0 = Filter Out Data</t>
        </r>
      </text>
    </comment>
    <comment ref="B11" authorId="0" shapeId="0" xr:uid="{00000000-0006-0000-1000-00000C000000}">
      <text>
        <r>
          <rPr>
            <b/>
            <sz val="9"/>
            <color indexed="81"/>
            <rFont val="Tahoma"/>
            <family val="2"/>
          </rPr>
          <t xml:space="preserve"> 1 = Include Data
 0 = Filter Out Data</t>
        </r>
      </text>
    </comment>
    <comment ref="B12" authorId="0" shapeId="0" xr:uid="{00000000-0006-0000-1000-00000D000000}">
      <text>
        <r>
          <rPr>
            <b/>
            <sz val="9"/>
            <color indexed="81"/>
            <rFont val="Tahoma"/>
            <family val="2"/>
          </rPr>
          <t xml:space="preserve"> 1 = Include Data
 0 = Filter Out Data</t>
        </r>
      </text>
    </comment>
    <comment ref="B13" authorId="0" shapeId="0" xr:uid="{00000000-0006-0000-1000-00000E000000}">
      <text>
        <r>
          <rPr>
            <b/>
            <sz val="9"/>
            <color indexed="81"/>
            <rFont val="Tahoma"/>
            <family val="2"/>
          </rPr>
          <t xml:space="preserve"> 1 = Include Data
 0 = Filter Out Data</t>
        </r>
      </text>
    </comment>
    <comment ref="B14" authorId="0" shapeId="0" xr:uid="{00000000-0006-0000-1000-00000F000000}">
      <text>
        <r>
          <rPr>
            <b/>
            <sz val="9"/>
            <color indexed="81"/>
            <rFont val="Tahoma"/>
            <family val="2"/>
          </rPr>
          <t xml:space="preserve"> 1 = Include Data
 0 = Filter Out Data</t>
        </r>
      </text>
    </comment>
    <comment ref="B15" authorId="0" shapeId="0" xr:uid="{00000000-0006-0000-1000-000010000000}">
      <text>
        <r>
          <rPr>
            <b/>
            <sz val="9"/>
            <color indexed="81"/>
            <rFont val="Tahoma"/>
            <family val="2"/>
          </rPr>
          <t xml:space="preserve"> 1 = Include Data
 0 = Filter Out Data</t>
        </r>
      </text>
    </comment>
    <comment ref="B16" authorId="0" shapeId="0" xr:uid="{00000000-0006-0000-1000-000011000000}">
      <text>
        <r>
          <rPr>
            <b/>
            <sz val="9"/>
            <color indexed="81"/>
            <rFont val="Tahoma"/>
            <family val="2"/>
          </rPr>
          <t xml:space="preserve"> 1 = Include Data
 0 = Filter Out Data</t>
        </r>
      </text>
    </comment>
    <comment ref="W19" authorId="0" shapeId="0" xr:uid="{00000000-0006-0000-1000-000012000000}">
      <text>
        <r>
          <rPr>
            <b/>
            <sz val="9"/>
            <color indexed="81"/>
            <rFont val="Tahoma"/>
            <family val="2"/>
          </rPr>
          <t>See Biacromial Conversion Tab</t>
        </r>
      </text>
    </comment>
    <comment ref="AA19" authorId="0" shapeId="0" xr:uid="{00000000-0006-0000-1000-000013000000}">
      <text>
        <r>
          <rPr>
            <b/>
            <sz val="9"/>
            <color indexed="81"/>
            <rFont val="Tahoma"/>
            <family val="2"/>
          </rPr>
          <t>Extrapolation between 2 studies</t>
        </r>
      </text>
    </comment>
    <comment ref="AM19" authorId="0" shapeId="0" xr:uid="{00000000-0006-0000-1000-000014000000}">
      <text>
        <r>
          <rPr>
            <b/>
            <sz val="9"/>
            <color indexed="81"/>
            <rFont val="Tahoma"/>
            <family val="2"/>
          </rPr>
          <t>Upper Leg Length, Butock to Popliteal Seated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Steve Oltman</author>
  </authors>
  <commentList>
    <comment ref="B3" authorId="0" shapeId="0" xr:uid="{00000000-0006-0000-1100-000001000000}">
      <text>
        <r>
          <rPr>
            <b/>
            <sz val="9"/>
            <color indexed="81"/>
            <rFont val="Tahoma"/>
            <family val="2"/>
          </rPr>
          <t xml:space="preserve"> 1 = Include Data
 0 = Filter Out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Steve Oltman</author>
  </authors>
  <commentList>
    <comment ref="A10" authorId="0" shapeId="0" xr:uid="{00000000-0006-0000-1E00-000001000000}">
      <text>
        <r>
          <rPr>
            <b/>
            <sz val="8"/>
            <color indexed="81"/>
            <rFont val="Tahoma"/>
            <family val="2"/>
          </rPr>
          <t>Child</t>
        </r>
      </text>
    </comment>
    <comment ref="A11" authorId="0" shapeId="0" xr:uid="{00000000-0006-0000-1E00-000002000000}">
      <text>
        <r>
          <rPr>
            <b/>
            <sz val="8"/>
            <color indexed="81"/>
            <rFont val="Tahoma"/>
            <family val="2"/>
          </rPr>
          <t>Child</t>
        </r>
      </text>
    </comment>
    <comment ref="A12" authorId="0" shapeId="0" xr:uid="{00000000-0006-0000-1E00-000003000000}">
      <text>
        <r>
          <rPr>
            <b/>
            <sz val="8"/>
            <color indexed="81"/>
            <rFont val="Tahoma"/>
            <family val="2"/>
          </rPr>
          <t xml:space="preserve">65 - Child = CRS Wt
</t>
        </r>
      </text>
    </comment>
  </commentList>
</comments>
</file>

<file path=xl/sharedStrings.xml><?xml version="1.0" encoding="utf-8"?>
<sst xmlns="http://schemas.openxmlformats.org/spreadsheetml/2006/main" count="20923" uniqueCount="4327">
  <si>
    <t xml:space="preserve"> B Minimum Sitting height cm 95%ile</t>
  </si>
  <si>
    <t>C Minimum Shoulder breadth cm 95%ile</t>
  </si>
  <si>
    <t xml:space="preserve"> D Minimum Hip breadth cm 95%ile</t>
  </si>
  <si>
    <t>E2 Maximum Shoulder height cm 95%ile</t>
  </si>
  <si>
    <t xml:space="preserve">  A Stature cm ≤40</t>
  </si>
  <si>
    <t>February 27,  2014 New Standard Dynamic Dummy Usage Requirement Chart</t>
  </si>
  <si>
    <t>Weight kg/lb</t>
  </si>
  <si>
    <t>Height mm/in</t>
  </si>
  <si>
    <t>CFR Reference (below)</t>
  </si>
  <si>
    <t>Dummy</t>
  </si>
  <si>
    <t>Min</t>
  </si>
  <si>
    <t>Max</t>
  </si>
  <si>
    <t>None</t>
  </si>
  <si>
    <t>Premi</t>
  </si>
  <si>
    <t>1.8kg (4.0lb)</t>
  </si>
  <si>
    <t>S7.1.2(a)</t>
  </si>
  <si>
    <t>Newborn</t>
  </si>
  <si>
    <t>5kg (11lb)</t>
  </si>
  <si>
    <t>650mm (25in)</t>
  </si>
  <si>
    <t>S7.1.2(b)</t>
  </si>
  <si>
    <t>CRABI and Newborn</t>
  </si>
  <si>
    <t>5.1kg (11lb)</t>
  </si>
  <si>
    <t>10kg (22lb)</t>
  </si>
  <si>
    <t>651mm (25in)</t>
  </si>
  <si>
    <t>850mm (34in)</t>
  </si>
  <si>
    <t>S7.1.2(c)</t>
  </si>
  <si>
    <t>3yr HIII and CRABI</t>
  </si>
  <si>
    <t>10.1kg (22lb)</t>
  </si>
  <si>
    <t>18kg (40lb)</t>
  </si>
  <si>
    <t>851mm (34in)</t>
  </si>
  <si>
    <t>1100mm (43in)</t>
  </si>
  <si>
    <t>S7.1.2(d)</t>
  </si>
  <si>
    <t>6yr HIII or 6yr HII (US)</t>
  </si>
  <si>
    <t>18.1kg (40lb)</t>
  </si>
  <si>
    <t>22.7kg (50lb)</t>
  </si>
  <si>
    <t>1101mm (43in)</t>
  </si>
  <si>
    <t>1250mm (49.2in)</t>
  </si>
  <si>
    <t>S7.1.2(e)</t>
  </si>
  <si>
    <t>6yr HIII and 6yr HIII Wtd</t>
  </si>
  <si>
    <t>30 kg      (65 lb)</t>
  </si>
  <si>
    <t>S7.1.2(f)</t>
  </si>
  <si>
    <t>10yr HIII</t>
  </si>
  <si>
    <t>1251mm (49.2in)</t>
  </si>
  <si>
    <t>5th Female</t>
  </si>
  <si>
    <t>45.4 (100lb)</t>
  </si>
  <si>
    <t>1448mm (57in)</t>
  </si>
  <si>
    <t>Regulated</t>
  </si>
  <si>
    <t>Voluntary</t>
  </si>
  <si>
    <t>CFR-2012-title49-vol6-sec571-213</t>
  </si>
  <si>
    <t>* * * * *</t>
  </si>
  <si>
    <t>Federal Register / Vol. 77, No. 38 / Monday, February 27, 2012 / Rules and Regulations</t>
  </si>
  <si>
    <t>S7.1.2 Child restraints that are manufactured</t>
  </si>
  <si>
    <t>on or after August 1, 2005, are</t>
  </si>
  <si>
    <t>subject to the following provisions and</t>
  </si>
  <si>
    <t>S7.1.3.</t>
  </si>
  <si>
    <t>(a) A child restraint that is recommended</t>
  </si>
  <si>
    <t>by its manufacturer in accordance</t>
  </si>
  <si>
    <t>with S5.5 for use either by</t>
  </si>
  <si>
    <t>children in a specified mass range that</t>
  </si>
  <si>
    <t>includes any children having a mass of</t>
  </si>
  <si>
    <t>not greater than 5 kg, or by children in</t>
  </si>
  <si>
    <t>a specified height range that includes</t>
  </si>
  <si>
    <t>any children whose height is not greater</t>
  </si>
  <si>
    <t>than 650 mm, is tested with a newborn</t>
  </si>
  <si>
    <t>test dummy conforming to part</t>
  </si>
  <si>
    <t>572 subpart K.</t>
  </si>
  <si>
    <t>(b) A child restraint that is recommended</t>
  </si>
  <si>
    <t>includes any children having a mass</t>
  </si>
  <si>
    <t>greater than 5 but not greater than 10</t>
  </si>
  <si>
    <t>kg, or by children in a specified height</t>
  </si>
  <si>
    <t>range that includes any children whose</t>
  </si>
  <si>
    <t>height is greater than 650 mm but not</t>
  </si>
  <si>
    <t>greater than 850 mm, is tested with a</t>
  </si>
  <si>
    <t>newborn test dummy conforming to</t>
  </si>
  <si>
    <t>part 572 subpart K, and a 12-month-old</t>
  </si>
  <si>
    <t>test dummy conforming to part 572</t>
  </si>
  <si>
    <t>subpart R.</t>
  </si>
  <si>
    <t>(c) A child restraint that is recommended</t>
  </si>
  <si>
    <t>greater than 10 kg but not greater than</t>
  </si>
  <si>
    <t>18 kg, or by children in a specified</t>
  </si>
  <si>
    <t>height range that includes any children</t>
  </si>
  <si>
    <t>whose height is greater than 850 mm</t>
  </si>
  <si>
    <t>but not greater than 1100 mm, is tested</t>
  </si>
  <si>
    <t>with a 12-month-old test dummy conforming</t>
  </si>
  <si>
    <t>to part 572 subpart R, and a 3-</t>
  </si>
  <si>
    <t>year-old test dummy conforming to</t>
  </si>
  <si>
    <t>part 572 subpart P and S7.2, provided,</t>
  </si>
  <si>
    <t>however, that the 12-month-old dummy</t>
  </si>
  <si>
    <t>is not used to test a booster seat.</t>
  </si>
  <si>
    <t>(d) A child restraint that is</t>
  </si>
  <si>
    <t>recommended by its manufacturer in</t>
  </si>
  <si>
    <t>accordance with S5.5 for use either by</t>
  </si>
  <si>
    <t>greater than 18 kg (40 lb) but not greater</t>
  </si>
  <si>
    <t>than 22.7 (50 lb), or by children in a</t>
  </si>
  <si>
    <t>specified height range that includes any</t>
  </si>
  <si>
    <t>children whose height is greater than</t>
  </si>
  <si>
    <t>1100 mm but not greater than 1250 mm</t>
  </si>
  <si>
    <t>is tested with a 49 CFR part 572, subpart</t>
  </si>
  <si>
    <t>N dummy (Hybrid III 6-year-old</t>
  </si>
  <si>
    <t>dummy).</t>
  </si>
  <si>
    <t>(e) A child restraint that is</t>
  </si>
  <si>
    <t>greater than 22.7 kg (50 lb) but not</t>
  </si>
  <si>
    <t>greater than 30 kg (65 lb) or by children</t>
  </si>
  <si>
    <t>in a specified height range that includes</t>
  </si>
  <si>
    <t>any children whose height is greater</t>
  </si>
  <si>
    <t>than 1100 mm but not greater than 1250</t>
  </si>
  <si>
    <t>mm is tested with a 49 CFR part 572,</t>
  </si>
  <si>
    <t>subpart N dummy (Hybrid III 6-year-old</t>
  </si>
  <si>
    <t>dummy) and with a part 572, subpart S</t>
  </si>
  <si>
    <t>dummy (Hybrid III 6-year-old weighted</t>
  </si>
  <si>
    <t>(f) A child restraint that is</t>
  </si>
  <si>
    <t>than 1250 mm is tested with a 49 CFR</t>
  </si>
  <si>
    <t>part 572, subpart T dummy (Hybrid III</t>
  </si>
  <si>
    <t>10-year-old dummy).</t>
  </si>
  <si>
    <t>3yr</t>
  </si>
  <si>
    <t>6yr</t>
  </si>
  <si>
    <t>6yr wtd</t>
  </si>
  <si>
    <t>10yr</t>
  </si>
  <si>
    <t>Q0</t>
  </si>
  <si>
    <t>Q1</t>
  </si>
  <si>
    <t>Q1.5</t>
  </si>
  <si>
    <t>Q3</t>
  </si>
  <si>
    <t>Q6</t>
  </si>
  <si>
    <t>Q10</t>
  </si>
  <si>
    <t>H3 10yr</t>
  </si>
  <si>
    <t>H3 6yr Weighted</t>
  </si>
  <si>
    <t>H3 6yr or H2 6yr</t>
  </si>
  <si>
    <t>H3 3yr</t>
  </si>
  <si>
    <t>CRABI 12</t>
  </si>
  <si>
    <t>Subpart K Newborn</t>
  </si>
  <si>
    <t>LATCH</t>
  </si>
  <si>
    <t>Lb</t>
  </si>
  <si>
    <t>Kg</t>
  </si>
  <si>
    <t>Group0+</t>
  </si>
  <si>
    <t>Group 0</t>
  </si>
  <si>
    <t>Group 1</t>
  </si>
  <si>
    <t>Group 2</t>
  </si>
  <si>
    <t>Group 3</t>
  </si>
  <si>
    <t>Mass</t>
  </si>
  <si>
    <t>Shoulder Width</t>
  </si>
  <si>
    <t>Hip Width</t>
  </si>
  <si>
    <t>CRABI 18</t>
  </si>
  <si>
    <t>E1 Minimum Shoulder height cm 5%ile</t>
  </si>
  <si>
    <t>A-Stature</t>
  </si>
  <si>
    <t>B-Seated Ht</t>
  </si>
  <si>
    <t>E-Seated Shoulder</t>
  </si>
  <si>
    <t>ANTHROPOMETRY OF INFANTS, CHILDREN, AND YOUTHS TO AGE 18 FOR PRODUCT SAFETY DESIGN</t>
  </si>
  <si>
    <t>Prepared for the U.S. Consumer Product Safety Commission by the Highway Safety Research Institute - University of Michigan, Ann Arbor.</t>
  </si>
  <si>
    <t>Infant Measurements:</t>
  </si>
  <si>
    <t>(Ages 0 to 2 Months)</t>
  </si>
  <si>
    <t>(Ages 3 to 5 Months)</t>
  </si>
  <si>
    <t>(Ages 6 to 8 Months)</t>
  </si>
  <si>
    <t>(Ages 9 to 11 Months)</t>
  </si>
  <si>
    <t>(Ages 12 to 15 Months)</t>
  </si>
  <si>
    <t>(Ages 16 to 19 Months)</t>
  </si>
  <si>
    <t xml:space="preserve">(Ages 20 to 23 Months) </t>
  </si>
  <si>
    <t>Measurement:</t>
  </si>
  <si>
    <t>N:</t>
  </si>
  <si>
    <t>Mean:</t>
  </si>
  <si>
    <t>Std.</t>
  </si>
  <si>
    <t>Min.</t>
  </si>
  <si>
    <r>
      <t>5</t>
    </r>
    <r>
      <rPr>
        <b/>
        <vertAlign val="superscript"/>
        <sz val="11"/>
        <color theme="1"/>
        <rFont val="Calibri"/>
        <family val="2"/>
        <scheme val="minor"/>
      </rPr>
      <t>th</t>
    </r>
  </si>
  <si>
    <r>
      <t>50</t>
    </r>
    <r>
      <rPr>
        <b/>
        <vertAlign val="superscript"/>
        <sz val="11"/>
        <color theme="1"/>
        <rFont val="Calibri"/>
        <family val="2"/>
        <scheme val="minor"/>
      </rPr>
      <t>th</t>
    </r>
  </si>
  <si>
    <r>
      <t>95</t>
    </r>
    <r>
      <rPr>
        <b/>
        <vertAlign val="superscript"/>
        <sz val="11"/>
        <color theme="1"/>
        <rFont val="Calibri"/>
        <family val="2"/>
        <scheme val="minor"/>
      </rPr>
      <t>th</t>
    </r>
  </si>
  <si>
    <t>Max.</t>
  </si>
  <si>
    <t>Weight:</t>
  </si>
  <si>
    <t>**</t>
  </si>
  <si>
    <t>Crown - Sole Length:</t>
  </si>
  <si>
    <t>Crown - Rump Length:</t>
  </si>
  <si>
    <t>Head Circumference:</t>
  </si>
  <si>
    <t>Head Breadth:</t>
  </si>
  <si>
    <t>Head Length:</t>
  </si>
  <si>
    <t>Shoulder Breadth:</t>
  </si>
  <si>
    <t>Shoulder  - Elbow Length:</t>
  </si>
  <si>
    <t>Upper Arm Circumference:</t>
  </si>
  <si>
    <t>Elbow - Hand Length:</t>
  </si>
  <si>
    <t>Forearm Circumference:</t>
  </si>
  <si>
    <t>Wrist Circumference:</t>
  </si>
  <si>
    <t>Hand Length:</t>
  </si>
  <si>
    <t>Hand Breadth:</t>
  </si>
  <si>
    <t>Minimum Hand Clearence:</t>
  </si>
  <si>
    <t>Maximum Fist Breadth:</t>
  </si>
  <si>
    <t>Thumb Diameter:</t>
  </si>
  <si>
    <t>Middle Finger Diameter:</t>
  </si>
  <si>
    <t>Chest Circumference:</t>
  </si>
  <si>
    <t>Chest Breadth:</t>
  </si>
  <si>
    <t>Waist Circumference:</t>
  </si>
  <si>
    <t>Waist Breadth:</t>
  </si>
  <si>
    <t>Rump - Sole Length:</t>
  </si>
  <si>
    <t>Rump - Knee Length:</t>
  </si>
  <si>
    <t>Hip Circumference:</t>
  </si>
  <si>
    <t>Hip Breadth:</t>
  </si>
  <si>
    <t>Mid Thigh Circumference:</t>
  </si>
  <si>
    <t>Mid Thigh Depth:</t>
  </si>
  <si>
    <t>Knee - Sole Length:</t>
  </si>
  <si>
    <t>Calf Circumference:</t>
  </si>
  <si>
    <t>Ankle Circumference:</t>
  </si>
  <si>
    <t>Ankle Breadth:</t>
  </si>
  <si>
    <t>Foot Length:</t>
  </si>
  <si>
    <t>Foot Breadth:</t>
  </si>
  <si>
    <t>CRABI</t>
  </si>
  <si>
    <t>Column1</t>
  </si>
  <si>
    <t>Name</t>
  </si>
  <si>
    <t>Female/Male</t>
  </si>
  <si>
    <t>Age</t>
  </si>
  <si>
    <t>Stature (in)</t>
  </si>
  <si>
    <t>Stature (cm)</t>
  </si>
  <si>
    <t>Shoulder Height (in)</t>
  </si>
  <si>
    <t>Shoulder Height (cm)</t>
  </si>
  <si>
    <t>Arm Length</t>
  </si>
  <si>
    <t xml:space="preserve">Reach </t>
  </si>
  <si>
    <t>Unbuckle Chest Clip</t>
  </si>
  <si>
    <t>Unbuckle Crotch Buckle</t>
  </si>
  <si>
    <t>Finger Length</t>
  </si>
  <si>
    <t>Note:</t>
  </si>
  <si>
    <t>Kate (took photo after)</t>
  </si>
  <si>
    <t>Female</t>
  </si>
  <si>
    <t>N/A</t>
  </si>
  <si>
    <t>Jiulianna</t>
  </si>
  <si>
    <t>Easton</t>
  </si>
  <si>
    <t>Male</t>
  </si>
  <si>
    <t>Biynn</t>
  </si>
  <si>
    <t>No</t>
  </si>
  <si>
    <t>Blake</t>
  </si>
  <si>
    <t>Hayleigh</t>
  </si>
  <si>
    <t>Yes</t>
  </si>
  <si>
    <t>Conor</t>
  </si>
  <si>
    <t>Caleb</t>
  </si>
  <si>
    <t>Joel</t>
  </si>
  <si>
    <t>Henry</t>
  </si>
  <si>
    <t>Jack</t>
  </si>
  <si>
    <t>2.75"</t>
  </si>
  <si>
    <t>The shoulder Height on Transformer fell too low</t>
  </si>
  <si>
    <t>Hip Width (cm)</t>
  </si>
  <si>
    <t>Shoulder Width (cm)</t>
  </si>
  <si>
    <t>Seated Stature (cm)</t>
  </si>
  <si>
    <t>0-3 mo</t>
  </si>
  <si>
    <t>.5yr</t>
  </si>
  <si>
    <t>1 yr</t>
  </si>
  <si>
    <t>1.5 yr</t>
  </si>
  <si>
    <t>2 yr</t>
  </si>
  <si>
    <t>2.5 yr</t>
  </si>
  <si>
    <t>3 yr</t>
  </si>
  <si>
    <t>3.5 yr</t>
  </si>
  <si>
    <t>4 yr</t>
  </si>
  <si>
    <t>5 yr</t>
  </si>
  <si>
    <t>6 yr</t>
  </si>
  <si>
    <t>7 yr</t>
  </si>
  <si>
    <t>8yr</t>
  </si>
  <si>
    <t>9 yr</t>
  </si>
  <si>
    <t>10 yr</t>
  </si>
  <si>
    <t>UMTRI Seated 5th</t>
  </si>
  <si>
    <t>UMTRI Seated Mean</t>
  </si>
  <si>
    <t>UMTRI Seated 95th</t>
  </si>
  <si>
    <t>Row 6</t>
  </si>
  <si>
    <t>Row 5</t>
  </si>
  <si>
    <t>Row 4</t>
  </si>
  <si>
    <t>Row 3</t>
  </si>
  <si>
    <t>Row 2</t>
  </si>
  <si>
    <t>Row 1</t>
  </si>
  <si>
    <t>Row 12</t>
  </si>
  <si>
    <t>Row 11</t>
  </si>
  <si>
    <t>Row 10</t>
  </si>
  <si>
    <t>Row 9</t>
  </si>
  <si>
    <t>Row 8</t>
  </si>
  <si>
    <t>Row 7</t>
  </si>
  <si>
    <t>UMTRI Shortest</t>
  </si>
  <si>
    <t>R129 Tallest</t>
  </si>
  <si>
    <t>Back Height</t>
  </si>
  <si>
    <t>4 Harness slots Harness Height</t>
  </si>
  <si>
    <t>5 Harness slots Harness Height</t>
  </si>
  <si>
    <t>6 Harness slots Harness Height</t>
  </si>
  <si>
    <t>7 Harness slots Harness Height</t>
  </si>
  <si>
    <t>8 Harness slots Harness Height</t>
  </si>
  <si>
    <t>9 Harness slots Harness Height</t>
  </si>
  <si>
    <t>10 Harness slots Harness Height</t>
  </si>
  <si>
    <t>11 Harness slots Harness Height</t>
  </si>
  <si>
    <t>12 Harness slots Harness Height</t>
  </si>
  <si>
    <t>4 Harness Slots Neck Gap Breadth</t>
  </si>
  <si>
    <t>5 Harness Slots Neck Gap Breadth</t>
  </si>
  <si>
    <t>6 Harness Slots Neck Gap Breadth</t>
  </si>
  <si>
    <t>7 Harness Slots Neck Gap Breadth</t>
  </si>
  <si>
    <t>8 Harness Slots Neck Gap Breadth</t>
  </si>
  <si>
    <t>9 Harness Slots Neck Gap Breadth</t>
  </si>
  <si>
    <t>10 Harness Slots Neck Gap Breadth</t>
  </si>
  <si>
    <t>11 Harness Slots Neck Gap Breadth</t>
  </si>
  <si>
    <t>12 Harness Slots Neck Gap Breadth</t>
  </si>
  <si>
    <t>HIII-3yr</t>
  </si>
  <si>
    <t>HIII-6yr</t>
  </si>
  <si>
    <t>HIII-6yr wtd</t>
  </si>
  <si>
    <t>HIII-10yr</t>
  </si>
  <si>
    <t>4 Hip Breadth Slots on Center</t>
  </si>
  <si>
    <t>4 Crotch Slots Back to Front</t>
  </si>
  <si>
    <t>ATD Spec</t>
  </si>
  <si>
    <t>Use in Test</t>
  </si>
  <si>
    <t>ATD Shoulder Height</t>
  </si>
  <si>
    <t>Right Out</t>
  </si>
  <si>
    <t>Right In</t>
  </si>
  <si>
    <t>Left In</t>
  </si>
  <si>
    <t>Left Out</t>
  </si>
  <si>
    <t>Crotch Row (h)</t>
  </si>
  <si>
    <t>Harness Row (h)</t>
  </si>
  <si>
    <t>6mo</t>
  </si>
  <si>
    <t>Shoulder Height</t>
  </si>
  <si>
    <t>Shoulder Breadth</t>
  </si>
  <si>
    <t>Pelvic Depth</t>
  </si>
  <si>
    <t>C Minimum Shoulder breadth cm 95%ile Left</t>
  </si>
  <si>
    <t>C Minimum Shoulder breadth cm 95%ile Right</t>
  </si>
  <si>
    <t>5th</t>
  </si>
  <si>
    <t>95th</t>
  </si>
  <si>
    <t>Hip Slot</t>
  </si>
  <si>
    <t>Crotch Slot</t>
  </si>
  <si>
    <t>M</t>
  </si>
  <si>
    <t>H</t>
  </si>
  <si>
    <t>L</t>
  </si>
  <si>
    <t>X</t>
  </si>
  <si>
    <t>y</t>
  </si>
  <si>
    <t>Neck Breadth</t>
  </si>
  <si>
    <t>Stature Upper</t>
  </si>
  <si>
    <t>Stature Lower</t>
  </si>
  <si>
    <t>Head Breadth 5th</t>
  </si>
  <si>
    <t>Head Breadth Mean</t>
  </si>
  <si>
    <t>head Breadth 95th</t>
  </si>
  <si>
    <t>Ear Breadth 5th</t>
  </si>
  <si>
    <t>Ear Breadth Mean</t>
  </si>
  <si>
    <t>Ear Breadth 95th</t>
  </si>
  <si>
    <t>Chin Breadth 5th</t>
  </si>
  <si>
    <t>Chin Breadth Mean</t>
  </si>
  <si>
    <t>Chin Breadth 95th</t>
  </si>
  <si>
    <t xml:space="preserve"> Mid Ear X Height From Chin 5th</t>
  </si>
  <si>
    <t xml:space="preserve"> Mid Ear X Height From Chin Mean</t>
  </si>
  <si>
    <t xml:space="preserve"> Mid Ear X Height From Chin  95th</t>
  </si>
  <si>
    <t>Locate Mid Ear Y Breadth 5th</t>
  </si>
  <si>
    <t>Locate Mid Ear Y Breadth Mean</t>
  </si>
  <si>
    <t>Locate Mid Ear Y Breadth 95th</t>
  </si>
  <si>
    <t>Locate Head X Chin Height 5th</t>
  </si>
  <si>
    <t>Locate Head X Chin Height Mean</t>
  </si>
  <si>
    <t>Locate Head X Chin Height 95th</t>
  </si>
  <si>
    <t>Shoulder Right</t>
  </si>
  <si>
    <t>Shoulder Left</t>
  </si>
  <si>
    <t>Top of Head 5th</t>
  </si>
  <si>
    <t>Top of Head Mean</t>
  </si>
  <si>
    <t>Top of Head 95th</t>
  </si>
  <si>
    <t>Breadth of Head 5th Left</t>
  </si>
  <si>
    <t>Breadth of Head Mean Left</t>
  </si>
  <si>
    <t>Breadth of Head 95th Left</t>
  </si>
  <si>
    <t>Chin Y Breadth 5th Left</t>
  </si>
  <si>
    <t>Chin Y Breadth Mean Left</t>
  </si>
  <si>
    <t>Chin y Breadth 95th Right</t>
  </si>
  <si>
    <t>Chin y Breadth 95th Left</t>
  </si>
  <si>
    <t>Locate Mid Ear Y Breadth 5th Left</t>
  </si>
  <si>
    <t>Locate Mid Ear Y Breadth Mean Left</t>
  </si>
  <si>
    <t>Locate Mid Ear Y Breadth 95th Left</t>
  </si>
  <si>
    <t>a</t>
  </si>
  <si>
    <t>b</t>
  </si>
  <si>
    <t>c</t>
  </si>
  <si>
    <t>d</t>
  </si>
  <si>
    <t>e</t>
  </si>
  <si>
    <t>f</t>
  </si>
  <si>
    <t>g</t>
  </si>
  <si>
    <t>h</t>
  </si>
  <si>
    <t>Chin Head Height 5th</t>
  </si>
  <si>
    <t>Chin Head Height Mean</t>
  </si>
  <si>
    <t>Chin Head Height 95th</t>
  </si>
  <si>
    <t>Weight Upper</t>
  </si>
  <si>
    <t>Weight Lower</t>
  </si>
  <si>
    <t>Neck Breadth Max</t>
  </si>
  <si>
    <t>Neck Breadth Min</t>
  </si>
  <si>
    <t>Hip Breadth Max</t>
  </si>
  <si>
    <t>Hip Breadth Min</t>
  </si>
  <si>
    <t>Shoulders Max</t>
  </si>
  <si>
    <t>Shoulders Min</t>
  </si>
  <si>
    <t>Crotch Depth Min</t>
  </si>
  <si>
    <t>Crotch Depth Max</t>
  </si>
  <si>
    <t>Auto Dummies</t>
  </si>
  <si>
    <t>1/0</t>
  </si>
  <si>
    <t>Q10.5</t>
  </si>
  <si>
    <t>Stature Min</t>
  </si>
  <si>
    <t>Stature Max</t>
  </si>
  <si>
    <t>Weight Min</t>
  </si>
  <si>
    <t>Weight Max</t>
  </si>
  <si>
    <t>US</t>
  </si>
  <si>
    <t>R129</t>
  </si>
  <si>
    <t>Flag Stature</t>
  </si>
  <si>
    <t>Flag Weight</t>
  </si>
  <si>
    <t>@uth0red</t>
  </si>
  <si>
    <t>St3ph3n 0ltm@n</t>
  </si>
  <si>
    <t>C0lumbus, 1N 472O1</t>
  </si>
  <si>
    <t>R</t>
  </si>
  <si>
    <t>B</t>
  </si>
  <si>
    <t>Kate</t>
  </si>
  <si>
    <t>Weight (kg)</t>
  </si>
  <si>
    <t>Weight (lb)</t>
  </si>
  <si>
    <t>Shoulder Width (in)</t>
  </si>
  <si>
    <t>Hip Width (in)</t>
  </si>
  <si>
    <t>Bottom to Head Height (in)</t>
  </si>
  <si>
    <t>Bottom to Shoulder Height (in0</t>
  </si>
  <si>
    <t>Zero</t>
  </si>
  <si>
    <t>Mean (ave)</t>
  </si>
  <si>
    <t>IIHS Zone</t>
  </si>
  <si>
    <t>Hip Pattern (V/0)</t>
  </si>
  <si>
    <t>Plot Harness Slots</t>
  </si>
  <si>
    <t>Button Hole Count</t>
  </si>
  <si>
    <t>REF OUTPUTS</t>
  </si>
  <si>
    <t>Thigh Width Plot Right 5th</t>
  </si>
  <si>
    <t>Thigh Width Plot Right Mean</t>
  </si>
  <si>
    <t>Thigh Width Plot Right 95th</t>
  </si>
  <si>
    <t>Thigh Plot Mean</t>
  </si>
  <si>
    <t>Thigh Plot 5th</t>
  </si>
  <si>
    <t>Thigh Plot 95th</t>
  </si>
  <si>
    <t>Right Thigh</t>
  </si>
  <si>
    <t>Left Thigh</t>
  </si>
  <si>
    <t>Hip Slots (1/0)</t>
  </si>
  <si>
    <t>Hip Vert Tune (+/-)</t>
  </si>
  <si>
    <t>Crotch Slots (1-4)</t>
  </si>
  <si>
    <t>Harness Tune (%)</t>
  </si>
  <si>
    <t>Hip Slots</t>
  </si>
  <si>
    <t>Crotch Slots</t>
  </si>
  <si>
    <t>Show Anthro Thighs</t>
  </si>
  <si>
    <t>X axis Zero</t>
  </si>
  <si>
    <t>Point 1</t>
  </si>
  <si>
    <t>Point 2</t>
  </si>
  <si>
    <t>Point 3</t>
  </si>
  <si>
    <t>Point 4</t>
  </si>
  <si>
    <t>Point 5</t>
  </si>
  <si>
    <t>Point 6</t>
  </si>
  <si>
    <t>Harness</t>
  </si>
  <si>
    <t>Thigh Width Plot Right Min Outer Edge</t>
  </si>
  <si>
    <t>Thigh Width Plot Left Min Outer Edge</t>
  </si>
  <si>
    <t>Thigh Width Plot Right Max Outer Edge</t>
  </si>
  <si>
    <t>Thigh Width Plot Left Max Outer Edge</t>
  </si>
  <si>
    <t>Plot Harness Webbing</t>
  </si>
  <si>
    <t>Chest Clip Max</t>
  </si>
  <si>
    <t>Crotch Strap Max</t>
  </si>
  <si>
    <t>Plot</t>
  </si>
  <si>
    <t>Mean</t>
  </si>
  <si>
    <t>V</t>
  </si>
  <si>
    <t>Segment 1-2</t>
  </si>
  <si>
    <t>Segment 2-3</t>
  </si>
  <si>
    <t>Segment 3-4</t>
  </si>
  <si>
    <t>Segment 4-5</t>
  </si>
  <si>
    <t>Segment 5-6</t>
  </si>
  <si>
    <t>Point 7</t>
  </si>
  <si>
    <t>Segment 6-7</t>
  </si>
  <si>
    <t>Segment 7-8</t>
  </si>
  <si>
    <t>Point 8</t>
  </si>
  <si>
    <t>Segment 0-1</t>
  </si>
  <si>
    <t>Segment 7-9</t>
  </si>
  <si>
    <t>cm</t>
  </si>
  <si>
    <t>in</t>
  </si>
  <si>
    <t>Point 0</t>
  </si>
  <si>
    <t>Find Minimums and Maximums on Applicable</t>
  </si>
  <si>
    <t>Harness Min/Max</t>
  </si>
  <si>
    <r>
      <t>Harness Style (</t>
    </r>
    <r>
      <rPr>
        <b/>
        <sz val="10"/>
        <color rgb="FFFF0000"/>
        <rFont val="Calibri"/>
        <family val="2"/>
      </rPr>
      <t xml:space="preserve">1 or 2 </t>
    </r>
    <r>
      <rPr>
        <b/>
        <sz val="10"/>
        <rFont val="Calibri"/>
        <family val="2"/>
      </rPr>
      <t>pc)</t>
    </r>
  </si>
  <si>
    <t>Calculations</t>
  </si>
  <si>
    <t>Pythagorean Theorem</t>
  </si>
  <si>
    <t>Coordinates</t>
  </si>
  <si>
    <t>Harness Style</t>
  </si>
  <si>
    <t>B62</t>
  </si>
  <si>
    <t>B63</t>
  </si>
  <si>
    <t>Harness Segment Length Plot</t>
  </si>
  <si>
    <t>Harness Max - Min Length Calculations</t>
  </si>
  <si>
    <t>Top</t>
  </si>
  <si>
    <t>Left</t>
  </si>
  <si>
    <t>Bottom</t>
  </si>
  <si>
    <t>Right</t>
  </si>
  <si>
    <t>Locate CFA Plot</t>
  </si>
  <si>
    <t>Locate Splitter Plate Plot</t>
  </si>
  <si>
    <t>Buckle y axis Plot</t>
  </si>
  <si>
    <t>Chest Clip y axis Plot</t>
  </si>
  <si>
    <t>Loop Style x axis Plot</t>
  </si>
  <si>
    <t>x</t>
  </si>
  <si>
    <t>Inner Shell Surface Perimeter Plot</t>
  </si>
  <si>
    <t>`</t>
  </si>
  <si>
    <t>Harness Length</t>
  </si>
  <si>
    <t>Cost Impacts Estimates</t>
  </si>
  <si>
    <t>Harness Min(0) / Max(1)</t>
  </si>
  <si>
    <t>Harness Cost Est.</t>
  </si>
  <si>
    <t>Match Slots to Children (1) or Dummies (0)</t>
  </si>
  <si>
    <t>Weight Steenbekkers (Netherlands) 1993</t>
  </si>
  <si>
    <t>Stature Steenbekkers (Netherlands) 1993</t>
  </si>
  <si>
    <t>Seated Stature Steenbekkers (Netherlands) 1993</t>
  </si>
  <si>
    <t>Seated Shoulder Steenbekkers (Netherlands) 1993</t>
  </si>
  <si>
    <t>Hip Breadth Steenbekkers (Netherlands) 1993</t>
  </si>
  <si>
    <t>Shoulder Breadth Steenbekkers (Neatherland) 1993</t>
  </si>
  <si>
    <t>Abdominal Depth Pheasent (UK) 1988</t>
  </si>
  <si>
    <t>Chest Depth Steenbekkers (Netherlands) 1993</t>
  </si>
  <si>
    <t>Seat Pan Depth Steenbekkers (Netherlands) 1993</t>
  </si>
  <si>
    <t>Thigh Height Steenbekkers (Netherlands) 1993</t>
  </si>
  <si>
    <t>0-2 mo</t>
  </si>
  <si>
    <t>3-5 mo</t>
  </si>
  <si>
    <t>6-8 mo</t>
  </si>
  <si>
    <t>9-11 mo</t>
  </si>
  <si>
    <t>12-14 mo</t>
  </si>
  <si>
    <t>Include US Child Data</t>
  </si>
  <si>
    <t>Include EU Child Data</t>
  </si>
  <si>
    <t>Include China Child Data</t>
  </si>
  <si>
    <t>Neck Breadth BSI (UK) 1990</t>
  </si>
  <si>
    <t>Region Child Data</t>
  </si>
  <si>
    <t>EU Chest Depth Right 5th</t>
  </si>
  <si>
    <t>EU Chest Depth Right Mean</t>
  </si>
  <si>
    <t>EU Chest Depth Right 95th</t>
  </si>
  <si>
    <t>EU Hip Breadth 5th RIght</t>
  </si>
  <si>
    <t>EU Hip Breadth Mean RIght</t>
  </si>
  <si>
    <t>EU Hip Breadth 95th rIght</t>
  </si>
  <si>
    <t>EU Hip Breadth 5th Left</t>
  </si>
  <si>
    <t>EU Hip Breadth Mean Left</t>
  </si>
  <si>
    <t>EU Hip Breadth 95th Left</t>
  </si>
  <si>
    <t>EU Shoulder Breadth 5th RIght</t>
  </si>
  <si>
    <t>EU Shoulder Breadth Mean RIght</t>
  </si>
  <si>
    <t>EU Shoulder Breadth 95th RIght</t>
  </si>
  <si>
    <t>EU Shoulder Breadth 5th Left</t>
  </si>
  <si>
    <t>EU Shoulder Breadth Mean Left</t>
  </si>
  <si>
    <t>EU Shoulder Breadth 95th Left</t>
  </si>
  <si>
    <t>EU Neck Breadth 5th RIght</t>
  </si>
  <si>
    <t>EU Neck Breadth Mean RIght</t>
  </si>
  <si>
    <t>EU Neck Breadth 95th RIght</t>
  </si>
  <si>
    <t>EU Neck Breadth 5th Left</t>
  </si>
  <si>
    <t>EU Neck Breadth Mean Left</t>
  </si>
  <si>
    <t>EU Neck Breadth 95th Left</t>
  </si>
  <si>
    <t>Bideltoid</t>
  </si>
  <si>
    <t>Biacromial</t>
  </si>
  <si>
    <t>Pheasant 1988</t>
  </si>
  <si>
    <t>std dev</t>
  </si>
  <si>
    <t>Show Harness Slots (1/0)</t>
  </si>
  <si>
    <t>Data Percentiles</t>
  </si>
  <si>
    <t>US Weight</t>
  </si>
  <si>
    <t>US Height</t>
  </si>
  <si>
    <t>US Seated</t>
  </si>
  <si>
    <t>US Shoulder Seated</t>
  </si>
  <si>
    <t>US Hip Breadth</t>
  </si>
  <si>
    <t>US Shoulder Breadth</t>
  </si>
  <si>
    <t>US Abdominal Depth</t>
  </si>
  <si>
    <t>US Neck Breadth</t>
  </si>
  <si>
    <t>US Seated Knee to Heel</t>
  </si>
  <si>
    <t>US Seat Pan Depth</t>
  </si>
  <si>
    <t>US Thigh Height</t>
  </si>
  <si>
    <t>US Seated Back to Heel</t>
  </si>
  <si>
    <t>US Seated Back to Knee</t>
  </si>
  <si>
    <t>Back to Heel Steenbekkers (Netherlands) 1993</t>
  </si>
  <si>
    <t>Back to Knee Steenbekkers (Netherlands) 1993</t>
  </si>
  <si>
    <t>Seated Knee to Heel Steenbekkers (Netherlands) 1993</t>
  </si>
  <si>
    <t>US Hip Breadth Right</t>
  </si>
  <si>
    <t>US Hip Breadth Left</t>
  </si>
  <si>
    <t>US Shoulder Breadth Right</t>
  </si>
  <si>
    <t>US Shoulder Breadth Left</t>
  </si>
  <si>
    <t>US Neck Breadth Right</t>
  </si>
  <si>
    <t>US Neck Breadth Left</t>
  </si>
  <si>
    <t>US Chest Depth</t>
  </si>
  <si>
    <t>Big Plot Weight</t>
  </si>
  <si>
    <t>Big Plot Height</t>
  </si>
  <si>
    <t>Big Plot Seated</t>
  </si>
  <si>
    <t>Big Plot Shoulder Seated</t>
  </si>
  <si>
    <t>Big Plot Hip Breadth</t>
  </si>
  <si>
    <t>Big Plot Shoulder Breadth</t>
  </si>
  <si>
    <t>Big Plot Abdominal Depth</t>
  </si>
  <si>
    <t>Big Plot Neck Breadth</t>
  </si>
  <si>
    <t>Big Plot Chest Depth</t>
  </si>
  <si>
    <t>Big Plot Seat Pan Depth</t>
  </si>
  <si>
    <t>Big Plot Thigh Height</t>
  </si>
  <si>
    <t>Big Plot Seated Back to Heel</t>
  </si>
  <si>
    <t>Big Plot Seated Back to Knee</t>
  </si>
  <si>
    <t>Big Plot Seated Knee to Heel</t>
  </si>
  <si>
    <t>Big Plot Hip Breadth Right</t>
  </si>
  <si>
    <t>Big Plot Hip Breadth Left</t>
  </si>
  <si>
    <t>Big Plot Shoulder Breadth Right</t>
  </si>
  <si>
    <t>Big Plot Shoulder Breadth Left</t>
  </si>
  <si>
    <t>Big Plot Neck Breadth Right</t>
  </si>
  <si>
    <t>Big Plot Neck Breadth Left</t>
  </si>
  <si>
    <t>Plot Thighs</t>
  </si>
  <si>
    <t>S</t>
  </si>
  <si>
    <t>S(x)</t>
  </si>
  <si>
    <t>AQ(y)</t>
  </si>
  <si>
    <t>T(x)</t>
  </si>
  <si>
    <t>AR(y)</t>
  </si>
  <si>
    <t>U(x)</t>
  </si>
  <si>
    <t>AS(y)</t>
  </si>
  <si>
    <t>Add/Subtract Shell Height</t>
  </si>
  <si>
    <t>N°</t>
  </si>
  <si>
    <t>Issued date</t>
  </si>
  <si>
    <t>Version</t>
  </si>
  <si>
    <t>Revision date</t>
  </si>
  <si>
    <t>Scope :</t>
  </si>
  <si>
    <t>Status</t>
  </si>
  <si>
    <t>Global</t>
  </si>
  <si>
    <r>
      <t xml:space="preserve">Function
</t>
    </r>
    <r>
      <rPr>
        <sz val="9"/>
        <color theme="1"/>
        <rFont val="Calibri"/>
        <family val="2"/>
      </rPr>
      <t>(Group of tests)</t>
    </r>
  </si>
  <si>
    <r>
      <t xml:space="preserve">Test 
</t>
    </r>
    <r>
      <rPr>
        <sz val="9"/>
        <color theme="1"/>
        <rFont val="Calibri"/>
        <family val="2"/>
      </rPr>
      <t>(Test title)</t>
    </r>
  </si>
  <si>
    <t>Test description</t>
  </si>
  <si>
    <t>Associated risk</t>
    <phoneticPr fontId="16" type="noConversion"/>
  </si>
  <si>
    <t>Success criteria Before testing</t>
  </si>
  <si>
    <t>Success criteria After testing</t>
  </si>
  <si>
    <t>Rationale</t>
  </si>
  <si>
    <t>Failure</t>
  </si>
  <si>
    <t>OPP</t>
  </si>
  <si>
    <t>MPP</t>
  </si>
  <si>
    <t>HPP</t>
  </si>
  <si>
    <t>EU</t>
  </si>
  <si>
    <t>CH</t>
  </si>
  <si>
    <t>FMVSS</t>
  </si>
  <si>
    <t>CMVSS</t>
  </si>
  <si>
    <t xml:space="preserve">Groups of child restraint </t>
    <phoneticPr fontId="16" type="noConversion"/>
  </si>
  <si>
    <t>Mass Groups</t>
    <phoneticPr fontId="17" type="noConversion"/>
  </si>
  <si>
    <t>See GB27887 Part 4.1.1</t>
  </si>
  <si>
    <t>GB27887</t>
    <phoneticPr fontId="17" type="noConversion"/>
  </si>
  <si>
    <t>Child Fit</t>
  </si>
  <si>
    <t>C</t>
  </si>
  <si>
    <t xml:space="preserve">Groups of child restraint </t>
  </si>
  <si>
    <t>Child Selection for CRS</t>
    <phoneticPr fontId="16" type="noConversion"/>
  </si>
  <si>
    <t>See ECE R129 Part 6.1.2.3</t>
  </si>
  <si>
    <t>6.1.2.3 For children under the age of 15 months only lateral facing or rearward facing Enhanced Child Restraint System shall be used.</t>
    <phoneticPr fontId="16" type="noConversion"/>
  </si>
  <si>
    <t>See ECE R129 Part 6.1.2.3(a)</t>
  </si>
  <si>
    <t>6.1.2.3(a)A rearward facing Enhanced Child Restraint System designed for children up to 15 months of age shall accommodate a child with a stature up to 83 cm(32.7 in) as a minimum;</t>
    <phoneticPr fontId="16" type="noConversion"/>
  </si>
  <si>
    <t>See ECE R129 Part 6.1.2.3(b)</t>
  </si>
  <si>
    <t>6.1.2.3(b)A forward facing Enhanced Child Restraint System shall not be designed to accommodate a stature below 76 cm(30 in);</t>
    <phoneticPr fontId="16" type="noConversion"/>
  </si>
  <si>
    <t>See ECE R129 Part 6.1.2.3(c)</t>
  </si>
  <si>
    <t>6.1.2.3(c)A convertible seat in its rearward facing configuration shall be able to accommodate a child with a stature up to 83 cm(32.7 in). This shall not preclude a child stature greater than 83 cm(32.7 in).</t>
    <phoneticPr fontId="16" type="noConversion"/>
  </si>
  <si>
    <t>The use of rearward facing Enhanced Child Restraint System may be applied to any age of child.</t>
  </si>
  <si>
    <t>See ECE R129 Part 6.1.3.3</t>
    <phoneticPr fontId="16" type="noConversion"/>
  </si>
  <si>
    <t>6.1.3.3.For non-integral Enhanced Child Restraint Systems, type approval shall not be granted for a stature below 100 cm. Non-integral Enhanced Child Restraint Systems shall not be declared for use below a stature of 100 cm.</t>
  </si>
  <si>
    <t xml:space="preserve">Non integral ECRS shall not be approved with an upper stature limit of 105 cm or below. </t>
  </si>
  <si>
    <t xml:space="preserve">Booster seats shall insure lateral protection of the child as described in paragraph 7.1.3.1.3. up to a stature of 135 cm. </t>
  </si>
  <si>
    <t xml:space="preserve">ECRS shall accommodate an uninterrupted range of child statures. </t>
  </si>
  <si>
    <t>Note:For example, a booster seat shall not accommodate children of 100 cm to 130 cm and then children of 140 cm to 150 cm with an "interruption".</t>
  </si>
  <si>
    <t>CRS misuse for Sled Test</t>
    <phoneticPr fontId="16" type="noConversion"/>
  </si>
  <si>
    <t>See GB27887 Part 5.1.4.1.10</t>
  </si>
  <si>
    <t xml:space="preserve">5.1.4.1.10. In the case of a child restraint making use of an ISOFIX anchorage system and anti-rotation device, if any, the dynamic test shall be carried out. </t>
    <phoneticPr fontId="16" type="noConversion"/>
  </si>
  <si>
    <t>See GB27887 Part 5.1.4.1.10.1</t>
  </si>
  <si>
    <t>5.1.4.1.10.1 For ISOFIX CRS of size classes A and B, test shall be carried out according to Articles 5.1.4.1.10.1.1 and 5.1.4.1.10.1.2</t>
    <phoneticPr fontId="16" type="noConversion"/>
  </si>
  <si>
    <t>See GB27887 Part 5.1.4.1.10.1.1</t>
  </si>
  <si>
    <t xml:space="preserve">5.1.4.1.10.1.1  Dynamic test is carried out with the anti-rotation device in use. </t>
    <phoneticPr fontId="16" type="noConversion"/>
  </si>
  <si>
    <t>See GB27887 Part 5.1.4.1.10.1.2</t>
  </si>
  <si>
    <t>5.1.4.1.10.1.2  Dynamic test is carried out without the anti-rotation device in use. This requirement does not apply when a permanent and non-adjustable support leg is used as an anti-rotation device.</t>
    <phoneticPr fontId="16" type="noConversion"/>
  </si>
  <si>
    <t>See GB27887 Part 5.1.4.1.10.2</t>
  </si>
  <si>
    <t xml:space="preserve">5.1.4.1.10.2 Dynamic test may also be carried out for ISOFIX child restraint system of other size classes with the anti-rotation device in use. </t>
    <phoneticPr fontId="16" type="noConversion"/>
  </si>
  <si>
    <t>See ECE R129 Part 6.6.4.1.6</t>
  </si>
  <si>
    <t>6.6.4.1.6.In the case of an Enhanced Child Restraint System making use of an anti-rotation device and / or a shoulder strap positioner, the dynamic test shall be carried out as follows:</t>
  </si>
  <si>
    <t>See ECE R129 Part 6.6.4.1.6.1</t>
  </si>
  <si>
    <t>6.6.4.1.6.1.With the anti-rotation device and with the shoulder strap positioner in use, and</t>
  </si>
  <si>
    <t>See ECE R129 Part 6.6.4.1.6.1.1</t>
  </si>
  <si>
    <t>6.6.4.1.6.1.1. Without the anti-rotation device in use, unless:</t>
  </si>
  <si>
    <t>See ECE R129 Part 6.6.4.1.6.1.(a)</t>
  </si>
  <si>
    <t>6.6.4.1.6.1.(a)A mechanism or;</t>
  </si>
  <si>
    <t>See ECE R129 Part 6.6.4.1.6.1.(b)</t>
  </si>
  <si>
    <t>6.6.4.1.6.1.(b)A visual and audible warning signal.</t>
  </si>
  <si>
    <t>is provided to prevent incorrect use of the anti-rotation device.</t>
    <phoneticPr fontId="16" type="noConversion"/>
  </si>
  <si>
    <t>See ECE R129 Part 6.6.4.1.6.1.2</t>
  </si>
  <si>
    <t>6.6.4.1.6.1.2. Without the shoulder strap positioner in use, unless:</t>
  </si>
  <si>
    <t>See ECE R129 Part 6.6.4.1.6.1.2.(a)</t>
  </si>
  <si>
    <t>6.6.4.1.6.1.2.(a)A mechanism or;</t>
  </si>
  <si>
    <t>See ECE R129 Part 6.6.4.1.6.1.2.(b)</t>
  </si>
  <si>
    <t>6.6.4.1.6.1.2.(b)A visual and audible warning signal.</t>
  </si>
  <si>
    <t xml:space="preserve">is provided to prevent incorrect use of the shoulder strap positioner." </t>
  </si>
  <si>
    <t>See ECE R129 Part 6.6.4.1.7</t>
  </si>
  <si>
    <t>6.6.4.1.7. In the case of non-integral Enhanced Child Restraint System making use of ISOFIX attachments, the dynamic test shall be carried out as follows:</t>
  </si>
  <si>
    <t>See ECE R129 Part 6.6.4.1.7.1</t>
  </si>
  <si>
    <t>6.6.4.1.7.1. With the ISOFIX attachments in use, and</t>
  </si>
  <si>
    <t>See ECE R129 Part 6.6.4.1.7.2</t>
  </si>
  <si>
    <t xml:space="preserve">6.6.4.1.7.2. Without the ISOFIX attachments in use."  </t>
  </si>
  <si>
    <t>Dummy Selection for Sled Test</t>
  </si>
  <si>
    <t>See GB27887 Part 6.1.3.8</t>
  </si>
  <si>
    <t>6.1.3.8  Category of dummy to be used testing</t>
    <phoneticPr fontId="17" type="noConversion"/>
  </si>
  <si>
    <t>See GB27887 Part 6.1.3.8.1</t>
  </si>
  <si>
    <t>6.1.3.8.1  Group 0, P0 and P3/4; Group 0+, P0 and P1.5</t>
    <phoneticPr fontId="17" type="noConversion"/>
  </si>
  <si>
    <t>See GB27887 Part 6.1.3.8.6</t>
  </si>
  <si>
    <t xml:space="preserve">6.1.3.8.6  If the CRS is suitable for two or more mass groups, the tests shall be carried out using the lightest and heaviest dummy specified above for all the groups concerned. However, if the configuration of the device alters considerably from one group to the next, for instance when the configuration of the restraint system or the restraint system length is changed, the tester conducting the tests may, if it deems it advisable, add a test with a dummy of intermediate weight. </t>
    <phoneticPr fontId="16" type="noConversion"/>
  </si>
  <si>
    <t>See GB27887 Part 6.1.3.8.7</t>
  </si>
  <si>
    <t>6.1.3.8.7  If CRS is designed for two or more children, the first test shall be carried out with the heaviest dummy occupying all seat positions. A second test with the lightest and the heaviest dummy specified shall be carried out. The testing department conducting the tests may, if it deems it advisable, add a third test with any combination of dummy or empty seat positions.</t>
    <phoneticPr fontId="17" type="noConversion"/>
  </si>
  <si>
    <t>See GB27887 Part 6.1.3.8.8</t>
  </si>
  <si>
    <t xml:space="preserve">6.1.3.8.8  If a CRS in group 0 or 0+ offers different configurations 
depending on the mass of the child, each configuration shall be tested with both dummy of the respective mass group. </t>
    <phoneticPr fontId="17" type="noConversion"/>
  </si>
  <si>
    <t>See GB27887 Part 6.1.3.8.9</t>
  </si>
  <si>
    <t xml:space="preserve">6.1.3.8.9  If the ISOFIX CRS must use a top anchorage, the first test shall be carried out with the smallest dummy with the shorter distance of the top anchorage G1. A second test shall be carried out with the heavier dummy with the longer distance of the top anchorage G3. Adjust the top tension to get close to 50 ± 5 N. </t>
    <phoneticPr fontId="17" type="noConversion"/>
  </si>
  <si>
    <t>Classification of CRS</t>
    <phoneticPr fontId="16" type="noConversion"/>
  </si>
  <si>
    <t>See ECE R129 Part 6.8</t>
  </si>
  <si>
    <t>6.8.Classification</t>
    <phoneticPr fontId="16" type="noConversion"/>
  </si>
  <si>
    <t>See ECE R129 Part 6.8.1</t>
  </si>
  <si>
    <t xml:space="preserve">6.8.1.Enhanced Child Restraint Systems may cover any size range provided that the requirements for the whole range are fulfilled. </t>
  </si>
  <si>
    <t>CRS Size indication</t>
    <phoneticPr fontId="16" type="noConversion"/>
  </si>
  <si>
    <t>See ECE R129 Part 7.1.3.6</t>
  </si>
  <si>
    <t>7.1.3.6.Size indication</t>
    <phoneticPr fontId="16" type="noConversion"/>
  </si>
  <si>
    <t>See ECE R129 Part 7.1.3.6</t>
    <phoneticPr fontId="16" type="noConversion"/>
  </si>
  <si>
    <t>The dynamic tests shall be conducted with the largest dummy and the smallest dummy as defined in the following tables according to the size range indicated by the manufacturer for the Enhanced Child Restraint System.</t>
  </si>
  <si>
    <t xml:space="preserve">Where the Enhanced Child Restraint System requires substantial modification for different sizes (e.g., convertible Enhanced Child Restraint System) or if the size range cover more than 3 size ranges a relevant intermediate dummy(ies) shall be tested in addition to the dummy(ies) defined above.  </t>
  </si>
  <si>
    <t>See ECE R129 Part 7.1.3.6.1</t>
  </si>
  <si>
    <t>7.1.3.6.1 If the Enhanced Child Restraint System is designed for two or more children, one test shall be carried out with the heaviest dummies occupying all seating positions. A second test with the lightest and the heaviest dummies specified above shall be carried out. The tests shall be conducted using the test bench as shown in Annex 6, Appendix 3, Figure 3. The laboratory conducting the tests may, if it deems it advisable, add a third test with any combination of dummies or empty seat positions.</t>
    <phoneticPr fontId="16" type="noConversion"/>
  </si>
  <si>
    <t>See ECE R129 Part 7.1.3.6.2</t>
  </si>
  <si>
    <t>7.1.3.6.2 If the I-Size Enhanced Child Restraint System uses a top tether, one test shall be carried out with the smallest dummy with the shorter distance of the top tether (anchorage point G1). A second test shall be carried out with the heavier dummy with the longer distance of the top tether (anchorage point G2). Adjust the top tether to achieve a tension load of 50 ± 5 N. For side lateral impact the ISOFIX Enhanced Child Restraint System shall be tested with only the shorter distance of the top tether.</t>
    <phoneticPr fontId="16" type="noConversion"/>
  </si>
  <si>
    <t>See ECE R129 Part 7.1.3.6.3</t>
  </si>
  <si>
    <t>7.1.3.6.3 If the I-Size Enhanced Child Restraint System uses a support-leg, as an anti-rotation device the hereafter mentioned dynamic tests shall be carried out as follows:</t>
    <phoneticPr fontId="16" type="noConversion"/>
  </si>
  <si>
    <t>See ECE R129 Part 7.1.3.6.3.(a)</t>
  </si>
  <si>
    <t>7.1.3.6.3.(a)The tests for frontal impact shall be conducted with the support-leg adjusted to its maximum adjustment compatible with the positioning of the trolley floor pan. The tests for rear impact shall be conducted with the worst case position selected by the Technical Service. During the tests the support-leg shall be supported by the trolley floor pan as described in Annex 6, Appendix 2, Figure 2;</t>
  </si>
  <si>
    <t>See ECE R129 Part 7.1.3.6.3.(b)</t>
  </si>
  <si>
    <t>7.1.3.6.3.(b)In the case of support-legs out of the plane of symmetry, the worst case shall be selected by the Technical Service for the test;</t>
  </si>
  <si>
    <t>See ECE R129 Part 7.1.3.6.3.(c)</t>
  </si>
  <si>
    <t>7.1.3.6.3.(c)In the case of "Specific vehicle ISOFIX" category, the support-leg shall be adjusted as specified by the Enhanced Child Restraint System manufacturer;</t>
  </si>
  <si>
    <t>See ECE R129 Part 7.1.3.6.3.(d)</t>
  </si>
  <si>
    <t>7.1.3.6.3.(d)The leg length of a support-leg shall be adjustable in such a way that it is able to cover the complete span of floor pan levels that are allowed for in UN Regulation No. 16, Annex 17 for car seats to be approved for the installation I-Size Enhanced Child Restraints Systems.</t>
  </si>
  <si>
    <t>See ECE R129 Part 7.1.3.6.4</t>
  </si>
  <si>
    <t>7.1.3.6.4.The test specified in paragraph 6.6.4.1.6.2. above is a requirement only for the largest dummy for which the child restraint is designed.</t>
  </si>
  <si>
    <t>S7 Test dummies. (Subparts referenced in this section are of part 572 of this chapter.) S7.1 Dummy selection. Select any dummy specified in S7.1.1, S7.1.2 or S7.1.3, as appropriate, for testing systems for use by children of the height and mass for which the system is recommended in accordance with S5.5. A child restraint that meets the criteria in two or more of the following paragraphs in S7 may be tested with any of the test dummies specified in those paragraphs.</t>
    <phoneticPr fontId="17" type="noConversion"/>
  </si>
  <si>
    <t>CRS requirement</t>
    <phoneticPr fontId="17" type="noConversion"/>
  </si>
  <si>
    <t xml:space="preserve">Positioning and securing on the vehicle </t>
    <phoneticPr fontId="17" type="noConversion"/>
  </si>
  <si>
    <t>See GB27887 Part 4.2.1</t>
  </si>
  <si>
    <t>Vehicle fit</t>
    <phoneticPr fontId="16" type="noConversion"/>
  </si>
  <si>
    <t>4.2.1  The use of child restraints in the "universal", "semi-universal" and "restricted" categories is permitted in the front and rear seat positions if the restraints are fitted in conformity with the manufacturer's instructions</t>
    <phoneticPr fontId="17" type="noConversion"/>
  </si>
  <si>
    <t>See GB27887 Part 4.2.2</t>
  </si>
  <si>
    <t xml:space="preserve">4.2.2  The use of child restraints in the "specific vehicle" category is permitted in all seat positions and also in the luggage area if the restraints are fitted inconformity with the manufacturer's instructions. In the case of a rear-facing restraint, the design must ensure that support for the child's head is provided whenever the restraint is ready to use. This is to be determined as a line perpendicular to the seat back through the eye line, the point of intersection shall be at least 40 mm below the start of radius of such a head support. </t>
    <phoneticPr fontId="17" type="noConversion"/>
  </si>
  <si>
    <t>CRS requirement</t>
  </si>
  <si>
    <t>Positioning and securing on the vehicle</t>
    <phoneticPr fontId="16" type="noConversion"/>
  </si>
  <si>
    <t>See ECE R129 Part 6.1.1</t>
  </si>
  <si>
    <t>6.1.1.Enhanced Child Restraint Systems in the I-Size category are primarily designed for use in I-Size seating positions, when the Enhanced Child Restraint Systems are fitted in conformity with the vehicle manufacturer's instructions.</t>
  </si>
  <si>
    <t>The instructions of a forward facing I-Size integral ECRS that utilize a top tether as the anti-rotation device may declare that the ECRS can be used in any ISOFIX seating positions.</t>
  </si>
  <si>
    <t>The instructions of other I-Size integral ECRS may declare that the ECRS can be used in ISOFIX seating positions specified in a car fitting list.</t>
    <phoneticPr fontId="16" type="noConversion"/>
  </si>
  <si>
    <t>Enhanced Child Restraint Systems in the I-Size booster seat category are primarily designed for use in all I-Size seating positions.</t>
    <phoneticPr fontId="16" type="noConversion"/>
  </si>
  <si>
    <t>Enhanced Child Restraint Systems in the specific vehicle ISOFIX category are for use in all ISOFIX positions and also in the luggage area, if the restraints are fitted in conformity with the vehicle manufacturer's instructions.</t>
    <phoneticPr fontId="16" type="noConversion"/>
  </si>
  <si>
    <t xml:space="preserve">Enhanced Child Restraint Systems in the specific vehicle booster seat category are to be used according to manufacturer's instructions."  </t>
  </si>
  <si>
    <t>See GB27887 Part 4.2.3</t>
  </si>
  <si>
    <t xml:space="preserve">4.2.3  According to the category which it belongs to, the child restraint shall be secured to the vehicle structure or to the seat structure. </t>
  </si>
  <si>
    <t>See ECE R129 Part 6.1.2</t>
  </si>
  <si>
    <t>6.1.2.According to the category in which it belongs to, see Table 1, the integral Enhanced Child Restraint System shall be secured to the vehicle structure or to the vehicle seat structure:</t>
  </si>
  <si>
    <t>Positioning and securing on the vehicle</t>
    <phoneticPr fontId="16" type="noConversion"/>
  </si>
  <si>
    <t>See ECE R129 Part 6.1.3</t>
    <phoneticPr fontId="16" type="noConversion"/>
  </si>
  <si>
    <t xml:space="preserve">6.1.3.According to the category as defined by Table 2, the Non-Integral Enhanced Child Restraint System and the child shall be secured in a vehicle seating position: </t>
  </si>
  <si>
    <t>See GB27887 Part 4.2.3.1</t>
  </si>
  <si>
    <t>4.2.3.1  For the "universal" and "restricted" categories, by means of an adult safety-belt(with or without a retractor) meeting the requirements of GB 14166 fitted to anchorages meeting the requirements of GB 14167</t>
  </si>
  <si>
    <t>See ECE R129 Part 6.1.2.1</t>
  </si>
  <si>
    <t>6.1.2.1.For I-Size category, this shall be by means of two ISOFIX attachments with the addition of an anti-rotation device for both forward and rearward-facing Enhanced Child Restraint Systems;</t>
  </si>
  <si>
    <t>See ECE R129 Part 6.1.3.1</t>
    <phoneticPr fontId="16" type="noConversion"/>
  </si>
  <si>
    <t xml:space="preserve">6.1.3.1.For the I-Size booster seat category, by means of the adult safety seat belt and possibly with optional ISOFIX attachments, if these are stowable (see Regulation No. 16, Annex 17, Appendix 5, Figure 1, Detail B). </t>
  </si>
  <si>
    <t>See GB27887 Part 4.2.3.2</t>
  </si>
  <si>
    <t>4.2.3.2  For ISOFIX "universal" child restraint systems by means of ISOFIX attachments and ISOFIX top tether strap meeting the requirements of this standard fitted to ISOFIX anchorages system and ISOFIX top tether anchorage meeting the requirements of GB 14167</t>
  </si>
  <si>
    <t>See ECE R129 Part 6.1.2.2</t>
  </si>
  <si>
    <t>6.1.2.2.For "Specific Vehicle ISOFIX" category: this shall be by means of the ISOFIX attachments designed by the manufacturer of the Enhanced Child Restraint System, secured to ISOFIX anchorage system as designed by the vehicle manufacturer.</t>
  </si>
  <si>
    <t>See ECE R129 Part 6.1.3.2</t>
    <phoneticPr fontId="16" type="noConversion"/>
  </si>
  <si>
    <t>6.1.3.2. For the specific vehicle booster seat category, by means of the adult safety seat belt and possibly with attachments designed by the manufacturer of the Enhanced Child Restraint System, secured to anchorages as designed by the vehicle manufacturer. Only ISOFIX attachments shall be used in conjunction with ISOFIX anchorage system.</t>
  </si>
  <si>
    <t>See GB27887 Part 4.2.3.3</t>
  </si>
  <si>
    <t xml:space="preserve">4.2.3.3  For the "semi-universal" category: by means of the lower anchorages prescribed in GB 14167 and additional anchorages meeting the recommendation of Appendix J to this standard. </t>
  </si>
  <si>
    <t>See GB27887 Part 4.2.3.4</t>
  </si>
  <si>
    <t xml:space="preserve">4.2.3.4  For ISOFIX "semi-universal" Child Restraint Systems by means of ISOFIX attachments and ISOFIX top tether strap or a support leg or vehicle dashboard, meeting the requirements of this standard fitted to ISOFIX anchorages and/or to ISOFIX top tether anchorage meeting the requirements of GB 14167. </t>
  </si>
  <si>
    <t>See GB27887 Part 4.2.3.5</t>
  </si>
  <si>
    <t xml:space="preserve">4.2.3.5  For the "specific vehicle" category: by means of the anchorages designed by the manufacturer of the vehicle or the manufacturer of the child restraint. </t>
    <phoneticPr fontId="17" type="noConversion"/>
  </si>
  <si>
    <t>See GB27887 Part 4.2.3.6</t>
  </si>
  <si>
    <t xml:space="preserve">4.2.3.6  In the case of child restraining straps or child restraint attachment strap utilizing belt anchorages to which are already fitted an adult belt or belts, the Technical Service shall check that: a) The effective adult anchorage position is as approved under GB 14167; b) Effective operation of both devices is not hindered by the other; c) The buckles of the adult and additional system must not be interchangeable; d) In the case of child restraining devices utilizing bars, or extra devices attached to the anchorages approved under GB 14167, which move the effective anchorage position outside the field of GB 14167, the following points shall apply: 1) Such devices will only be approved as semi-universal or specific vehicle devices; 2) The Technical Service shall apply the requirements of Appendix J to this standard to the bar and the fastenings; 3) The bar will be included in the dynamic test, with the loading being applied to the mid-position and the bar and its greatest extension, if adjustable; 4) The effective position and operation of any adult anchorage by which the bar is fixed shall not be impaired. </t>
    <phoneticPr fontId="17" type="noConversion"/>
  </si>
  <si>
    <t>See GB27887 Part 4.2.3.7</t>
  </si>
  <si>
    <t>4.2.3.7  Child restraints utilizing a support leg shall only be approved under the "semi-universal" or the "specific vehicle" category and the requirements of Appendix J to this standard shall be applied. The manufacturer of the child restraint system shall take into account the needs of the support leg for their correct functioning in each vehicle and provide this information.</t>
    <phoneticPr fontId="17" type="noConversion"/>
  </si>
  <si>
    <t>CRS requirement</t>
    <phoneticPr fontId="17" type="noConversion"/>
  </si>
  <si>
    <t>See GB27887 Part 4.2.4</t>
    <phoneticPr fontId="16" type="noConversion"/>
  </si>
  <si>
    <t>4.2.4  A booster cushion must be restrained by either an adult belt, using the test as specified in Article 6.1.4, or by separate means.</t>
  </si>
  <si>
    <t>the toxicity of materials</t>
    <phoneticPr fontId="16" type="noConversion"/>
  </si>
  <si>
    <t>See GB27887 Part 4.2.5</t>
  </si>
  <si>
    <t>toxicity limit</t>
    <phoneticPr fontId="16" type="noConversion"/>
  </si>
  <si>
    <t xml:space="preserve">4.2.5  The child restraint manufacturer has to declare in written form that the toxicity of materials used in the manufacture of restraint systems and accessible to the restrained child is in conformity with the relevant parts of GB 6675. This article does not apply to restraint devices of groups II and III. </t>
  </si>
  <si>
    <t>See ECE R129 Part 6.3.1.1</t>
  </si>
  <si>
    <t>6.3.1.1.The Enhanced Child Restraint System manufacturer shall declare in writing that the toxicity of materials used in the manufacture of restraint systems and accessible to the restrained child is in conformity with the relevant parts of EN 71-3:2013+A1:2014 (paragraph 4.2., Table 2, Category III for specific requirements and paragraph 7.3.3. for test methodology). Tests confirming the validity of the declaration may be carried out at the discretion of the Technical Service.</t>
    <phoneticPr fontId="16" type="noConversion"/>
  </si>
  <si>
    <t>Flammability requirement</t>
    <phoneticPr fontId="16" type="noConversion"/>
  </si>
  <si>
    <t>See GB27887 Part 4.2.6</t>
  </si>
  <si>
    <t>flammability limit</t>
    <phoneticPr fontId="16" type="noConversion"/>
  </si>
  <si>
    <t xml:space="preserve">4.2.6 The child restraint manufacturer has to declare in written form that the flammability of materials used to manufacture the restraint system is inconformity with the relevant articles of GB 8410. </t>
  </si>
  <si>
    <t>See ECE R129 Part 6.3.1.2</t>
  </si>
  <si>
    <t>6.3.1.2.The flammability of Enhanced Child Restraint Systems submitted for approval shall be assessed by one of the following methods:</t>
  </si>
  <si>
    <t xml:space="preserve">Method 1 is applicable only to non-built-in Enhanced Child Restraint Systems and Method 2 is applicable only to vehicle specific built-in Enhanced Child Restraint Systems.  </t>
  </si>
  <si>
    <t>Method 1</t>
  </si>
  <si>
    <t>The Enhanced Child Restraint System manufacturer shall declare in writing that the flammability of materials used to manufacture the Enhanced Child Restraint System is in conformity with the method of section 5.4 of EN 71-2:2011+A1:2014 with a maximum rate of spread of flame of 30 mm/s(1.2 in/s). Tests confirming the validity of the declaration may be carried out at the discretion of the Technical Service. Where fabrics are assembled together, these shall be tested as a composite.</t>
    <phoneticPr fontId="16" type="noConversion"/>
  </si>
  <si>
    <t xml:space="preserve">“Composite material" means a material composed of several layers of similar or different materials intimately held together at their surfaces by cementing, bonding, cladding, welding, etc. In such a case, the material shall be tested as a composite. When different materials are connected together intermittently, such materials shall not be considered as composite materials and therefore tested separately. </t>
  </si>
  <si>
    <t>Tests confirming the validity of the declaration may be carried out at the discretion of the Technical Service.</t>
  </si>
  <si>
    <t>Method 2</t>
  </si>
  <si>
    <t>The applicant shall declare in writing that when testing materials in accordance with Annex 23 of this regulation, the materials used shall not burn, nor transmit a flame front across its surface, at a rate of more than 100 mm per minute. Each material used in an enhanced child restraint system shall conform to these requirements. However, the requirement concerning transmission of a flame front shall not apply to a surface created by cutting a test specimen for purposes of testing pursuant to Annex 23.</t>
  </si>
  <si>
    <t>The requirements shall be met in both the "in-use" and in the "stowed" positions of the built-in Enhanced Child Restraint System.</t>
  </si>
  <si>
    <t>If a material stops burning before it has burned for 60 seconds from the start of timing, and has not burned more than 51 mm(2 in) from the point where the timing was started, it shall be considered to meet the burn-rate requirement specified above.</t>
    <phoneticPr fontId="16" type="noConversion"/>
  </si>
  <si>
    <t xml:space="preserve">Tests confirming the validity of the declaration may be carried out at the discretion of the Technical Service." </t>
  </si>
  <si>
    <t xml:space="preserve">S5.7 Flammability. Each material used in a child restraint system shall conform to the requirements of S4 of FMVSS No. 302 (571.302). In the case of a built-in child restraint system, the requirements of S4 of FMVSS No. 302 shall be met in both the ‘‘in-use’’ and ‘‘stowed’’ positions. </t>
    <phoneticPr fontId="17" type="noConversion"/>
  </si>
  <si>
    <t>49 CFR 571.302 571.302. S4.3(a)When tested in accordance with S5, material described in S4.1 and S4.2 shall not burn, nor transmit a flame front across its surface, at a rate of more than 102 mm(4 in) per minute. (note: when the sample surface is cut out, the determination requirement is not applicable to test the horizontal burning speed of the flame on the surface)</t>
    <phoneticPr fontId="16" type="noConversion"/>
  </si>
  <si>
    <t>49 CFR 571.302 571.302. S4.3(b) If a material stops burning before it has burned for 60 seconds from the start of timing, and has not burned more than 51 mm(2 in) from the point where the timing was started, it shall be considered to meet the burn-rate requirement of S4.3(a).</t>
    <phoneticPr fontId="16" type="noConversion"/>
  </si>
  <si>
    <t>See GB27887 Part 4.2.7</t>
  </si>
  <si>
    <t xml:space="preserve">4.2.7  In the case of rearward-facing child restraints supported by the vehicle dashboard, the dashboard is assumed to be sufficiently rigid. </t>
  </si>
  <si>
    <t>See GB27887 Part 4.2.8</t>
  </si>
  <si>
    <t xml:space="preserve">4.2.8  In the case of a child restraint system of the "universal" category, except ISOFIX universal child restraint systems, the main load-bearing contact point, between the child restraint and the adult safety-belt shall not be less than 150 mm(5.9 in) from the Cr axis when measured with the child restraint on the dynamic test bench. This shall apply to all adjustment configurations. Additional alternative belt routes are allowed. Where an alternative belt route exists, the manufacturer must make specific reference to the alternative route in the user instructions. When tested, using such alternative belt route(s), the restraint shall comply with all the requirements of the standard with the exception of this article. </t>
    <phoneticPr fontId="16" type="noConversion"/>
  </si>
  <si>
    <t>Positioning and securing on the vehicle</t>
    <phoneticPr fontId="16" type="noConversion"/>
  </si>
  <si>
    <t>See ECE R129 Part 6.1.3.4</t>
    <phoneticPr fontId="16" type="noConversion"/>
  </si>
  <si>
    <t xml:space="preserve">6.1.3.4. Enhanced Child Restraint Systems of the I-Size booster seat category shall have a main load-bearing contact point, between the Enhanced Child Restraint System and the adult safety belt. This point shall not be less than 150 mm from the Cr axis when measured with the Enhanced Child Restraint System on the dynamic test bench installed in accordance with paragraph 7.1.3.5.2.2. of this Regulation, without a dummy. This shall apply to all adjustment configurations and variable belt paths. </t>
  </si>
  <si>
    <t>See GB27887 Part 4.2.9</t>
  </si>
  <si>
    <t>4.2.9  If the adult belt is required to secure a "universal" category child restraint, its maximum length to be used on the dynamic test bench is defined in Appendix M to this standard. 
To check compliance with this requirement, the child restraint shall be secured onto the test bench using the appropriate standard seat belt described in Appendix M. The dummy shall not be installed unless the design of the restraint is such that the installation of a dummy would increase the amount of belt used. With the child restraint in the installed position there shall be no tension in the belt apart from that exerted by the standard retractor, where fitted. Where the retractor belt is used, this condition shall be met with at least 150 mm(5.9 in) of belt remaining on the spool.</t>
    <phoneticPr fontId="16" type="noConversion"/>
  </si>
  <si>
    <t>Positioning and securing on the vehicle</t>
    <phoneticPr fontId="16" type="noConversion"/>
  </si>
  <si>
    <t>See ECE R129 Part 6.1.3.5</t>
    <phoneticPr fontId="16" type="noConversion"/>
  </si>
  <si>
    <t xml:space="preserve">6.1.3.5. The adult seat belt required to secure a I-Size booster seat on the dynamic test bench is defined in Annex 23 to this Regulation. The Enhanced Child Restraint System shall be secured onto the test bench using the appropriate standard seat belt described in Annex 23 using a preload tension of 50N +/- 5N. The dummy shall not be installed unless the design of the restraint is such that the installation of a dummy would increase the amount of belt used. With the Enhanced Child Restraint System in the installed position, there shall be no additional tension in the belt, apart from that exerted by the standard retractor (4 ± 3 N), where fitted. Where the retractor belt is used, this condition shall be met with at least 150 mm of belt remaining on the spool. </t>
    <phoneticPr fontId="16" type="noConversion"/>
  </si>
  <si>
    <t xml:space="preserve">A clamping mechanism used according to paragraph 7.1.3.5.2.2. shall not have any influence on the belt path."  </t>
  </si>
  <si>
    <t>See GB27887 Part 4.2.10</t>
  </si>
  <si>
    <t xml:space="preserve">4.2.10  Child restraints of groups 0 and 0+ shall not be used forward facing. </t>
  </si>
  <si>
    <t>See GB27887 Part 4.2.11</t>
  </si>
  <si>
    <t xml:space="preserve">4.2.11  Child restraint systems of groups 0 and 0 +, with the exception of carry cots as defined in Article 3.10, shall belong to the integral class. </t>
  </si>
  <si>
    <t>See GB27887 Part 4.2.12</t>
  </si>
  <si>
    <t>4.2.12 Child restraint systems of group I shall belong to the integral class unless they are fitted with an impact shield as defined in Article 3.15</t>
  </si>
  <si>
    <t>CRS Internal geometric characteristics</t>
    <phoneticPr fontId="16" type="noConversion"/>
  </si>
  <si>
    <t>See ECE R129 Part 6.3.2.1</t>
  </si>
  <si>
    <t>6.3.2.1 The Technical Service conducting the approval tests shall verify that the internal dimensions of the Enhanced Child Restraint System conform to the requirements of Annex 18. The minimum dimensions for shoulder breadth, hip breadth and sitting height shall be fulfilled simultaneously for any stature within the size range declared by the manufacturer. Integral Enhanced Child Restraint System shall also fulfil the minimum and maximum dimensions of shoulder height, for any stature within the size range declared by the manufacturer.</t>
    <phoneticPr fontId="16" type="noConversion"/>
  </si>
  <si>
    <t>Non-integral Enhanced Child Restraint System shall also fulfil the maximum dimensions of shoulder height, for any stature within the size range declared by the manufacturer"</t>
    <phoneticPr fontId="16" type="noConversion"/>
  </si>
  <si>
    <t>CRS external dimensions</t>
    <phoneticPr fontId="16" type="noConversion"/>
  </si>
  <si>
    <t>See ECE R129 Part 6.3.2.2</t>
  </si>
  <si>
    <t>6.3.2.2 The Technical Service conducting the approval tests shall verify that the external dimensions of the Enhanced Child Restraint System conform to the requirements of paragraphs 6.3.2.2.1. and 6.3.2.2.2., as applicable.</t>
    <phoneticPr fontId="16" type="noConversion"/>
  </si>
  <si>
    <t>See ECE R129 Part 6.3.2.2.1</t>
  </si>
  <si>
    <t>6.3.2.2.1. Integral Class Enhanced Child Restraint Systems</t>
  </si>
  <si>
    <t>The maximum external dimensions for the width, height and depth of the Enhanced Child Restraint System and the locations of the ISOFIX anchorages system, with which its attachments shall engage, shall be defined by the ISOFIX Vehicle Seat Fixture as defined in paragraph 2.17.1. of this Regulation.</t>
  </si>
  <si>
    <t>See ECE R129 Part 6.3.2.2.1.(a)</t>
  </si>
  <si>
    <t>6.3.2.2.1. (a) i-Size Forward facing Enhanced Child Restraint Systems shall fit within the ISO/F2X size envelope for a reduced-height forward-facing toddler CRS;</t>
    <phoneticPr fontId="16" type="noConversion"/>
  </si>
  <si>
    <t>See ECE R129 Part 6.3.2.2.1.(b)</t>
  </si>
  <si>
    <t>6.3.2.2.1. (b) i-Size Rearward facing Enhanced Child Restraint Systems shall fit within the ISO/R2 size envelope for a reduced-size rearward-facing toddler CRS;</t>
  </si>
  <si>
    <t>See ECE R129 Part 6.3.2.2.1.(c)</t>
  </si>
  <si>
    <t>6.3.2.2.1. (c) Specific vehicle ISOFIX Enhanced Child Restraint Systems shall fit:</t>
  </si>
  <si>
    <t>See ECE R129 Part 6.3.2.2.1.(c)(i)</t>
  </si>
  <si>
    <t xml:space="preserve">6.3.2.2.1. (c) (i)In vehicle(s) specified in a list or </t>
  </si>
  <si>
    <t>See ECE R129 Part 6.3.2.2.1.(c)(ii)</t>
  </si>
  <si>
    <t xml:space="preserve">6.3.2.2.1. (c) (ii)At least in one of the ISO (R1, R2X, R2, R3, F2X, F2, F3, L1, L2) size envelopes as described in Annex 17 Appendix 2 of UN Regulation No. 16. </t>
  </si>
  <si>
    <t>When conducting this assessment, the Integral Enhanced Child Restraint System shall be adjusted to the largest size of its declared stature range (height, depth and width dimensions as defined in Annex 18). If the Enhanced Child Restraint System is capable of being adjusted to different positions of seat surface inclination, the fitting assessment shall be done in at least one position. If other positions of inclination are outside the limits of the applicable size envelope, the user manual shall indicate that the child restraint may not fit in all approved vehicles when used in one of these positions.</t>
  </si>
  <si>
    <t xml:space="preserve">I-Size booster seats shall be adjusted to accommodate children of 135 cm(53.2 in) stature (height, depth and width dimensions as defined in Annex 18) or to the largest size of its declared stature range in case the upper limit is below 135 cm(53.2 in). In this case, it must fit within each of its declared Vehicle Seat Fixtures in at least one adjustable position. The Enhanced Child Restraint System may be adjusted to other inclined positions (less or more reclined) that are outside the Vehicle Seat Fixture’s height; in this case, the child restraint manufacturer’s user manual shall clearly indicate that when used in one of these configurations, the Enhanced Child Restraint System may not fit in all vehicles approved for a Universal fixture."  </t>
    <phoneticPr fontId="16" type="noConversion"/>
  </si>
  <si>
    <t>See ECE R129 Part 6.3.2.2.2</t>
    <phoneticPr fontId="16" type="noConversion"/>
  </si>
  <si>
    <t>6.3.2.2.2.Non-Integral Class Enhanced Child Restraint Systems</t>
  </si>
  <si>
    <t>The maximum external dimensions for the width, height and depth of the Enhanced Child Restraint System and the locations of the ISOFIX anchorages system if any, with which its attachments shall engage, shall be defined by the I-Size booster seat fixture as defined in paragraph 2.17.2. of this Regulation.</t>
  </si>
  <si>
    <t>CRS external dimensions</t>
    <phoneticPr fontId="16" type="noConversion"/>
  </si>
  <si>
    <t>See ECE R129 Part 6.3.2.2.2(a)</t>
    <phoneticPr fontId="16" type="noConversion"/>
  </si>
  <si>
    <t>6.3.2.2.2.(a)I-Size booster seat Enhanced Child Restraint Systems shall fit within the ISO/B2 size envelope;</t>
  </si>
  <si>
    <t>See ECE R129 Part 6.3.2.2.2(b)</t>
    <phoneticPr fontId="16" type="noConversion"/>
  </si>
  <si>
    <t>6.3.2.2.2.(b)Specific vehicle booster seat Enhanced Child Restraint Systems shall fit:</t>
  </si>
  <si>
    <t>See ECE R129 Part 6.3.2.2.2(b)(i)</t>
    <phoneticPr fontId="16" type="noConversion"/>
  </si>
  <si>
    <t>6.3.2.2.2.(B)(i)In vehicle(s) specified in a list; or</t>
  </si>
  <si>
    <t>See ECE R129 Part 6.3.2.2.2(b)(ii)</t>
    <phoneticPr fontId="16" type="noConversion"/>
  </si>
  <si>
    <t>6.3.2.2.2.(B)(ii)At least in one of ISO/B2 –ISO/B3 size envelope as described in Annex 17, Appendix 2 of Regulation No. 16.</t>
  </si>
  <si>
    <t xml:space="preserve">When conducting this assessment, the non-integral Enhanced Child Restraint System shall be adjusted to accommodate children of 135 cm stature (height, depth and width dimensions as defined in Annex 18) or to the largest size of its declared stature range if the upper limit is below 135 cm. If the Non-integral Enhanced Child Restraint System is capable of being adjusted to different positions of seat surface inclination, the fitting assessment shall be done in at least one position. If other positions of inclination are outside the limits of the applicable size envelope, the user manual shall indicate that the child restraint may not fit in all approved vehicles when used in one of these positions. If the Non-integral Enhanced Child Restraint System has a declared stature range above 135 cm, and if it is necessary to adjust the child restraint outside the limits of the applicable size envelope for such adjustments (height, depth and width dimensions), the user manual shall indicate that the child restraint may not fit in all approved vehicles when used in one of these positions."  </t>
  </si>
  <si>
    <t>Configuration</t>
    <phoneticPr fontId="17" type="noConversion"/>
  </si>
  <si>
    <t>See GB27887 Part 4.3.1</t>
  </si>
  <si>
    <t xml:space="preserve">4.3.1  The configuration of the restraint shall be such that: </t>
  </si>
  <si>
    <t>See GB27887 Part 4.3.1.1</t>
  </si>
  <si>
    <t xml:space="preserve">4.3.1.1  The restraint gives the required protection in any intended position of the restraint system; for "Special Needs Restraints" the primary means of restraint shall give the required protection in any intended position of the restraint system without the use of the additional restraining devices which may be present. </t>
  </si>
  <si>
    <t>See GB27887 Part 4.3.1.2</t>
  </si>
  <si>
    <t>4.3.1.2  The child is easily and quickly installed and removed</t>
  </si>
  <si>
    <t>See GB27887 Part 4.3.1.3</t>
  </si>
  <si>
    <t xml:space="preserve">4.3.1.3  If it is possible to change the inclination of the restraint, this change in inclination shall not require manual readjustment of the straps. A deliberate hand-action is required in order to change the inclination of the restraint. </t>
  </si>
  <si>
    <t>See GB27887 Part 4.3.1.4</t>
  </si>
  <si>
    <t>4.3.1.4  The groups 0, 0+ and I restraint systems shall keep the child so positioned as to give the required protection even when the child is asleep.</t>
  </si>
  <si>
    <t>See GB27887 Part 4.3.1.5</t>
  </si>
  <si>
    <t>Child submarining risk</t>
    <phoneticPr fontId="16" type="noConversion"/>
  </si>
  <si>
    <t xml:space="preserve">4.3.1.5  To prevent submarining, either by impact or through restlessness, a crotch strap shall be required on all forward-facing group I restraints incorporating an integral harness belt system. With the crotch strap attached, and in its longest position if adjustable, it shall not be possible to adjust the lap strap to lie above the pelvis in either the P3/4 or the P3 dummy. </t>
    <phoneticPr fontId="16" type="noConversion"/>
  </si>
  <si>
    <t>Configuration of CRS</t>
    <phoneticPr fontId="16" type="noConversion"/>
  </si>
  <si>
    <t>See ECE R129 Part 6.2.1</t>
  </si>
  <si>
    <t>6.2.1.The configuration of the Enhanced Child Restraint System shall be such that:</t>
  </si>
  <si>
    <t>See ECE R129 Part 6.2.1.1</t>
  </si>
  <si>
    <t>6.2.1.1.The restraint of the child shall give the required protection in any position specified for the Enhanced Child Restraint System;</t>
  </si>
  <si>
    <t>For "Special Needs Restraints" the primary means of restraint shall give the required protection in any intended position of the Enhanced Child Restraint System without the use of the additional restraining devices which may be present;</t>
  </si>
  <si>
    <t>See ECE R129 Part 6.2.1.2</t>
  </si>
  <si>
    <t>6.2.1.2.The Enhanced Child Restraint System shall be such that the child may be easily and readily restrained or removed. In the case of an Enhanced Child Restraint System in which the child is restrained by means of a harness belt or a Y-shaped belt without a retractor each shoulder restraint and lap strap shall be capable of movement relative to each other during the procedure prescribed in paragraph 6.7.1.4. below; in these cases the Enhanced Child Restraint System belt assembly may be designed with two or more connecting parts.</t>
  </si>
  <si>
    <t>For Special Needs Restraints it is recognized that the additional restraining devices will restrict the speed by which a child can be restrained and removed. However, the additional devices shall be designed to release quickly so far as possible;</t>
  </si>
  <si>
    <t>See ECE R129 Part 6.2.1.3</t>
  </si>
  <si>
    <t>6.2.1.3.If it is possible to change the inclination of the Enhanced Child Restraint System, this change in inclination shall not require manual readjustment of any other part of the Enhanced Child Restraint System. A deliberate hand-action shall be necessary in order to change the inclination of the Enhanced Child Restraint System;</t>
  </si>
  <si>
    <t>6.2.1.4.To prevent submarining, either by impact or through restlessness, a crotch strap shall be required on all integral forward-facing restraints incorporating an integral harness belt system.</t>
    <phoneticPr fontId="16" type="noConversion"/>
  </si>
  <si>
    <t>See ECE R129 Part 6.2.1.5</t>
  </si>
  <si>
    <t xml:space="preserve">6.2.1.5.All restraint devices utilizing a lap strap shall positively guide the lap strap to ensure that the loads transmitted by the lap strap are transmitted through the pelvis. The assembly shall not subject weak parts of the child's body (abdomen, crotch, etc.) to excessive stresses. </t>
  </si>
  <si>
    <t>Moreover, the design shall be such that compression loads shall not be imposed on the crown of the child's head in the event of a collision;</t>
    <phoneticPr fontId="16" type="noConversion"/>
  </si>
  <si>
    <t>See ECE R129 Part 6.2.1.6</t>
    <phoneticPr fontId="16" type="noConversion"/>
  </si>
  <si>
    <t xml:space="preserve">6.2.1.6. For I-Size or specific vehicle booster seats, the lap portion of the adult seat belt shall be positively guided to ensure that the loads transmitted by the adult lap belt are transmitted through the pelvis. The shoulder portion of the adult safety belt shall be positively guided to ensure that the child torso and neck do not escape."  </t>
  </si>
  <si>
    <t>See ECE R129 Part 6.2.1.7</t>
  </si>
  <si>
    <t>6.2.1.7.All straps of the restraint shall be so placed that they cannot cause discomfort to the wearer in normal use or assume a dangerous configuration. Y-shaped belts are not permitted on forward facing Enhanced Child Restraint Systems and may only be used in dedicated rearward facing and or lateral facing Enhanced Child Restraint Systems (carrycots). The distance between the shoulder-straps in the vicinity of the neck should be at least the width of the neck of the appropriate dummy.</t>
  </si>
  <si>
    <t>See ECE R129 Part 6.2.1.8</t>
  </si>
  <si>
    <t>6.2.1.8.With the crotch strap attached and in its longest position if adjustable, it shall not be possible to adjust the lap strap to lie above the pelvis of both the smallest and largest dummy within the size range covered by the approval. For all forward-facing restraints, it shall not be possible to adjust the lap strap to lie above the pelvis of both the smallest and largest dummy within the size range covered by the approval.</t>
  </si>
  <si>
    <t>See ECE R129 Part 6.2.1.9</t>
  </si>
  <si>
    <t>6.2.1.9.During the dynamic test, as prescribed in paragraph 7.1.3., the lap belt shall not pass fully beyond the pelvic structure of the dummy during the period prior to maximum horizontal head excursion. An assessment shall be carried out using high speed video imaging.</t>
  </si>
  <si>
    <t>See ECE R129 Part 6.2.1.10</t>
  </si>
  <si>
    <t>6.2.1.10.At least the worst case configuration of the dynamic test for the Enhanced Child Restraint System shall be performed after conditioning according to paragraph 7.2.6.</t>
  </si>
  <si>
    <t>CRS requirement</t>
    <phoneticPr fontId="17" type="noConversion"/>
  </si>
  <si>
    <t>See GB27887 Part 4.3.2</t>
    <phoneticPr fontId="16" type="noConversion"/>
  </si>
  <si>
    <t xml:space="preserve">4.3.2  For groups I, II and III, all restraint devices utilizing a "lap strap" must positivelyguide the "lap strap" to ensure that the loads transmitted by the "lap strap" are transmitted through the pelvis. </t>
  </si>
  <si>
    <t>See GB27887 Part 4.3.3</t>
  </si>
  <si>
    <t xml:space="preserve">4.3.3  All straps of the restraint shall be so placed that they cannot cause discomfort to the wearer in normal use or assume a dangerous configuration. The distance between the shoulder-straps in the vicinity of the neck should be at least the width of the neck of the appropriate dummy. </t>
  </si>
  <si>
    <t>See GB27887 Part 4.3.4</t>
  </si>
  <si>
    <t xml:space="preserve">4.3.4  The assembly shall not subject weak parts of the child's body (abdomen, crotch, etc.) to excessive stresses. The design shall be such that compression loads shall not be imposed on the crown of the child's head in the event of a collision. Y-shaped belts may only be used in rearward facing and lateral facing child restraint systems (carrycots). </t>
  </si>
  <si>
    <t>See GB27887 Part 4.3.5</t>
  </si>
  <si>
    <t>child injury by sharp edges or protrusions</t>
    <phoneticPr fontId="16" type="noConversion"/>
  </si>
  <si>
    <t xml:space="preserve">4.3.5  The child restraint shall be so designed and installed as: </t>
  </si>
  <si>
    <t>See GB27887 Part 4.3.5.1</t>
  </si>
  <si>
    <t xml:space="preserve">4.3.5.1  To minimize the danger of injury to the child or to other occupants of the vehicle through sharp edges or protrusions (as defined in GB 11552). </t>
    <phoneticPr fontId="16" type="noConversion"/>
  </si>
  <si>
    <t>See GB27887 Part 4.3.5.2</t>
  </si>
  <si>
    <t xml:space="preserve">4.3.5.2  Not to exhibit sharp edges or protrusions liable to cause damage to vehicle-seat covers or to occupant's clothing. </t>
    <phoneticPr fontId="17" type="noConversion"/>
  </si>
  <si>
    <t>See GB27887 Part 4.3.5.3</t>
  </si>
  <si>
    <t xml:space="preserve">4.3.5.3  Not to subject weak parts of the child's body (abdomen, crotch, etc.) to supplementary inertial forces it sets up. </t>
    <phoneticPr fontId="17" type="noConversion"/>
  </si>
  <si>
    <t>See GB27887 Part 4.3.5.4</t>
  </si>
  <si>
    <t xml:space="preserve">4.3.5.4  To ensure that its rigid parts do not, at points where they are in contact with straps, exhibit sharp edges capable of abrading the straps. </t>
    <phoneticPr fontId="17" type="noConversion"/>
  </si>
  <si>
    <t>See ECE R129 Part 6.2.2</t>
  </si>
  <si>
    <t>6.2.2.The Enhanced Child Restraint System shall be designed and installed so as to:</t>
  </si>
  <si>
    <t>See ECE R129 Part 6.2.2.1</t>
  </si>
  <si>
    <t>6.2.2.1.Not exhibit sharp edges or protrusions liable to cause damage to vehicle-seat covers or to occupant's clothing;</t>
  </si>
  <si>
    <t>See ECE R129 Part 6.2.2.2</t>
  </si>
  <si>
    <t>6.2.2.2.To ensure that its rigid parts do not, at any point, where they are in contact with straps, exhibit sharp edges capable of abrading the straps.</t>
    <phoneticPr fontId="16" type="noConversion"/>
  </si>
  <si>
    <t>See GB27887 Part 4.3.6</t>
  </si>
  <si>
    <t>Misuse of detachable parts</t>
    <phoneticPr fontId="16" type="noConversion"/>
  </si>
  <si>
    <t xml:space="preserve">4.3.6 Any part made separable to enable components to be fixed and detached shall be so designed as to avoid any risk of incorrect assembly and use so far as possible. "Special Needs Restraints" may have additional restraining devices; these shall be designed to avoid any risk of incorrect assembly and that their means of release and mode of operation is immediately obvious to a rescuer in an emergency. </t>
  </si>
  <si>
    <t>See ECE R129 Part 6.2.3</t>
  </si>
  <si>
    <t>6.2.3.It shall not be possible to remove or detach without the use of specific tools, any components not designed to be removable or detachable. Any components that are designed to be removable for maintenance or adjustment purpose shall be so designed as to avoid any risk of incorrect assembly and use, as the assembly and disassembly processes shall be explained in detail in the restraint user guides. Any harness belt shall be capable of its full range of adjustment without disassembly.</t>
  </si>
  <si>
    <t>See ECE R129 Part 6.2.4</t>
  </si>
  <si>
    <t>6.2.4."Special Needs Restraints" may have additional restraining devices; these shall be designed to avoid any risk of incorrect assembly, and shall be designed so that their means of release and mode of operation is immediately obvious to any rescuer in an emergency.</t>
  </si>
  <si>
    <t>See GB27887 Part 4.3.7</t>
    <phoneticPr fontId="16" type="noConversion"/>
  </si>
  <si>
    <t xml:space="preserve">4.3.7  Where the child restraint intended for group I, group II and groups I and II combined includes a chair back, the internal height of the latter, determined in accordance with the Figure K.1 in Appendix K, shall be not less than 500 mm. </t>
  </si>
  <si>
    <t>See GB27887 Part 4.3.8</t>
  </si>
  <si>
    <t xml:space="preserve">4.3.8 Only automatically-locking retractors or emergency-locking retractors may be used. </t>
  </si>
  <si>
    <t>CRS requirement</t>
    <phoneticPr fontId="17" type="noConversion"/>
  </si>
  <si>
    <t>See GB27887 Part 4.3.9</t>
    <phoneticPr fontId="16" type="noConversion"/>
  </si>
  <si>
    <t xml:space="preserve">4.3.9 For devices intended for use in Group I it must not be possible for the child to easily slacken that part of the system that restrains the pelvis after the child has been installed; any device that is designed to obtain this must be permanently attached to the child restraint system. </t>
  </si>
  <si>
    <t>See GB27887 Part 4.3.10</t>
  </si>
  <si>
    <t xml:space="preserve">4.3.10  A child restraint may be designed for use in more than one mass group and/or by more than one child, provided that it is able to satisfy the requirements laid down for each of the groups concerned. A child restraint in the "universal" category must meet the requirements of that category for all mass groups for which it has been approved. </t>
  </si>
  <si>
    <t>See ECE R129 Part 6.2.5</t>
  </si>
  <si>
    <t>6.2.5.An Enhanced Child Restraint System may be designed for use in any size range specified by the manufacturer provided that it satisfies the requirements laid down in this Regulation.</t>
  </si>
  <si>
    <t>See GB27887 Part 4.3.11</t>
  </si>
  <si>
    <t xml:space="preserve">4.3.11  In the case of a child restraint incorporating a retractor, the retractor shall have met the requirements of Article 5.2.3. </t>
    <phoneticPr fontId="17" type="noConversion"/>
  </si>
  <si>
    <t>See GB27887 Part 4.3.12</t>
    <phoneticPr fontId="16" type="noConversion"/>
  </si>
  <si>
    <t>4.3.12  In case of booster cushions, the ease with which the straps and tongue of an adult belt pass through the fixture points must be examined. This goes particularly for booster cushions which are designed for the front seats of cars, which may have long semi-rigid stalks. The fixed buckle should not be allowed to pass through the fixture points of booster seats, or to permit a lie of belt completely different from that of the test-trolley.</t>
    <phoneticPr fontId="17" type="noConversion"/>
  </si>
  <si>
    <t>See GB27887 Part 4.3.13</t>
  </si>
  <si>
    <t xml:space="preserve">4.3.13  If the child restraint is designed for more than one child, each restraint system shall be fully independent with regard to load transfer and adjustments. </t>
  </si>
  <si>
    <t>See GB27887 Part 4.3.14</t>
  </si>
  <si>
    <t xml:space="preserve">4.3.14  The child restraints incorporating inflatable elements shall be so designed that the conditions of use (pressure, temperature, humidity) have no influence on their ability to comply with the requirements of this standard. </t>
    <phoneticPr fontId="16" type="noConversion"/>
  </si>
  <si>
    <t>See ECE R129 Part 6.2.6</t>
  </si>
  <si>
    <t>6.2.6.Enhanced Child Restraint Systems incorporating inflatable elements shall be so designed that the conditions of use (pressure, temperature, humidity) have no influence on their ability to comply with the requirements of this Regulation.</t>
  </si>
  <si>
    <t xml:space="preserve">ISOFIX attachments </t>
  </si>
  <si>
    <t>See GB27887 Part 4.1.2</t>
  </si>
  <si>
    <t xml:space="preserve">4.1.2  ISOFIX Child restraint systems fall into 7 ISOFIX size classes described in GB A - ISO/F3: Full Height Forward Facing toddler CRS; B - ISO/F2: Reduced Height Forward Facing toddler CRS; B1 - ISO/F2X: Reduced Height Forward Facing Toddler CRS; C - ISO/R3: Full Size Rearward Facing toddler CRS; D - ISO/R2: Reduced Size Rearward Facing toddler CRS; E - ISO/R1: Rearward Facing infant CRS; F - ISO/L1: Left Lateral Facing position CRS (carry-cot); G - ISO/L2: Right Lateral Facing position CRS (carry-cot). </t>
    <phoneticPr fontId="16" type="noConversion"/>
  </si>
  <si>
    <t>See GB27887 Part 4.1.3</t>
  </si>
  <si>
    <t>4.1.3 The corresponding relationship between the child restraint system mass group and ISOFIX size category is provided in Table 1</t>
    <phoneticPr fontId="17" type="noConversion"/>
  </si>
  <si>
    <t>See GB27887 Part 4.4.1.1</t>
  </si>
  <si>
    <t xml:space="preserve">4.4.1.1  Dimensions - The maximum lateral, downward, and rearward dimensions for the ISOFIX child restraint system and the locations of the ISOFIX anchorages system with which its attachments must engage are defined for the ISOFIX child restraint system manufacturer by the Vehicle Seat Fixture (VSF) defined by Article 3.47 of this standard. </t>
  </si>
  <si>
    <t>See GB27887 Part 4.4.1.2</t>
  </si>
  <si>
    <t xml:space="preserve">4.4.1.2  Mass - The mass of an ISOFIX child restraint system of universal and semi-universal categories and of mass group 0, 0+, 1 shall not exceed 15 kg(33 lb). </t>
    <phoneticPr fontId="16" type="noConversion"/>
  </si>
  <si>
    <t>See ECE R129 Part 6.3.2.3</t>
  </si>
  <si>
    <t>6.3.2.3 The mass of an integral ISOFIX Enhanced Child Restraint System (I-Size Enhanced Child Restraint System included) combined with the mass of the largest child intended to use the Enhanced Child Restraint System shall not exceed 33 kg(72.8 lb). This mass limit is also applicable for "Specific vehicle ISOFIX" Enhanced Child Restraint Systems.</t>
    <phoneticPr fontId="16" type="noConversion"/>
  </si>
  <si>
    <t>See GB27887 Part 4.4.2.1</t>
  </si>
  <si>
    <t xml:space="preserve">4.4.2.1  Type - ISOFIX Attachments may be according to examples shown in Figure 2, or other appropriate designs that are part of a rigid mechanism having provision for adjustment, the nature of which is determined by the ISOFIX child restraint system manufacturer. </t>
  </si>
  <si>
    <t>See ECE R129 Part 6.3.3.1</t>
  </si>
  <si>
    <t>6.3.3.1.Type. ISOFIX attachments may be according to examples shown in Figure 0(a), or other appropriate designs that are part of a rigid mechanism having provision for adjustment, the nature of which is determined by the ISOFIX Enhanced Child Restraint System manufacturer.</t>
    <phoneticPr fontId="16" type="noConversion"/>
  </si>
  <si>
    <t>See GB27887 Part 4.4.2.2</t>
  </si>
  <si>
    <t xml:space="preserve">4.4.2.2  Dimensions - Dimensions for the portion of the ISOFIX child restraint system attachment that engages the ISOFIX anchorage system must not exceed the maximum dimensions given by the envelope in Figure 3. </t>
  </si>
  <si>
    <t>See ECE R129 Part 6.3.3.2</t>
  </si>
  <si>
    <t>6.3.3.2.Dimensions. Dimensions for the portion of the ISOFIX Enhanced Child Restraint System attachment that engages the ISOFIX anchorage system shall not exceed the maximum dimensions given by the envelope in Figure 0(b).</t>
    <phoneticPr fontId="16" type="noConversion"/>
  </si>
  <si>
    <t>See GB27887 Part 4.4.2.3</t>
  </si>
  <si>
    <t xml:space="preserve">4.4.2.3  Latching indication  - The ISOFIX child restraint system shall incorporate means by which there is a clear indication that both of the ISOFIX attachments are completely latched with the corresponding ISOFIX lower anchorages. The indication means may be audible, tactile or visual or a combination of two or more. In case of visual indication it must be detectable under all normal lighting conditions. </t>
  </si>
  <si>
    <t>See ECE R129 Part 6.3.3.3</t>
  </si>
  <si>
    <t>6.3.3.3.Partial latching indication. The ISOFIX Enhanced Child Restraint System shall incorporate means by which there is a clear indication that both of the ISOFIX attachments are completely latched with the corresponding ISOFIX lower anchorages. The indication means may be audible, tactile or visual or a combination of two or more. In case of visual indication it shall be detectable under all normal lighting conditions.</t>
    <phoneticPr fontId="16" type="noConversion"/>
  </si>
  <si>
    <t xml:space="preserve">ISOFIX child restraint top tether strap specifications </t>
    <phoneticPr fontId="16" type="noConversion"/>
  </si>
  <si>
    <t>See GB27887 Part 4.4.3</t>
  </si>
  <si>
    <t xml:space="preserve">4.4.3  ISOFIX child restraint top tether strap specifications </t>
    <phoneticPr fontId="16" type="noConversion"/>
  </si>
  <si>
    <t>See GB27887 Part 4.4.3.1</t>
  </si>
  <si>
    <t xml:space="preserve">4.4.3.1  Top tether connector  - The top tether connector should be ISOFIX top tether hook as shown in Figure 4, or similar devices that fit within the envelope given by Figure 4. </t>
  </si>
  <si>
    <t>See ECE R129 Part 6.3.4</t>
  </si>
  <si>
    <t>6.3.4.ISOFIX Enhanced Child Restraint System top tether strap specifications</t>
  </si>
  <si>
    <t>See ECE R129 Part 6.3.4.1.</t>
  </si>
  <si>
    <t>6.3.4.1.Top tether connector. The top tether connector shall be ISOFIX top tether hook as shown in Figure 0(c), or similar devices that fit within the envelope given by Figure 0(c).</t>
    <phoneticPr fontId="16" type="noConversion"/>
  </si>
  <si>
    <t>See GB27887 Part 4.4.3.2</t>
  </si>
  <si>
    <t xml:space="preserve">4.4.3.2  ISOFIX Top tether strap features  - The ISOFIX top tether strap shall be supported by webbing (or its equivalent), having a provision for adjustment and release of tension. </t>
  </si>
  <si>
    <t>See ECE R129 Part 6.3.4.2</t>
  </si>
  <si>
    <t>6.3.4.2.ISOFIX top tether strap features. The ISOFIX top tether strap shall be supported by webbing (or its equivalent), having a provision for adjustment and release of tension.</t>
    <phoneticPr fontId="16" type="noConversion"/>
  </si>
  <si>
    <t>See GB27887 Part 4.4.3.2.1</t>
  </si>
  <si>
    <t>4.4.3.2.1  ISOFIX Top tether strap length - ISOFIX Child restraint top tether strap length shall be at least 2,000 mm(78.7 in).</t>
    <phoneticPr fontId="16" type="noConversion"/>
  </si>
  <si>
    <t>See ECE R129 Part 6.3.4.2.1</t>
  </si>
  <si>
    <t>6.3.4.2.1.ISOFIX Top tether strap length. ISOFIX Enhanced Child Restraint System top tether strap length shall be at least 2,000 mm(78.7 in).</t>
    <phoneticPr fontId="16" type="noConversion"/>
  </si>
  <si>
    <t>See GB27887 Part 4.4.3.2.2</t>
  </si>
  <si>
    <t>4.4.3.2.2  No-slack indicator - The ISOFIX top tether strap or the ISOFIX child seat shall be equipped with a device that will indicate that all slack has been removed from the strap. The device may be part of adjustment and tension relieving device.</t>
  </si>
  <si>
    <t>NA</t>
    <phoneticPr fontId="16" type="noConversion"/>
  </si>
  <si>
    <t>See ECE R129 Part 6.3.4.2.2</t>
  </si>
  <si>
    <t>6.3.4.2.2.No-slack indicator. The ISOFIX top tether strap or the ISOFIX Enhanced Child Restraint System shall be equipped with a device that will indicate that all slack has been removed from the strap. The device may be part of an adjustment and tension relieving device.</t>
    <phoneticPr fontId="16" type="noConversion"/>
  </si>
  <si>
    <t xml:space="preserve">ISOFIX restraint specifications </t>
    <phoneticPr fontId="17" type="noConversion"/>
  </si>
  <si>
    <t>See GB27887 Part 4.4.4</t>
  </si>
  <si>
    <t xml:space="preserve">4.4.4 Adjustment provisions - The ISOFIX attachments, or the ISOFIX child restraint system itself, shall be adjustable to accommodate the range of ISOFIX anchorage locations described in GB 14167. </t>
  </si>
  <si>
    <t>See GB27887 Part 5.2.6</t>
  </si>
  <si>
    <t xml:space="preserve">5.2.6  ISOFIX attachments ISOFIX attachments and connector indicators shall be capable of withstanding repeated operations and shall, before the dynamic test prescribed in 6.1.3., undergo a test comprising 2000 ± 5 opening and closing cycles under normal conditions of use. </t>
  </si>
  <si>
    <t>I-Size ECRS support-leg and support-leg foot requirements</t>
    <phoneticPr fontId="16" type="noConversion"/>
  </si>
  <si>
    <t>See ECE R129 Part 6.3.5</t>
  </si>
  <si>
    <t>6.3.5.I-Size Enhanced Child Restraint System support-leg and support-leg foot requirements</t>
    <phoneticPr fontId="16" type="noConversion"/>
  </si>
  <si>
    <t xml:space="preserve">I-Size Enhanced Child Restraint Systems fitted with support-legs shall comply in all positions of use (e.g. in case of length adjustable attachment, base, etc. the shortest and longest position) with the geometrical provisions defined in this paragraph and its subparagraphs. </t>
  </si>
  <si>
    <t>Compliance with the requirements specified in paragraphs 6.3.5.1. and 6.3.5.2. below may be verified by a physical or computer simulation.</t>
  </si>
  <si>
    <t>The geometrical requirements in paragraphs 6.3.5.1. to 6.3.5.4. below are referenced to a coordinate system, whose origin is located centrally between the two ISOFIX attachments and on the centreline of the corresponding ISOFIX anchorage system.</t>
  </si>
  <si>
    <t>The orientation of the axes of the coordinate system is referenced to the child restraint fixture(s):</t>
  </si>
  <si>
    <t>See ECE R129 Part 6.3.5.(a)</t>
  </si>
  <si>
    <t>6.3.5.(a)The X' axis shall be parallel to the child restraint fixture (CRF)[2] bottom surface and in the median longitudinal plane of the CRF;</t>
  </si>
  <si>
    <t>See ECE R129 Part 6.3.5.(b)</t>
  </si>
  <si>
    <t>6.3.5.(b)The Y' axis shall be perpendicular to the median longitudinal plane;</t>
  </si>
  <si>
    <t>See ECE R129 Part 6.3.5.(c)</t>
  </si>
  <si>
    <t>6.3.5.(c)The Z' axis shall be perpendicular to the CRF bottom surface.</t>
  </si>
  <si>
    <t>In fulfilling the requirements of this section, the Enhanced Child Restraint System shall be installed in accordance with the user manual of the Enhanced Child Restraint System. The storage position of the support-leg is excluded from these requirements.</t>
  </si>
  <si>
    <t>See ECE R129 Part 6.3.5.1.</t>
  </si>
  <si>
    <t>6.3.5.1. Support-leg and support-leg foot geometrical requirements</t>
  </si>
  <si>
    <t>The support leg, including its attachment to the Enhanced child restraint systems and the support-leg foot shall lie completely within the support leg dimension assessment volume (see also figures 1 and 2 of annex 19 of this Regulation), which is defined as follows:</t>
  </si>
  <si>
    <t>See ECE R129 Part 6.3.5.1.(a)</t>
  </si>
  <si>
    <t>6.3.5.1. (a) In width by two planes parallel to the X'-Z' plane separated by 200 mm(7.9 in), and centered around the origin; and</t>
    <phoneticPr fontId="16" type="noConversion"/>
  </si>
  <si>
    <t>See ECE R129 Part 6.3.5.1.(b)</t>
  </si>
  <si>
    <t>6.3.5.1. (b) In length by two planes parallel to the Z'-Y' plane and positioned at distances of 585 mm and 695 mm(23 in~27 in) forward of the origin along the X' axis; and</t>
    <phoneticPr fontId="16" type="noConversion"/>
  </si>
  <si>
    <t>See ECE R129 Part 6.3.5.1.(c)</t>
  </si>
  <si>
    <t>6.3.5.1. (c) In height by a plane parallel to the X'-Y' plane, positioned at a distance of 70 mm(2.8 in) above the origin and measured perpendicular to the X'-Y' plane. Rigid, non-adjustable parts of the support leg shall not extend beyond a plane parallel to the X'-Y' plane, positioned at a distance of 285 mm(11.2 in) below the origin and perpendicular to the X'-Y' plane.</t>
    <phoneticPr fontId="16" type="noConversion"/>
  </si>
  <si>
    <t xml:space="preserve">The support-leg may protrude the support-leg dimension assessment volume, providing it remains within the volume of the relevant CRF." </t>
  </si>
  <si>
    <t>See ECE R129 Part 6.3.5.2</t>
  </si>
  <si>
    <t xml:space="preserve">6.3.5.2.Support-leg foot adjustability requirements </t>
  </si>
  <si>
    <t>The support-leg shall be adjustable in order to ensure that the support-leg foot can be positioned throughout the height range of the support-leg foot assessment volume  as specified below (see also Figures 3 and 4 of Annex 19 to this Regulation). Where incremental adjustment is provided, the step between two locked positions shall not exceed 20 mm(0.8 in).</t>
    <phoneticPr fontId="16" type="noConversion"/>
  </si>
  <si>
    <t>The support leg foot assessment volume is defined as follows:</t>
  </si>
  <si>
    <t>See ECE R129 Part 6.3.5.2.(a)</t>
  </si>
  <si>
    <t xml:space="preserve">6.3.5.2.(a)In width by two planes parallel to the X'-Z' plane, separated by 200 mm(7.9 in), and centered around the origin; and </t>
    <phoneticPr fontId="16" type="noConversion"/>
  </si>
  <si>
    <t>See ECE R129 Part 6.3.5.2.(b)</t>
  </si>
  <si>
    <t>6.3.5.2.(b)In length by two planes parallel to the Z'-Y' plane and positioned at distances of 585 mm and 695 mm(23 in~27 in) forward of the origin along the X' axis; and</t>
    <phoneticPr fontId="16" type="noConversion"/>
  </si>
  <si>
    <t>See ECE R129 Part 6.3.5.2.(c)</t>
  </si>
  <si>
    <t>6.3.5.2.(c)In height by two planes parallel to the X'-Y' plane positioned at distances of 285 mm and 540 mm(11.2~21.3 in) below the origin along the X' axis.</t>
    <phoneticPr fontId="16" type="noConversion"/>
  </si>
  <si>
    <t>It shall be permissible for the support-leg to be adjustable beyond the height limits in the Z' direction (as indicated by key 6 in Figure 3 of Annex 19), providing that no parts extend beyond the limiting planes in the X' and Y' directions.</t>
  </si>
  <si>
    <t>See ECE R129 Part 6.3.5.3</t>
  </si>
  <si>
    <t>6.3.5.3.Support-leg foot dimensions</t>
  </si>
  <si>
    <t>The dimensions of the support-leg foot shall meet the following requirements:</t>
  </si>
  <si>
    <t>See ECE R129 Part 6.3.5.3.(a)</t>
  </si>
  <si>
    <t>See ECE R129 Part 6.3.5.3.(b)</t>
  </si>
  <si>
    <t>6.3.5.3.(b)Minimum outside dimensions shall be 30 mm(1.2 in) in the X' and Y' directions, with maximum dimensions being limited by the support-leg foot assessment volume;</t>
    <phoneticPr fontId="16" type="noConversion"/>
  </si>
  <si>
    <t>See ECE R129 Part 6.3.5.3.(c)</t>
  </si>
  <si>
    <t>6.3.5.3.(c)Minimum radius of the edges of the support-leg foot shall be 3.2 mm(0.13 in).</t>
    <phoneticPr fontId="16" type="noConversion"/>
  </si>
  <si>
    <t>See ECE R129 Part 6.3.5.4</t>
  </si>
  <si>
    <t xml:space="preserve">6.3.5.4.Support-leg foot jig </t>
  </si>
  <si>
    <t>The jig is defined as the ISOFIX CRF corresponding to the size class of the Enhanced Child Restraint System. The jig is expanded with two 6 mm(0.24 in) diameter ISOFIX low anchorages. The striped box positioned in front of the jig is positioned and sized according paragraph 6.3.5.2. above. The ECRS shall have its attachments latched when conducting the assessment.</t>
    <phoneticPr fontId="16" type="noConversion"/>
  </si>
  <si>
    <t>Car Seat requirement</t>
  </si>
  <si>
    <t>S5 (b)Each child restraint system manufactured for use in motor vehicles shall meet the requirements in this section when, as specified, tested in accordance with S6.1 and this paragraph. Each add-on system shall meet the requirements at each of the restraint’s seat back angle adjustment positions and restraint belt routing positions, when the restraint is oriented in the direction recommended by the manufacturer (e.g., forward, rearward or laterally) pursuant to S5.6, and tested with the test dummy specified in S7.</t>
    <phoneticPr fontId="17" type="noConversion"/>
  </si>
  <si>
    <t>Aircraft Requirements</t>
  </si>
  <si>
    <t>S5 (c) Each child restraint system manufactured for use in aircraft shall meet the requirements in this section and the additional requirements in S8.</t>
    <phoneticPr fontId="17" type="noConversion"/>
  </si>
  <si>
    <t>Limitation for Use</t>
  </si>
  <si>
    <t>S5 (d) Each child restraint tested with a Part 572 Subpart S dummy need not meet S5.1.2 and S5.1.3.</t>
    <phoneticPr fontId="17" type="noConversion"/>
  </si>
  <si>
    <t>S5 (e) Each child restraint system tested with a part 572 subpart T dummy need not meet S5.1.2.1(a).</t>
    <phoneticPr fontId="17" type="noConversion"/>
  </si>
  <si>
    <t>S5 (f) Each child restraint system that is equipped with an internal harness or other internal components to restrain the child need not meet this standard when attached to the lower anchors of the child restraint anchorage system on the standard seat assembly if the sum of the weight of the child restraint system (in pounds) and the average weight of child represented by the test dummy used to test the child restraint in accordance with S7 of this standard, shown in the table below, exceeds 29.5kg(65 lb). Such a child restraint must meet this standard when tested using its internal harness or components to restrain such a test dummy while installed using the standard seat belt assembly specified in S5.3.2 of this standard.</t>
    <phoneticPr fontId="17" type="noConversion"/>
  </si>
  <si>
    <t>Physical Dimensional Requirements</t>
  </si>
  <si>
    <t>S5.2 Force distribution.</t>
    <phoneticPr fontId="17" type="noConversion"/>
  </si>
  <si>
    <t>S5.2.1 Minimum head support surface—child restraints other than car beds.</t>
    <phoneticPr fontId="17" type="noConversion"/>
  </si>
  <si>
    <t>S5.2.1.1 Except as provided in S5.2.1.2, each child restraint system other than a car bed shall provide restraint against rearward movement of the head of the child (rearward in relation to the child) by means of a continuous seat back which is an integral part of the system and which—</t>
    <phoneticPr fontId="17" type="noConversion"/>
  </si>
  <si>
    <t xml:space="preserve">S5.2.1.1(a) Has a height, measured along the system seat back surface for the child in the vertical longitudinal plane passing through the longitudinal centerline of the child restraint systems from the of the child restraint systems from the lowest point on the system seating surface that is contacted by the buttocks of the seated dummy, as follows: </t>
    <phoneticPr fontId="17" type="noConversion"/>
  </si>
  <si>
    <t>S5.2.1.1(a)(1) When a child restraint system is recommended under S5.5 for use by children Not more than 18 kg(40 lb). The height of the portion of the system seat back providing head restraint shall not be less than 500mm(19.7 in)</t>
    <phoneticPr fontId="17" type="noConversion"/>
  </si>
  <si>
    <t>S5.2.1.1(a)(2) When a child restraint system is recommended under S5.5 for use by children More than 18 kg(40 lb). The height of the portion of the system seat back providing head restraint shall not be less than 560mm(22 in).</t>
    <phoneticPr fontId="17" type="noConversion"/>
  </si>
  <si>
    <t>S5.2.1.1(b) Has a width of not less than 203mm(8 in), measured in the horizontal plane at the height specified in paragraph (a) of this section. Except that a child restraint system with side supports extending at least 102mm(4 in) forward from the padded surface of the portion of the restraint system provided for support of the child’s head may have a width of not less than 152mm(6 in), measured in the horizontal plane at the height specified in paragraph (a) of this section.</t>
    <phoneticPr fontId="17" type="noConversion"/>
  </si>
  <si>
    <t>S5.2.1.1(c) Limits the rearward rotation of the test dummy head so that the angle between the head and torso of the dummy specified in S7. when tested in accordance with S6.1 is not more than 45 degrees greater than the angle between the head and torso after the dummy has been placed in the system in accordance with S6.1.2.3 and before the system is tested in accordance with S6.1.</t>
    <phoneticPr fontId="17" type="noConversion"/>
  </si>
  <si>
    <t>CRS requirement</t>
    <phoneticPr fontId="17" type="noConversion"/>
  </si>
  <si>
    <t>S5.2.1.2 The applicability of the requirements of S5.2.1.1 to a front-facing child restraint, and the conformance of any child restraint other than a car bed to those requirements, is determined using the largest of the test dummies specified in S7 for use in testing that restraint, provided that the 6-year-old dummy described in subpart I or subpart N of part 572 of this title and the 10-year-old dummy described in subpart T of part 572 of this title, are not used to determine the applicability of or compliance with S5.2.1.1. A front facing child restraint system is not required to comply with S5.2.1.1 if the target point on either side of the dummy’s head is below a horizontal plane tangent to the top of—</t>
    <phoneticPr fontId="17" type="noConversion"/>
  </si>
  <si>
    <t>S5.2.1.2(a) The standard seat assembly, in the case of an add-on child restraint system, when the dummy is positioned in the system and the system is installed on the assembly in accordance with S6.1.2.</t>
    <phoneticPr fontId="17" type="noConversion"/>
  </si>
  <si>
    <t xml:space="preserve">S5.2.2 Torso impact protection. Each child restraint system other than a car bed shall comply with the applicable requirements of S5.2.2.1 and S5.2.2.2. </t>
    <phoneticPr fontId="17" type="noConversion"/>
  </si>
  <si>
    <t>S5.2.2.1(c) Each horizontal cross section of each system surface designed to restrain forward movement of the child’s torso shall be flat or concave and each vertical longitudinal cross section shall be flat or convex with a radius of curvature of the underlying structure of not less than 51mm(2 in).</t>
    <phoneticPr fontId="17" type="noConversion"/>
  </si>
  <si>
    <t xml:space="preserve">S5.2.2.2 Each forward-facing child restraint system shall have no fixed or movable surface— </t>
    <phoneticPr fontId="17" type="noConversion"/>
  </si>
  <si>
    <t>S5.2.2.2(a) Directly forward of the dummy and intersected by a horizontal line—</t>
    <phoneticPr fontId="17" type="noConversion"/>
  </si>
  <si>
    <t>S5.2.2.2(a)(1) Parallel to the SORL, in the case of the add-on child restraint system, or</t>
    <phoneticPr fontId="17" type="noConversion"/>
  </si>
  <si>
    <t>S5.2.2.2(a)(2) Parallel to a vertical plane through the longitudinal center line of the vehicle seat, in the case of a built-in child restraint system, and,</t>
    <phoneticPr fontId="17" type="noConversion"/>
  </si>
  <si>
    <t>S5.2.2.2(b) Passing through any portion of the dummy, except for surfaces which restrain the dummy when the system is tested in accordance with S6.1.2(a)(2), so that the child restraint system shall conform to the requirements of S5.1.2 and S5.1.3.1.</t>
    <phoneticPr fontId="17" type="noConversion"/>
  </si>
  <si>
    <t>S5.2.3 Head impact protection.</t>
    <phoneticPr fontId="17" type="noConversion"/>
  </si>
  <si>
    <t>S5.2.3.1 Each child restraint system other than a child harness, manufactured before August 1, 2005, that is recommended under S5.5.2 for a child whose mass is less than 10 kg(22 lb) and that is not tested with the Part 572 Subpart R dummy, shall comply with S5.2.3.</t>
    <phoneticPr fontId="17" type="noConversion"/>
  </si>
  <si>
    <t>S5.2.3.2 Each system surface, except for protrusions that comply with S5.2.4, which is contactable by the dummy head when the system is tested in accordance with S6.1 shall be covered with slow recovery, energy absorbing material with the following characteristics:</t>
    <phoneticPr fontId="17" type="noConversion"/>
  </si>
  <si>
    <t>Protrusions into the child space prohibited</t>
  </si>
  <si>
    <t>S5.2.4 Protrusion limitation. Any portion of a rigid structural component within or underlying a contactable surface, or any portion of a child restraint system surface that is subject to the requirements of S5.2.3 shall, with any padding or other flexible overlay material removed, have a height above any immediately adjacent restraint system surface of not more than 9.5mm(3⁄8 in) and no exposed edge with a radius of less than 6.4mm(1⁄4 in).</t>
    <phoneticPr fontId="17" type="noConversion"/>
  </si>
  <si>
    <t>Installation Requirement</t>
  </si>
  <si>
    <t>S5.3 Installation.</t>
    <phoneticPr fontId="17" type="noConversion"/>
  </si>
  <si>
    <t>S5.3.1 Add-on child restraints shall meet either (a) or (b), as appropriate.</t>
    <phoneticPr fontId="17" type="noConversion"/>
  </si>
  <si>
    <t>S5.3.1(a) Except for components designed to attach to a child restraint anchorage system, each add-on child restraint system must not have any means designed for attaching the system to a vehicle seat cushion or vehicle seat back and any component (except belts) that is designed to be inserted between the vehicle seat cushion and vehicle seat back.</t>
    <phoneticPr fontId="17" type="noConversion"/>
  </si>
  <si>
    <t>Installation Instruction</t>
  </si>
  <si>
    <t>S5.3.1(b) Harnesses manufactured for use on school bus seats must meet S5.3.1(a) of this standard, unless a label that conforms in content to Figure 12 and to the requirements of S5.3.1(b)(1) through S5.3.1(b)(3) of this standard is permanently affixed to the part of the harness that attaches the system to a vehicle seat back. Harnesses that are not labeled as required by this paragraph must meet S5.3.1(a).</t>
    <phoneticPr fontId="17" type="noConversion"/>
  </si>
  <si>
    <t>S5.3.1(b)(1) The label must be plainly visible when installed and easily readable.</t>
    <phoneticPr fontId="17" type="noConversion"/>
  </si>
  <si>
    <t>S5.3.1(b)(3) The pictogram shall be gray and black with a red circle and slash on a white background. The pictogram shall be no less than 20 mm (0.79 in) in diameter.</t>
    <phoneticPr fontId="17" type="noConversion"/>
  </si>
  <si>
    <t>Vehicle Installation</t>
  </si>
  <si>
    <t>S5.3.2 Each add-on child restraint system shall be capable of meeting the requirements of this standard when installed solely by each of the means indicated in the following table for the particular type of child restraint system:</t>
    <phoneticPr fontId="17" type="noConversion"/>
  </si>
  <si>
    <t>S5.3.3 Car beds. Each car bed shall be designed to be installed on a vehicle seat so that the car bed’s longitudinal axis is perpendicular to a vertical longitudinal plane through the longitudinal axis of the vehicle.</t>
    <phoneticPr fontId="17" type="noConversion"/>
  </si>
  <si>
    <t>Required Words</t>
    <phoneticPr fontId="17" type="noConversion"/>
  </si>
  <si>
    <t>S5.9 Attachment to child restraint anchorage system</t>
  </si>
  <si>
    <t>Required Words</t>
  </si>
  <si>
    <t>S5.9(a) This add-on child restraint system (excluding car beds, harnesses, and belt-positioning seats) has a permanently attached anchorage system having components that enable the restraint to be securely fastened to the lower anchorages. The anchorage system has components which can only be removed with a tool, such as a screwdriver. Note: If this is a rear-facing child restraint system with a detachable base, then only the base is required to have the components.</t>
  </si>
  <si>
    <t>S5.9(b) This child restraint system has components for attaching the system to a tether anchorage, and those components include a tether hook that conforms to the configuration and geometry specified in Figure 22.</t>
  </si>
  <si>
    <t>S5.9(c) This child restraint system has adjustable components for attaching the system to a tether anchorage or to lower anchors to allow the restraint to be tightened to the vehicle.</t>
  </si>
  <si>
    <t>S5.9(d) If the anchorage system on this child restraint system has components, other than hooks, that enable the restraint to be securely fastened to the lower anchorages, it provides either an indication when each attachment to the lower anchorage becomes fully latched or attached, or provides a visual indication that all attachments to the lower anchorages are fully latched or attached. Visual indications are detectable under normal daylight lighting conditions.</t>
  </si>
  <si>
    <t>Dynamic test Performance</t>
    <phoneticPr fontId="17" type="noConversion"/>
  </si>
  <si>
    <t xml:space="preserve">Chest acceleration </t>
  </si>
  <si>
    <t>See GB27887 Part 5.1.4.2.1</t>
  </si>
  <si>
    <t>Child crash injury</t>
    <phoneticPr fontId="16" type="noConversion"/>
  </si>
  <si>
    <t>5.1.4.2.1  The resultant chest acceleration shall not exceed 55 g except during periods whose sum does not exceed 3 ms. (Chest acceleration limits do not apply when using the "new born" manikin)</t>
  </si>
  <si>
    <t>See GB27887 Part 5.1.4.2.2</t>
  </si>
  <si>
    <t>5.1.4.2.2  The vertical component of the acceleration from the abdomen towards the head shall not exceed 30 g except during periods whose sum does not exceed 3 ms. (Chest acceleration limits do not apply when using the "new born" manikin)</t>
  </si>
  <si>
    <t>Abdominal penetration</t>
    <phoneticPr fontId="16" type="noConversion"/>
  </si>
  <si>
    <t>See GB27887 Part 5.1.4.3</t>
  </si>
  <si>
    <t>5.1.4.3  Abdominal penetration. There shall be no visible signs of penetration of the modelling clay of the abdomen caused by any part of the restraining device. The new-born manikin is not fitted with any abdominal insert. Therefore only a subjective analysis can be used as a guide to abdominal penetration.</t>
    <phoneticPr fontId="16" type="noConversion"/>
  </si>
  <si>
    <t>Dynamic test Performance</t>
  </si>
  <si>
    <t>See ECE R129 Part 6.6.4.3</t>
  </si>
  <si>
    <t>6.6.4.3.Dummy criteria for frontal and rear impact.</t>
  </si>
  <si>
    <t>See ECE R129 Part 6.6.4.3.1</t>
  </si>
  <si>
    <t>6.6.4.3.1.Injury assessment criteria for frontal and rear impact</t>
    <phoneticPr fontId="16" type="noConversion"/>
  </si>
  <si>
    <t>See ECE R129 Part 6.6.4.5</t>
  </si>
  <si>
    <t>6.6.4.5.Dummy criteria for lateral impact for forward, lateral and rearward facing Enhanced Child Restraint System.</t>
  </si>
  <si>
    <t>See ECE R129 Part 6.6.4.5.1</t>
  </si>
  <si>
    <t>6.6.4.5.1.Main injury assessment criterion — Head containment</t>
  </si>
  <si>
    <t>During the loading phase of lateral impact testing, up to 80 ms, side protection shall always be positioned at the level at the dummy's head centre of gravity perpendicular to the direction of the door intrusion. Head containment will be assessed by the following criteria:</t>
  </si>
  <si>
    <t>See ECE R129 Part 6.6.4.5.1.(a)</t>
  </si>
  <si>
    <t>6.6.4.5.1.(a)No head contact with the door panel;</t>
  </si>
  <si>
    <t>See ECE R129 Part 6.6.4.5.1.(b)</t>
  </si>
  <si>
    <t xml:space="preserve">6.6.4.5.1.(b)Head shall not exceed … Appendix 3, Figure 1. This criteria is for monitoring purpose only for tests with a Q10 dummy.  </t>
  </si>
  <si>
    <t>See ECE R129 Part 6.6.4.5.2</t>
  </si>
  <si>
    <t>6.6.4.5.2.Additional Injury assessment criteria for lateral impact as in Table 4.</t>
    <phoneticPr fontId="16" type="noConversion"/>
  </si>
  <si>
    <t>Dummy displacement</t>
    <phoneticPr fontId="16" type="noConversion"/>
  </si>
  <si>
    <t>See GB27887 Part 5.1.4.4.1</t>
  </si>
  <si>
    <t xml:space="preserve">5.1.4.4.1 The dummy displacement of child restraints of the "universal", "restricted" and "semi-universal" categories shall meet the requirements of Articles 5.1.4.4.1.1 and 5.1.4.4.1.2. </t>
    <phoneticPr fontId="16" type="noConversion"/>
  </si>
  <si>
    <t>Dynamic test Performance</t>
    <phoneticPr fontId="17" type="noConversion"/>
  </si>
  <si>
    <t>See GB27887 Part 5.1.4.4.1.1</t>
    <phoneticPr fontId="16" type="noConversion"/>
  </si>
  <si>
    <t>5.1.4.4.1.1 Forward facing child restraints: the head of the dummy shall not pass beyond the 
planes BA and DA as defined in Figure 5 below. This shall be judged up to 300 ms or the moment that the dummy has come to a definitive standstill whatever occurs first. In case the dummy for a 10-year-old is subjected to the test with booster cushion, the distance from line Cr to plane DA shall be 840mm.</t>
    <phoneticPr fontId="16" type="noConversion"/>
  </si>
  <si>
    <t>See GB27887 Part 5.1.4.4.1.2</t>
  </si>
  <si>
    <t xml:space="preserve">5.1.4.4.1.2  Rear-facing child restraints: </t>
  </si>
  <si>
    <t>See GB27887 Part 5.1.4.4.1.2.1</t>
  </si>
  <si>
    <t>5.1.4.4.1.2.1  Child restraints supported by dashboard:  the head of the dummy  horizontal displacement shall be less than 700mm. The head of the dummy vertical displacement shall be less than 800mm. The head of the dummy shall not pass beyond the planes DCr.</t>
  </si>
  <si>
    <t>See GB27887 Part 5.1.4.4.1.2.3</t>
  </si>
  <si>
    <t>5.1.4.4.1.2.3  In the case the CRS contact the dashboard and all performance criteria are met, then perform one more frontal impact test without the dashboard with the heaviest dummy,  the requirements for this test are that all criteria other than forward displacement shall be met)</t>
    <phoneticPr fontId="16" type="noConversion"/>
  </si>
  <si>
    <t>See ECE R129 Part 6.6.4.4</t>
  </si>
  <si>
    <t>6.6.4.4.Dummy's head displacement for frontal and rear impact</t>
  </si>
  <si>
    <t>See ECE R129 Part 6.6.4.4.1</t>
  </si>
  <si>
    <t>6.6.4.4.1.Enhanced Child Restraint Systems of universal categories:</t>
  </si>
  <si>
    <t>See ECE R129 Part 6.6.4.4.1.1</t>
    <phoneticPr fontId="16" type="noConversion"/>
  </si>
  <si>
    <t>6.6.4.4.1.1.Forward facing Enhanced Child Restraint Systems</t>
  </si>
  <si>
    <t>Head excursion: No part of the head of the dummy shall pass beyond the planes BA, DA and DE as defined in Figure 1 below. This shall be judged up to 300 ms or the moment that the dummy has come to a definitive standstill whatever occurs first. Except for booster seats when testing using Q10 dummy where:</t>
  </si>
  <si>
    <t>See ECE R129 Part 6.6.4.4.1.1(a)</t>
    <phoneticPr fontId="16" type="noConversion"/>
  </si>
  <si>
    <t xml:space="preserve">6.6.4.4.1.1.(a)The value in relation to the DA plane is 840 mm; and </t>
  </si>
  <si>
    <t>See ECE R129 Part 6.6.4.4.1.1(b)</t>
    <phoneticPr fontId="16" type="noConversion"/>
  </si>
  <si>
    <t>6.6.4.4.1.1.(b)The value in relation to the BA plane is 550 mm; and</t>
  </si>
  <si>
    <t>See ECE R129 Part 6.6.4.4.1.1(c)</t>
    <phoneticPr fontId="16" type="noConversion"/>
  </si>
  <si>
    <t xml:space="preserve">6.6.4.4.1.1.(c)The rebound phase is not considered for the assessment of the plane DA and DE."  </t>
  </si>
  <si>
    <t>See ECE R129 Part 6.6.4.4.1.1.1</t>
    <phoneticPr fontId="16" type="noConversion"/>
  </si>
  <si>
    <t>6.6.4.4.1.1.1.Where a test is conducted in accordance with paragraph 6.6.4.1.6.2. above, a tolerance of +10 per cent shall be applicable to the head excursion value distance between Cr point and plane AB</t>
  </si>
  <si>
    <t>See ECE R129 Part 6.6.4.4.1.2</t>
  </si>
  <si>
    <t>6.6.4.4.1.2.Rearward-facing Enhanced Child Restraint Systems and carrycots:</t>
  </si>
  <si>
    <t>See ECE R129 Part 6.6.4.4.1.2.1</t>
  </si>
  <si>
    <t>6.6.4.4.1.2.1.Head excursion: no part of the head of the dummy shall pass beyond the planes FD, FG and DE, as shown in Figure 2 below. This shall be judged up to 300 ms or the moment that the dummy has come to a definitive standstill whatever occurs first.</t>
  </si>
  <si>
    <t>In the case there is a contact of such an Enhanced Child Restraint System with the 100 mm(3.9 in) diameter bar and all injury assessment and dummy's head displacement criteria are met, there shall be one further dynamic test (front impact) with the heaviest dummy intended for the given range of size indication and without the 100 mm(3.9 in) diameter bar; the requirements for this test are that all criteria other than forward displacement shall be met.</t>
    <phoneticPr fontId="16" type="noConversion"/>
  </si>
  <si>
    <t>Where a test is conducted in accordance with paragraph 6.6.4.1.6.1. above, only the second configuration without 100 mm diameter bar will be considered.</t>
    <phoneticPr fontId="16" type="noConversion"/>
  </si>
  <si>
    <t>See GB27887 Part 5.1.4.4.2</t>
  </si>
  <si>
    <t xml:space="preserve">5.1.4.4.2 Child restraints of the "specific vehicle" category: when tested in a complete vehicle or a vehicle body shell, the head shall not come into contact with any part of the vehicle. However, if there is contact, the speed of impact of the head shall be less than 24 km/h and the part contacted shall meet the requirements of the energy absorption test laid down in GB 11552. In tests with complete vehicles it shall be possible to remove the dummy from the child restraint without the use of tools after the test. </t>
  </si>
  <si>
    <t>See ECE R129 Part 6.6.4.4.2</t>
  </si>
  <si>
    <t>6.6.4.4.2.When Enhanced Child Restraint Systems of the specific vehicle categories are tested in a complete vehicle or a vehicle body shell, the head performance criterion (HPC) and the Head Acceleration 3 ms shall be used as assessment criteria. Where there is No Head Contact, these criteria shall be satisfied without measurement, and recorded only as no head contact. After a test, using a complete vehicle, it shall be possible to remove the fully assembled dummy from the Enhanced Child Restraint System without the use of mechanical leverage, or the use of tools on the Enhanced Child Restraint System or vehicle structure.</t>
  </si>
  <si>
    <t>See GB27887 Part 5.1.4.4.1.2.2</t>
  </si>
  <si>
    <t>5.1.4.4.1.2.2  Child restraints in group 0 not supported by the dashboard, and carrycots: the head of the dummy  horizontal displacement shall be less than 600mm. The head of the dummy vertical displacement shall be less than 800mm. The head of the dummy shall not pass beyond the planes DE.</t>
  </si>
  <si>
    <t>See ECE R129 Part 6.6.4.4</t>
    <phoneticPr fontId="16" type="noConversion"/>
  </si>
  <si>
    <t>6.6.4.4.3During the dynamic tests, no part of the Enhanced Child Restraint System restraining the child in position shall fail. This includes buckles, locking systems and reclining systems, except where identified as a load limiting device. Any load limiting device shall be identified in the manufacturers' technical descriptions as defined in paragraph 3.2.1. of this Regulation.</t>
  </si>
  <si>
    <t xml:space="preserve">Test with complete vehicle </t>
  </si>
  <si>
    <t>See GB27887 Part 6.1.3.4</t>
  </si>
  <si>
    <t xml:space="preserve">6.1.3.4  Test with complete vehicle </t>
    <phoneticPr fontId="16" type="noConversion"/>
  </si>
  <si>
    <t>See GB27887 Part 6.1.3.4.4</t>
  </si>
  <si>
    <t>6.1.3.4.4  The following measurements shall be made: 
- The instantaneous speed of the vehicle/impactor before impact; 
- Any contact of the dummy's head (in the case of group 0 the dummy without considering its limbs) with the interior of the vehicle; 
- The chest acceleration in three mutually perpendicular directions, except for newborn dummy; 
- Any visible signs of penetration of the clay in the abdomen (see 5.1.4.3), except for new-born dummy;</t>
  </si>
  <si>
    <t>See GB27887 Part 6.1.3.4.6</t>
  </si>
  <si>
    <t xml:space="preserve">6.1.3.4.6  After impact, the child restraint shall be inspected visually, without opening the buckle, to determine whether there has been any failure or breakage. </t>
  </si>
  <si>
    <t>S5.1 Dynamic performance.</t>
    <phoneticPr fontId="17" type="noConversion"/>
  </si>
  <si>
    <t xml:space="preserve">S5.1.1 Child restraint system integrity. When tested in accordance with S6.1, each child restraint system shall meet the requirements of paragraphs (a) through (c) of this section. </t>
    <phoneticPr fontId="17" type="noConversion"/>
  </si>
  <si>
    <t>S5.1.1(a) Exhibit no complete separation of any load bearing structural element and no partial separation exposing either surfaces with a radius of less than 6.4mm(1⁄4 in) or surfaces with protrusions greater than 9.5mm(3⁄8 in) above the immediate adjacent surrounding contactable surface of any structural element of the system.</t>
    <phoneticPr fontId="17" type="noConversion"/>
  </si>
  <si>
    <t>S5.1.1(b)(1) If adjustable to different positions, remain in the same adjustment position during the testing that it was in immediately before the testing, except as otherwise specified in paragraph (b)(2).</t>
    <phoneticPr fontId="17" type="noConversion"/>
  </si>
  <si>
    <t>S5.1.1(b)(2)(i)  Subject to paragraph (b)(2)(ii), a rear-facing child restraint system may have a means for repositioning the seating surface of the system that allows the system’s occupant to move from a reclined position to an upright position and back to a reclined position during testing.</t>
    <phoneticPr fontId="17" type="noConversion"/>
  </si>
  <si>
    <t>S5.1.1(b)(2)(ii) No opening that is exposed and is larger than 6.4mm(1⁄4 in) before the testing shall become smaller during the testing as a result of the movement of the seating surface relative to the restraint system as a whole.</t>
    <phoneticPr fontId="17" type="noConversion"/>
  </si>
  <si>
    <t>Crash Performance</t>
  </si>
  <si>
    <t>S5.1.2(a) Limit the resultant acceleration at the location of the accelerometer mounted in the test dummy head as specified in part 572 such that the expression:
shall not exceed 1,000, where a is the resultant acceleration expressed as a multiple of g (the acceleration of gravity), and t1 and t2 are any two moments during the impacts.</t>
    <phoneticPr fontId="17" type="noConversion"/>
  </si>
  <si>
    <t>S5.1.2(b) Limit the resultant acceleration at the location of the accelerometer mounted in the test dummy upper thorax as specified in part 572 to not more than 60 g’s, except for intervals whose cumulative duration is not more than 3 milliseconds.</t>
    <phoneticPr fontId="17" type="noConversion"/>
  </si>
  <si>
    <t>S5.1.2.1 When tested in accordance with S6.1 and with the test dummies specified in S7, each child restraint system manufactured on or after August 1, 2005 shall’</t>
  </si>
  <si>
    <t>S5.1.2.1(a) Limit the resultant acceleration at the location of the accelerometer mounted in the test dummy head such that, for any two points in time, t1 and t2, during the event which are separated by not more than a 36 millisecond time interval and where t1 is less than t2, the maximum calculated head injury criterion (HIC36) shall not exceed 1,000, determined using the resultant head acceleration at the center of gravity of the dummy head, are, expressed as a multiple of g (the acceleration of gravity), calculated using the expression:</t>
    <phoneticPr fontId="17" type="noConversion"/>
  </si>
  <si>
    <t xml:space="preserve">S5.1.2.1(b) The resultant acceleration calculated from the output of the thoracic instrumentation shall not exceed 60 g’s, except for intervals whose cumulative duration is not more than 3 milliseconds. </t>
    <phoneticPr fontId="17" type="noConversion"/>
  </si>
  <si>
    <t>S5.1.3 Occupant excursion. When tested in accordance with S6.1 and the requirements specified in this section, each child restraint system shall meet the applicable excursion limit requirements specified in S5.1.3.1–S5.1.3.3.</t>
    <phoneticPr fontId="17" type="noConversion"/>
  </si>
  <si>
    <t xml:space="preserve">S5.1.3.1 Child restraint systems other than rear-facing ones and car beds. Each child restraint system, other than a rear-facing child restraint system or a car bed, shall retain the test dummy’s torso within the system. </t>
    <phoneticPr fontId="17" type="noConversion"/>
  </si>
  <si>
    <t>S5.1.3.1(a) For each add-on child restraint system:</t>
    <phoneticPr fontId="17" type="noConversion"/>
  </si>
  <si>
    <t>S5.1.3.1(a)(1) No portion of the test dummy’s head shall pass through a vertical transverse plane that is 720 mm or 813 mm (as specified in the table in this S5.1.3.1) forward of point Z on the standard seat assembly, measured along the center SORL (as illustrated in figure 1B of this standard); and</t>
    <phoneticPr fontId="17" type="noConversion"/>
  </si>
  <si>
    <t>S5.1.3.1(a)(2) Neither knee pivot point shall pass through a vertical transverse plane that is 915 mm forward of point Z on the standard seat assembly, measured along the center SORL.</t>
    <phoneticPr fontId="17" type="noConversion"/>
  </si>
  <si>
    <t>S5.1.3.1(b) In the case of a built-in child restraint system, neither knee pivot point shall, at any time during the dynamic test, pass through a vertical transverse plane that is 305 mm forward of the initial pre-test position of the respective knee pivot point, measured along a horizontal line that passes through the knee pivot point and is parallel to the vertical longitudinal plane that passes through the vehicle’s longitudinal centerline.</t>
    <phoneticPr fontId="17" type="noConversion"/>
  </si>
  <si>
    <t>S5.1.3.2 Rear-facing child restraint systems. In the case of each rear-facing child restraint system, all portions of the test dummy’s torso shall be retained within the system and neither of the target points on either side of the dummy’s head and on the transverse axis passing through the center of mass of the dummy’s head and perpendicular to the head’s midsagittal plane, shall pass through the transverse orthogonal planes whose intersection contains the forward-most and top-most points on the child restraint system surfaces (illustrated in Figure 1C).</t>
    <phoneticPr fontId="17" type="noConversion"/>
  </si>
  <si>
    <t xml:space="preserve">S5.1.3.3 Car beds. In the case of car beds, all portions of the test dummy’s head and torso shall be retained within the confines of the car bed. </t>
    <phoneticPr fontId="17" type="noConversion"/>
  </si>
  <si>
    <t>S5.1.4 Back support angle. When a rear-facing child restraint system is tested in accordance with S6.1, the angle between the system’s back support surface for the child and the vertical shall not exceed 70 degrees.</t>
    <phoneticPr fontId="17" type="noConversion"/>
  </si>
  <si>
    <t>Static test Performance</t>
    <phoneticPr fontId="17" type="noConversion"/>
  </si>
  <si>
    <t>Buckle requirement</t>
    <phoneticPr fontId="17" type="noConversion"/>
  </si>
  <si>
    <t>See GB27887 Part 5.2.1.1</t>
  </si>
  <si>
    <t>misuse risk</t>
    <phoneticPr fontId="16" type="noConversion"/>
  </si>
  <si>
    <t>5.2.1.1  The buckle shall be so designed as to preclude any possibility of incorrect manipulation. This means, inter/alia, that it must not be possible for the buckle to be left in a partially closed position; it must not be possible to exchange the buckle parts inadvertently when the buckle is being locked; the buckle must only lock when all parts are engaged. Wherever the buckle is in contact with the child, it shall not be narrower than the minimum width of strap as specified in Article 5.2.4.1 below. This paragraph is not applicable to belt assemblies already approved according to GB 14166. In the case of a "Special Needs Restraint" only the buckle on the primary means of restraint need comply with the requirements of Articles 5.2.1.1~5.2.1.9.</t>
  </si>
  <si>
    <t>Static test Performance</t>
  </si>
  <si>
    <t>Buckle requirement</t>
    <phoneticPr fontId="16" type="noConversion"/>
  </si>
  <si>
    <t>See ECE R129 Part 6.7.1.1</t>
  </si>
  <si>
    <t>6.7.1.1.The buckle shall be so designed as to preclude any possibility of incorrect manipulation. This means, inter/alia, that it shall not be possible for the buckle to be left in a partially closed position; it shall not be possible to exchange the buckle parts inadvertently when the buckle is being locked; the buckle shall only lock when all parts are engaged. Wherever the buckle is in contact with the child, it shall not be narrower than the minimum width of strap as specified in paragraph 6.7.4.1.1. below. This paragraph is not applicable to belt assemblies already approved according to UN Regulation No. 16 or any equivalent standard in force. In the case of a "Special Needs Restraint" only the buckle on the primary means of restraint need comply with the requirements of paragraphs 6.7.1.2. to 6.7.1.8. inclusive.</t>
  </si>
  <si>
    <t>Buckle dimension requirements</t>
    <phoneticPr fontId="17" type="noConversion"/>
  </si>
  <si>
    <t>See GB27887 Part 5.2.1.2</t>
  </si>
  <si>
    <t>buckle satisfaction</t>
    <phoneticPr fontId="16" type="noConversion"/>
  </si>
  <si>
    <t>Enclosed buckle release button
Non-enclosed buckle release button</t>
    <phoneticPr fontId="17" type="noConversion"/>
  </si>
  <si>
    <t xml:space="preserve">Enclosed buckle release button: A buckle release button such that it must not be possible to release the buckle using a sphere having a diameter of 40 mm(1.6 in). 
Non-enclosed buckle release button A buckle release button such that it must be possible to release the buckle using a sphere having a diameter of 40 mm(1.6 in). </t>
    <phoneticPr fontId="17" type="noConversion"/>
  </si>
  <si>
    <t>Buckle dimension requirements</t>
    <phoneticPr fontId="17" type="noConversion"/>
  </si>
  <si>
    <t>See ECE R129 Part 6.7.1.2</t>
  </si>
  <si>
    <t>6.7.1.2.The buckle, even when not under tension, shall remain closed whatever its position. It shall be easy to operate and to grasp. It shall be possible to open it by pressure on a button or on a similar device.</t>
    <phoneticPr fontId="16" type="noConversion"/>
  </si>
  <si>
    <t>The surface to which this pressure shall be applied shall have, in the position of actual unlocking and when projected into a plane perpendicular to the button's initial direction of motion:</t>
    <phoneticPr fontId="16" type="noConversion"/>
  </si>
  <si>
    <t>See ECE R129 Part 6.7.1.2.(a)</t>
  </si>
  <si>
    <t>See ECE R129 Part 6.7.1.2.(b)</t>
  </si>
  <si>
    <t>Enclosed buckle release button
Non-enclosed buckle release button</t>
    <phoneticPr fontId="17" type="noConversion"/>
  </si>
  <si>
    <t>ECE R129</t>
  </si>
  <si>
    <t>Enclosed buckle release button: A buckle release button such that it must not be possible to release the buckle using a sphere having a diameter of 40 mm(1.6 in). 
Non-enclosed buckle release button A buckle release button such that it must be possible to release the buckle using a sphere having a diameter of 40 mm(1.6 in).</t>
    <phoneticPr fontId="17" type="noConversion"/>
  </si>
  <si>
    <t>Buckle release colour</t>
    <phoneticPr fontId="16" type="noConversion"/>
  </si>
  <si>
    <t>See GB27887 Part 5.2.1.3</t>
  </si>
  <si>
    <t>5.2.1.3  The buckle release area shall be colored red. No other part of the buckle shall be of this colour.</t>
  </si>
  <si>
    <t>Buckle release area colour</t>
    <phoneticPr fontId="16" type="noConversion"/>
  </si>
  <si>
    <t>See ECE R129 Part 6.7.1.3</t>
  </si>
  <si>
    <t>6.7.1.3.The buckle release area shall be coloured red. No other part of the buckle shall be of this colour.</t>
  </si>
  <si>
    <t>See GB27887 Part 5.2.1.4</t>
  </si>
  <si>
    <t>5.2.1.4  It shall be possible to release the child from the restraint by a single operation on a single buckle. For groups 0 and 0+ it is allowed to remove the child together with devices such as infant carrier/carry-cot/carry-cot restraints if the child restraint system can be released by operation of a maximum of two buckles. 
A clip connection between the shoulder straps of a harness belt is deemed not to comply with the single operation requirement given in Article 5.2.1.4 above.</t>
    <phoneticPr fontId="17" type="noConversion"/>
  </si>
  <si>
    <t>See ECE R129 Part 6.7.1.4</t>
  </si>
  <si>
    <t>6.7.1.4.It shall be possible to release the child from the restraint by a single operation on a single buckle after release of the shoulder strap positioner, if any. It is allowed to remove the child together with devices such as infant carrier/carry-cot/carry-cot restraints if the Enhanced Child Restraint System can be released by operation of a maximum of two release buttons.</t>
  </si>
  <si>
    <t>Shoulder strap positioner</t>
  </si>
  <si>
    <t>See ECE R129 Part 6.7.1.4.1</t>
  </si>
  <si>
    <t>6.7.1.4.1.Shoulder strap positioner. If a shoulder strap positioner is provided, it shall be designed so as to prevent incorrect manipulation. It shall not be possible to use the device in a manner which would cause the shoulder straps to twist.  It shall be possible to fasten the device in no more than one action.  The force required to fasten the device shall not exceed 15 N.</t>
    <phoneticPr fontId="16" type="noConversion"/>
  </si>
  <si>
    <t>See ECE R129 Part 6.7.1.4.2</t>
  </si>
  <si>
    <t>6.7.1.4.2.The shoulder strap positioner shall be easy to operate and to grasp. It shall be possible to open it in one simple action, but it shall be difficult for the child occupant to manipulate the release mechanism.  The force required to release the device shall not exceed 15 N.</t>
    <phoneticPr fontId="16" type="noConversion"/>
  </si>
  <si>
    <t>See ECE R129 Part 6.7.1.4.3</t>
  </si>
  <si>
    <t>6.7.1.4.3.The shoulder strap positioner shall not exceed 60 mm(2.4 in) in height.</t>
    <phoneticPr fontId="16" type="noConversion"/>
  </si>
  <si>
    <t>See GB27887 Part 5.2.1.5</t>
  </si>
  <si>
    <t>5.2.1.5 For groups II and III the buckle shall be so placed that the child occupant can reach it. In addition it shall for all groups be so placed that its purpose and mode of operation are immediately obvious to a rescuer in an emergency.</t>
  </si>
  <si>
    <t>See GB27887 Part 5.2.1.6</t>
  </si>
  <si>
    <t>5.2.1.6 Opening of the buckle shall enable the child to be removed independently of the "chair", "chair support" or "impact shield", if fitted, and if the device includes a crotch strap the crotch strap shall be released by operation of the same buckle.</t>
  </si>
  <si>
    <t>See ECE R129 Part 6.7.1.5</t>
  </si>
  <si>
    <t>6.7.1.5.Opening of the buckle shall enable the child to be removed independently of the "chair", "chair support" or "impact shield", if fitted, and if the device includes a crotch strap the crotch strap shall be released by operation of the same buckle.</t>
  </si>
  <si>
    <t>Buckle temperature test and repeated operation test</t>
    <phoneticPr fontId="16" type="noConversion"/>
  </si>
  <si>
    <t>See GB27887 Part 5.2.1.7</t>
  </si>
  <si>
    <t>5.2.1.7  The buckle shall be capable of withstanding the temperature test and repeated operation, and shall, before the dynamic test undergo a test comprising 5,000 ± 5 opening and closing cycles under normal conditions for use.</t>
    <phoneticPr fontId="16" type="noConversion"/>
  </si>
  <si>
    <t>See ECE R129 Part 6.7.1.6</t>
  </si>
  <si>
    <t>6.7.1.6.The buckle shall be capable of withstanding the temperature test operation requirements given in paragraph 7.2.7. below and repeated operation, and shall, before the dynamic test prescribed in paragraph 7.1.3. below undergo a test comprising 5,000 ± 5 opening and closing cycles under normal conditions for use.</t>
  </si>
  <si>
    <t>buckle under load test</t>
    <phoneticPr fontId="16" type="noConversion"/>
  </si>
  <si>
    <t>See GB27887 Part 5.2.1.8.1 &amp; Part 5.2.1.8.2</t>
    <phoneticPr fontId="16" type="noConversion"/>
  </si>
  <si>
    <t>5.2.1.8.2  No-load test-- a  buckle which has not previously been subjected to a load. -The force required to open the buckle shall be in the range of 40-80 N</t>
  </si>
  <si>
    <t xml:space="preserve">5.2.1.8.1  Test under load---A child restraint having already undergone the dynamic test: The force required to open the buckle shall not exceed 80 N. </t>
    <phoneticPr fontId="16" type="noConversion"/>
  </si>
  <si>
    <t>See ECE R129 Part 6.7.1.7.1.1 &amp; Part 6.7.1.7.2</t>
    <phoneticPr fontId="16" type="noConversion"/>
  </si>
  <si>
    <t>6.7.1.7.2  No-load test-- a  buckle which has not previously been subjected to a load. -The force required to open the buckle shall be in the range of 40-80 N</t>
    <phoneticPr fontId="16" type="noConversion"/>
  </si>
  <si>
    <t xml:space="preserve">6.7.1.7.1.1.Test under load--A child restraint having already undergone the dynamic test: The force required to open the buckle shall not exceed 80 N. </t>
    <phoneticPr fontId="16" type="noConversion"/>
  </si>
  <si>
    <t>buckle strength test</t>
    <phoneticPr fontId="16" type="noConversion"/>
  </si>
  <si>
    <t>See GB27887 Part 5.2.1.9.1</t>
  </si>
  <si>
    <t xml:space="preserve">5.2.1.9.1  During the strength test no part of the buckle or the adjacent straps or adjusters shall break or be detached. </t>
  </si>
  <si>
    <t>See GB27887 Part 5.2.1.9.2</t>
  </si>
  <si>
    <t>5.2.1.9.2  A harness buckle of mass groups 0 and 0+ shall withstand 4.000 N</t>
  </si>
  <si>
    <t>Static test Performance</t>
    <phoneticPr fontId="17" type="noConversion"/>
  </si>
  <si>
    <t>See GB27887 Part 5.2.1.9.3</t>
    <phoneticPr fontId="16" type="noConversion"/>
  </si>
  <si>
    <t xml:space="preserve">5.2.1.9.3 A harness buckle of mass group I and higher shall withstand 10.000 N. </t>
  </si>
  <si>
    <t>See ECE R129 Part 6.7.1.8.1.</t>
  </si>
  <si>
    <t>6.7.1.8.1.During the test in accordance with paragraph 7.2.1.3.2. below no part of the buckle or the adjacent straps or adjusters shall break or be detached.</t>
  </si>
  <si>
    <t>See ECE R129 Part 6.7.1.8.2</t>
  </si>
  <si>
    <t>6.7.1.8.2.Depending of the mass limit declared by the manufacturer, a harness buckle shall withstand:</t>
  </si>
  <si>
    <t>See ECE R129 Part 6.7.1.8.2.1.4</t>
  </si>
  <si>
    <t>6.7.1.8.2.1.4 kN, if the mass limit is less or equal to 13 kg;</t>
  </si>
  <si>
    <t>See ECE R129 Part 6.7.1.8.2.2.10</t>
  </si>
  <si>
    <t>6.7.1.8.2.2.10 kN, if the mass limit is greater than 13 kg.</t>
  </si>
  <si>
    <t>See ECE R129 Part 6.7.1.8.3</t>
  </si>
  <si>
    <t>6.7.1.8.3.The Type Approval Authority may dispense with the buckle strength test if information already available renders the test superfluous.</t>
  </si>
  <si>
    <t>S5.4.3.5 Buckle release. Any buckle in a child restraint system belt assembly designed to restrain a child using the system shall:</t>
    <phoneticPr fontId="17" type="noConversion"/>
  </si>
  <si>
    <t>S5.4.3.5(a) When tested in accordance with S6.2.1 prior to the dynamic test of S6.1, not release when a force of less than 40 N is applied and shall release when a force of not more than 62 N is applied;</t>
    <phoneticPr fontId="17" type="noConversion"/>
  </si>
  <si>
    <t xml:space="preserve">S5.4.3.5(b) After the dynamic test of S6.1, when tested in accordance with the appropriate sections of S6.2, release when a force of not more than 71 N is applied, provided, however, that the conformance of any child restraint to this requirement is determined using the largest of the test dummies specified in S7 for use in testing that restraint when the restraint is facing forward, rearward, and/or laterally; </t>
    <phoneticPr fontId="17" type="noConversion"/>
  </si>
  <si>
    <t xml:space="preserve">S5.4.3.5(d) Meet the requirements of S4.3(g) of FMVSS No. 209 (§ 571.209) when tested in accordance with S5.2(g) of FMVSS No. 209; and </t>
    <phoneticPr fontId="17" type="noConversion"/>
  </si>
  <si>
    <t>S5.4.3.5(e) Not release during the testing specified in S6.1.</t>
    <phoneticPr fontId="17" type="noConversion"/>
  </si>
  <si>
    <t>S5.4.2 Belt buckles and belt adjustment hardware. Each belt buckle and item of belt adjustment hardware used in a child restraint system shall conform to the requirements of S4.3(a) and S4.3(b) of FMVSS No. 209 (§ 571.209)</t>
    <phoneticPr fontId="17" type="noConversion"/>
  </si>
  <si>
    <t>Adjusting device requirement</t>
    <phoneticPr fontId="17" type="noConversion"/>
  </si>
  <si>
    <t>See GB27887 Part 5.2.2.1</t>
  </si>
  <si>
    <t>5.2.2.1  The adjustment range of adjusting device shall be sufficient to permit correct adjustment of the child restraint system with all dummy of the weight group for which the device is intended and to permit satisfactory installation in all specified vehicle models</t>
  </si>
  <si>
    <t>See ECE R129 Part 6.7.2.1</t>
  </si>
  <si>
    <t>6.7.2.1.The range of adjustment shall be sufficient to permit correct adjustment of the Enhanced Child Restraint System with all size for which the device is intended and to permit satisfactory installation in all I-Size compatible vehicles.</t>
  </si>
  <si>
    <t>See GB27887 Part 5.2.2.2</t>
  </si>
  <si>
    <t>5.2.2.2  All adjusting devices shall be of the "quick adjuster" type, except that adjusting devices used only for the initial installation in the vehicle may be of other than the "quick adjuster" type.</t>
  </si>
  <si>
    <t>See ECE R129 Part 6.7.2.2</t>
  </si>
  <si>
    <t>6.7.2.2.All adjusting devices shall be of the "quick adjuster" type.</t>
  </si>
  <si>
    <t>See GB27887 Part 5.2.2.3</t>
  </si>
  <si>
    <t xml:space="preserve">5.2.2.3  Devices of the "quick adjuster" type shall be easy to reach when the child restraint system is correctly installed and the child or dummy is in position. </t>
  </si>
  <si>
    <t>See ECE R129 Part 6.7.2.3</t>
  </si>
  <si>
    <t>6.7.2.3.Devices of the "quick adjuster" type shall be easy to reach when the Enhanced Child Restraint System is correctly installed and the child or dummy is in position.</t>
  </si>
  <si>
    <t>Adjusting device operating force  requirement</t>
    <phoneticPr fontId="17" type="noConversion"/>
  </si>
  <si>
    <t>See GB27887 Part 5.2.2.4</t>
  </si>
  <si>
    <t xml:space="preserve">5.2.2.4  A device of the "quick adjuster" type shall be easily adjustable to the child's physique. In particular, in a test performed in accordance with 6.2.2.1, the force required to operate a manual adjusting device shall not exceed 50 N. The device shall not break or become detached when tested as prescribed in 6.2.2.1. </t>
    <phoneticPr fontId="16" type="noConversion"/>
  </si>
  <si>
    <t>See ECE R129 Part 6.7.2.4</t>
  </si>
  <si>
    <t>6.7.2.4.A device of the "quick adjuster" type shall be easily adjustable to the child's physique. In particular, in a test performed in accordance with paragraph 7.2.2.1. below, the force required to operate a manual adjusting device shall not exceed 50 N. The device shall not break or become detached when tested as prescribed in paragraph 7.2.2.1. below.</t>
    <phoneticPr fontId="16" type="noConversion"/>
  </si>
  <si>
    <t>Adjusting device  temperature and microslip test</t>
    <phoneticPr fontId="17" type="noConversion"/>
  </si>
  <si>
    <t>See GB27887 Part 5.2.2.5</t>
  </si>
  <si>
    <t>5.2.2.5  Two samples of the child-restraint system adjusting devices shall be tested as prescribed by the temperature test operation requirements given in 6.2.8 and Microslip test specified in 6.2.3. The amount of strap slip shall not exceed 25 mm(1 in) for one adjusting device or 40 mm(1.6 in) for all adjusting devices.</t>
    <phoneticPr fontId="16" type="noConversion"/>
  </si>
  <si>
    <t>Adjusting device  temperature test</t>
    <phoneticPr fontId="17" type="noConversion"/>
  </si>
  <si>
    <t>See ECE R129 Part 6.7.2.5</t>
  </si>
  <si>
    <t>6.7.2.5.Two samples of the Enhanced Child Restraint System adjusting devices shall be tested as prescribed by the temperature test operation requirements given in paragraph 7.2.7.1. and paragraph 7.2.3. below.</t>
  </si>
  <si>
    <t>Adjusting device microslip test</t>
    <phoneticPr fontId="17" type="noConversion"/>
  </si>
  <si>
    <t>See ECE R129 Part 6.7.2.5.1</t>
  </si>
  <si>
    <t>6.7.2.5.1.The amount of strap slip shall not exceed 25 mm(1 in) for one adjusting device or 40 mm(1.6 in) for all adjusting devices.</t>
    <phoneticPr fontId="16" type="noConversion"/>
  </si>
  <si>
    <t>See ECE R129 Part 6.7.2.6</t>
    <phoneticPr fontId="16" type="noConversion"/>
  </si>
  <si>
    <t>6.7.2.6 The device shall not break or become detached when tested as prescrd in paragraph 7.2.2.1 below.</t>
    <phoneticPr fontId="16" type="noConversion"/>
  </si>
  <si>
    <t>Adjusting device endurance test</t>
    <phoneticPr fontId="16" type="noConversion"/>
  </si>
  <si>
    <t>See GB27887 Part 5.2.2.7</t>
  </si>
  <si>
    <t xml:space="preserve">5.2.2.7  An adjuster mounted directly on the child restraint system shall be capable of withstanding endurance test and shall, before the dynamic test prescribed in 6.1.3 undergo a test comprising 5,000 ± 5 cycles as specified in 6.2.7Conditioning test for adjusters mounted directly on a child restraint. </t>
    <phoneticPr fontId="16" type="noConversion"/>
  </si>
  <si>
    <t>See ECE R129 Part 6.7.2.7</t>
  </si>
  <si>
    <t>6.7.2.7.An adjuster mounted directly on the Enhanced Child Restraint System shall be capable of withstanding repeated operation and shall, before the dynamic test prescribed in paragraph 7.1.3. undergo a test comprising 5,000 ± 5 cycles as specified in paragraph 7.2.6.</t>
  </si>
  <si>
    <t>Automatically-locking retractors  requirement</t>
    <phoneticPr fontId="17" type="noConversion"/>
  </si>
  <si>
    <t>See GB27887 Part 5.2.3.1.1</t>
  </si>
  <si>
    <t xml:space="preserve">5.2.3.1.1 The strap of a safety-belt equipped with an automatically-locking retractor shall not unwind by more than 30 mm between adjacent locking positions of the retractor. After a rearward movement of the wearer the belt shall either remain in its initial position or return to that position automatically on subsequent forward movement of the wearer. </t>
  </si>
  <si>
    <t>Automatically-locking retractors</t>
    <phoneticPr fontId="16" type="noConversion"/>
  </si>
  <si>
    <t>See ECE R129 Part 6.7.3.1.1</t>
  </si>
  <si>
    <t>6.7.3.1.1.The strap equipped with an automatically-locking retractor shall not unwind by more than 30 mm(1.2 in) between locking positions of the retractor. After a rearward movement of the wearer the strap shall either remain in its initial position or return to that position automatically on subsequent forward movement of the wearer.</t>
    <phoneticPr fontId="16" type="noConversion"/>
  </si>
  <si>
    <t>See GB27887 Part 5.2.3.1.2</t>
  </si>
  <si>
    <t xml:space="preserve">5.2.3.1.2  If the retractor is part of a lap strap, the retracting force of the strap shall be not less than 7 N as measured in the free length between the dummy and the retractor as prescribed in 6.2.4.1. If the retractor is part of a shoulder strap, the retracting force of the strap shall be not less than 2 N or more than 7 N as similarly measured. If the strap passes through a guide or pulley, the retracting force shall be measured in the free length between the dummy and the guide or pulley. If the retractor assembly incorporates a device, manually or automatically operated, that prevents the strap from being completely retracted, that device shall not be in operation when these measurements are effected. </t>
    <phoneticPr fontId="17" type="noConversion"/>
  </si>
  <si>
    <t>See ECE R129 Part 6.7.3.1.2</t>
  </si>
  <si>
    <t>6.7.3.1.2.If the retractor is part of a lap strap, the retracting force of the strap shall be not less than 7 N as measured in the free length between the dummy and the retractor as prescribed in paragraph 7.2.4.1. below. If the retractor is part of a chest restraint, the retracting force of the strap shall be not less than 2 N or more than 7 N as similarly measured. If the strap passes through a guide or pulley, the retracting force shall be measured in the free length between the dummy and the guide or pulley. If the assembly incorporates a device, manually or automatically operated, that prevents the strap from being completely retracted, that device shall not be in operation when these measurements are effected.</t>
  </si>
  <si>
    <t>See GB27887 Part 5.2.3.1.3</t>
  </si>
  <si>
    <t>5.2.3.1.3  The strap shall be repeatedly withdrawn from the retractor and allowed to retract, in the conditions prescribed in 6.2.4.2, until 5,000 cycles have been completed. The retractor shall then be subjected to the temperature test given in 6.2.8 and corrosion test described in 6.1.1 and the dust test described in 6.2.4.5. It shall then complete a further 5,000 cycles of withdrawal and retraction. After the above tests the retractor shall continue to operate correctly and to meet the requirements of 5.2.3.1.1 and 5.2.3.1.2.</t>
    <phoneticPr fontId="17" type="noConversion"/>
  </si>
  <si>
    <t>See ECE R129 Part 6.7.3.1.3</t>
  </si>
  <si>
    <t>6.7.3.1.3.The strap shall be repeatedly withdrawn from the retractor and allowed to retract, in the conditions prescribed in paragraph 7.2.4.2. below, until 5,000 cycles have been completed. The retractor shall then be subjected to the temperature test operation requirements given in paragraph 7.2.7.1. and corrosion test described in paragraph 7.1.1. below and the dust-resistance test described in paragraph 7.2.4.5. below. It shall then satisfactorily complete a further 5,000 cycles of withdrawal and retraction. After the above tests the retractor shall continue to operate correctly and to meet the requirements of paragraphs 6.7.3.1.1. and 6.7.3.1.2. above.</t>
  </si>
  <si>
    <t>Emergency-locking retractors requirement</t>
    <phoneticPr fontId="16" type="noConversion"/>
  </si>
  <si>
    <t>See GB27887 Part 5.2.3.2.1</t>
  </si>
  <si>
    <t xml:space="preserve">5.2.3.2.1  An emergency-locking retractor shall when tested as prescribed in 6.2.4.3 satisfy the following conditions. </t>
  </si>
  <si>
    <t>Emergency-locking retractors</t>
  </si>
  <si>
    <t>See ECE R129 Part 6.7.3.2.1</t>
  </si>
  <si>
    <t>6.7.3.2.1.An emergency-locking retractor shall when tested as prescribed in paragraph 7.2.4.3. satisfy the conditions below:</t>
  </si>
  <si>
    <t>See GB27887 Part 5.2.3.2.1.1</t>
  </si>
  <si>
    <t>5.2.3.2.1.1 It shall be locked when the deceleration of the vehicle reaches 0.45 g.</t>
  </si>
  <si>
    <t>See ECE R129 Part 6.7.3.2.1.1</t>
  </si>
  <si>
    <t>6.7.3.2.1.1.It shall be locked when the deceleration of the vehicle reaches 0.45 g;</t>
  </si>
  <si>
    <t>See GB27887 Part 5.2.3.2.1.2</t>
  </si>
  <si>
    <t>5.2.3.2.1.2  It shall not lock for strap accelerations of less than 0.8 g as measured in the direction of strap extraction</t>
    <phoneticPr fontId="16" type="noConversion"/>
  </si>
  <si>
    <t>See ECE R129 Part 6.7.3.2.1.2</t>
  </si>
  <si>
    <t>6.7.3.2.1.2.It shall not lock for strap accelerations of less than 0.8 g as measured in the axis of strap extraction;</t>
  </si>
  <si>
    <t>See GB27887 Part 5.2.3.2.1.3</t>
  </si>
  <si>
    <t>5.2.3.2.1.3  It shall not lock when its sensing device is tilted by not more than 12° in any direction from the installation position specified by its manufacturer.</t>
  </si>
  <si>
    <t>See ECE R129 Part 6.7.3.2.1.3</t>
  </si>
  <si>
    <t>6.7.3.2.1.3.It shall not lock when its sensing device is tilted by not more than 12° in any direction from the installation position specified by its manufacturer;</t>
  </si>
  <si>
    <t>See GB27887 Part 5.2.3.2.1.4</t>
  </si>
  <si>
    <t xml:space="preserve">5.2.3.2.1.4  It shall lock when its sensing device is tilted by more than 27° in any direction from the installation position specified by its manufacturer. </t>
  </si>
  <si>
    <t>See ECE R129 Part 6.7.3.2.1.4</t>
  </si>
  <si>
    <t>6.7.3.2.1.4.It shall lock when its sensing device is tilted by more than 27° in any direction from the installation position specified by its manufacturer.</t>
  </si>
  <si>
    <t>See GB27887 Part 5.2.3.2.2</t>
  </si>
  <si>
    <t xml:space="preserve">5.2.3.2.2  Where the operation of a retractor depends on an external signal or power source, it shall ensure that the retractor locks automatically upon failure or interruption of that signal or power source. </t>
  </si>
  <si>
    <t>See ECE R129 Part 6.7.3.2.2</t>
  </si>
  <si>
    <t>6.7.3.2.2.Where the operation of a retractor depends on an external signal or power source, the design shall ensure that the retractor locks automatically upon failure or interruption of that signal or power source.</t>
  </si>
  <si>
    <t>See GB27887 Part 5.2.3.2.3</t>
  </si>
  <si>
    <t>5.2.3.2.3  An emergency-locking retractor for emergency locking control shall meet the requirements set out above. In addition, if one of the emergency locking control factors relates to strap extraction, the retractor shall be occurred at a strap acceleration of 1.5 g as measured in the direction of strap extraction.</t>
    <phoneticPr fontId="17" type="noConversion"/>
  </si>
  <si>
    <t>See ECE R129 Part 6.7.3.2.3</t>
  </si>
  <si>
    <t>6.7.3.2.3.A multiple-sensitivity emergency-locking retractor shall meet the requirements set out above. In addition, if one of the sensitivity factors relates to strap extraction, locking shall have occurred at a strap acceleration of 1.5 g as measured in the axis of strap extraction.</t>
  </si>
  <si>
    <t>See GB27887 Part 5.2.3.2.4</t>
  </si>
  <si>
    <t>5.2.3.2.4  In the tests referred to in 5.2.3.2.1.1 and 5.2.3.2.3, the amount of strap extraction occurring before the retractor locks shall not exceed 50 mm(2 in), starting at the initial length specified in 6.2.4.3.1. In the tests referred to in 5.2.3.2.1.2, the amount of strap extraction occurring before the retractor locks shall not exceed 50 mm(2 in), starting at the initial length specified in 6.2.4.3.1.</t>
    <phoneticPr fontId="17" type="noConversion"/>
  </si>
  <si>
    <t>See ECE R129 Part 6.7.3.2.4</t>
  </si>
  <si>
    <t>6.7.3.2.4.In the tests referred to in paragraphs 6.7.3.2.1.1. and 6.7.3.2.3. above, the amount of strap extraction occurring before the retractor locks shall not exceed 50 mm(2 in), starting at the length of unwinding specified in paragraph 7.2.4.3.1. below. In the test referred to in paragraph 6.7.3.2.1.2. above, locking shall not occur during the 50 mm(2 in) of strap extraction starting at the length of unwinding specified in paragraph 7.2.4.3.1. below.</t>
    <phoneticPr fontId="16" type="noConversion"/>
  </si>
  <si>
    <t>See GB27887 Part 5.2.3.2.5</t>
  </si>
  <si>
    <t>5.2.3.2.5  If the retractor is part of a lap strap, the retracting force of the strap shall be not less than 7 N as measured in the free length between the dummy and the retractor as prescribed in 6.2.4.1. If the retractor is part of a shoulder strap, the retracting force of the strap shall be not less than 2 N or more than 7 N as similarly measured. If the strap passes through a guide or pulley, the retracting force shall be measured in the free length between the dummy and the guide or pulley. If the retractor assembly incorporates a device, manually or automatically operated, that prevents the strap from being completely retracted, that device shall not be in operation when these measurements are effected.</t>
    <phoneticPr fontId="17" type="noConversion"/>
  </si>
  <si>
    <t>See ECE R129 Part 6.7.3.2.5</t>
  </si>
  <si>
    <t>6.7.3.2.5.If the retractor is part of a lap strap, the retracting force of the strap shall be not less than 7 N as measured in the free length between the dummy and the retractor as prescribed in paragraph 7.2.4.1. below. If the retractor is part of a chest restraint, the retracting force of the strap shall be not less than 2 N or more than 7 N as similarly measured. If the strap passes through a guide or pulley, the retracting force shall be measured in the free length between the dummy and the guide or pulley. If the assembly incorporates a device, manually or automatically operated, that prevents the strap from being completely retracted, that device shall not be in operation when these measurements are effected.</t>
  </si>
  <si>
    <t>See GB27887 Part 5.2.3.2.6</t>
  </si>
  <si>
    <t>5.2.3.2.6  The strap shall be repeatedly withdrawn from the retractor and allowed to retract, in the conditions prescribed in 6.2.4.2, until 40,000 cycles have been completed. The retractor shall then be subjected to the temperature test given in 6.2.8 and corrosion test described in 6.1.1 and to the dust test described in 6.2.4.5. It shall then complete a further 5,000 cycles of withdrawal and retraction (making 45,000 in all). After the above tests the retractor shall continue to operate correctly and to meet the requirements of 5.2.3.2.1 and 5.2.3.2.5.</t>
    <phoneticPr fontId="16" type="noConversion"/>
  </si>
  <si>
    <t>See ECE R129 Part 6.7.3.2.6</t>
  </si>
  <si>
    <t>6.7.3.2.6.The strap shall be repeatedly withdrawn from the retractor and allowed to retract, in the conditions prescribed in paragraph 7.2.4.2. of this Regulation, until 40,000 cycles have been completed. The retractor shall then be subjected to the temperature test operation requirements given in paragraph 7.2.7. and corrosion test described in paragraph 7.1.1. and to the dust-resistance test described in paragraph 7.2.4.5.</t>
  </si>
  <si>
    <t>Strap width requirement</t>
    <phoneticPr fontId="16" type="noConversion"/>
  </si>
  <si>
    <t>See GB27887 Part 5.2.4.1</t>
  </si>
  <si>
    <t>5.2.4.1  Width : The minimum width at the restraint systems which contact the dummy shall be 25 mm(1 in) for groups 0, 0+ and I, and 38 mm(1.5 in) for groups II and III. These dimensions shall be measured during the strap strength test prescribed in 6.2.5.1, without stopping the machine and under a load equal to 75% of the breaking load of the strap.</t>
    <phoneticPr fontId="16" type="noConversion"/>
  </si>
  <si>
    <t>See ECE R129 Part 6.7.4.1.1</t>
  </si>
  <si>
    <t>6.7.4.1.1.The minimum width at the child-restraint straps which contact the dummy shall be 25 mm(1 in). These dimensions shall be measured during the strap strength test prescribed in paragraph 7.2.5.1. below, without stopping the machine and under a load equal to 75 per cent of the breaking load of the strap.</t>
    <phoneticPr fontId="16" type="noConversion"/>
  </si>
  <si>
    <t>strap Strength under the standard condition requirement</t>
    <phoneticPr fontId="16" type="noConversion"/>
  </si>
  <si>
    <t>See GB27887 Part 5.2.4.2.1</t>
  </si>
  <si>
    <t xml:space="preserve">5.2.4.2.1  The breaking load of the two strap samples meeting those specified in 6.2.5.2.2 shall be determined as prescribed in 6.2.5.1.2. </t>
  </si>
  <si>
    <t>See ECE R129 Part 6.7.4.2.1</t>
  </si>
  <si>
    <t>6.7.4.2.1.On two sample straps conditioned as prescribed in paragraph 7.2.5.2.1., the breaking load of the strap shall be determined as prescribed in paragraph 7.2.5.1.2. below.</t>
    <phoneticPr fontId="16" type="noConversion"/>
  </si>
  <si>
    <t>See GB27887 Part 5.2.4.2.2</t>
  </si>
  <si>
    <t xml:space="preserve">5.2.4.2.2  The difference between the breaking loads of the two samples shall not exceed 10% of the greater of the two breaking loads measured. </t>
  </si>
  <si>
    <t>See ECE R129 Part 6.7.4.2.2</t>
  </si>
  <si>
    <t>6.7.4.2.2.The difference between the breaking loads of the two samples shall not exceed 10 per cent of the greater of the two breaking loads measured.</t>
  </si>
  <si>
    <t>strap Strength under special condition requirement</t>
    <phoneticPr fontId="16" type="noConversion"/>
  </si>
  <si>
    <t>See GB27887 Part 5.2.4.3.1</t>
  </si>
  <si>
    <t>5.2.4.3.1  The breaking load of two strap samples meeting those specified in 6.2.5.2 ( except 6.2.5.2.2) shall be not less than 75% of the average of the loads determined in the test specified in 6.2.5.1.</t>
  </si>
  <si>
    <t>See ECE R129 Part 6.7.4.3.1</t>
  </si>
  <si>
    <t>6.7.4.3.1.On two straps conditioned as prescribed in one of the provisions of paragraph 7.2.5.2. below (except paragraph 7.2.5.2.1. below), the breaking load of the strap shall be not less than 75 per cent of the average of the loads determined in the test referred to in paragraph 7.2.5.1. below.</t>
  </si>
  <si>
    <t>See GB27887 Part 5.2.4.3.2</t>
  </si>
  <si>
    <t>5.2.4.3.2  The breaking load shall be not less than 3.6kN for the restraint systems of the groups 0, 0+ and I, 5kN for those of group II, and 7.2kN for those of group III. 
5.2.4.3.3 The abrasion test for type 1 defined in 6.2.5.2.7 shall be performed when the microslip test defined in 6.2.3 gives a result above 50 percent of the limit prescribed in 5.2.2.5.</t>
    <phoneticPr fontId="16" type="noConversion"/>
  </si>
  <si>
    <t>See ECE R129 Part 6.7.4.3.2</t>
  </si>
  <si>
    <t>6.7.4.3.2.In addition, the breaking load shall be not less than 3.6 kN for the restraints of I-Size Enhanced Child Restraint Systems.</t>
  </si>
  <si>
    <t>See ECE R129 Part 6.7.4.3.3</t>
  </si>
  <si>
    <t>6.7.4.3.3.The Type Approval Authority may dispense with one or more of these tests if the composition of the material used, or information already available, renders the test or tests superfluous.</t>
  </si>
  <si>
    <t>See ECE R129 Part 6.7.4.3.4</t>
  </si>
  <si>
    <t>6.7.4.3.4.The abrasion conditioning procedure of type 1 defined in paragraph 7.2.5.2.6. below shall only be performed when the microslip test defined in paragraph 7.2.3. below gives a result above 50 per cent of the limit prescribed in paragraph 6.7.2.5.1. above.</t>
  </si>
  <si>
    <t>strap other requirement</t>
    <phoneticPr fontId="16" type="noConversion"/>
  </si>
  <si>
    <t>See GB27887 Part 5.2.4.4</t>
  </si>
  <si>
    <t>5.2.4.4  Other requirements. It shall not be possible to pull the complete strap through any adjusters, buckles or anchorages</t>
  </si>
  <si>
    <t>See ECE R129 Part 6.7.4.4</t>
  </si>
  <si>
    <t>6.7.4.4.It shall not be possible to pull the complete strap through any adjusters, buckles or anchoring points.</t>
  </si>
  <si>
    <t>belt test conditions and procedures</t>
    <phoneticPr fontId="16" type="noConversion"/>
  </si>
  <si>
    <t>S5.4 Belts, belt buckles, and belt webbing.</t>
    <phoneticPr fontId="17" type="noConversion"/>
  </si>
  <si>
    <t>S5.4.1.2 Performance requirements on or after September 1, 2007. The webbing of belts provided with a child restraint system and used to attach the system to the vehicle or to restrain the child within the system shall—</t>
    <phoneticPr fontId="17" type="noConversion"/>
  </si>
  <si>
    <t>S5.4.1.2(a) Have a minimum breaking strength for new webbing of not less than 15,000 N in the case of webbing used to secure a child restraint system to the vehicle, including the tether and lower anchorages of a child restraint anchorage system, and not less than 11,000 N in the case of the webbing used to secure a child to a child restraint system when tested in accordance with S5.1 of FMVSS No. 209. Each value shall be not less than the 15,000 N and 11,000 N applicable breaking strength requirements, but the median value shall be used for determining the retention of breaking strength in paragraphs (b)(1), (c)(1), and (c)(2) of this section S5.4.1.2. ‘‘New webbing’’ means webbing that has not been exposed to abrasion, light or micro-organisms as specified elsewhere in this section.</t>
    <phoneticPr fontId="17" type="noConversion"/>
  </si>
  <si>
    <t>S5.4.1.2(b)(1) After being subjected to abrasion as specified in S5.1(d) or S5.3(c) of FMVSS 209 (§ 571.209), have a breaking strength of not less than 75 percent of the new webbing strength, when tested in accordance with S5.1(b) of FMVSS</t>
    <phoneticPr fontId="17" type="noConversion"/>
  </si>
  <si>
    <t>S5.4.1.2(b)(2) A mass of 2.35 ±0.05 kg(5.18 ±0.11 lb) shall be used in the test procedure in S5.1(d) of FMVSS 209 for webbing, including webbing to secure a child restraint system to the tether and lower anchorages of a child restraint anchorage system, except that a mass of 1.5 ±0.05 kg(3.3 ±0.11 lb) shall be used for webbing in pelvic and upper torso restraints of a belt assembly used in a child restraint system. The mass is shown as (B) in Figure 2 of FMVSS 209.</t>
    <phoneticPr fontId="17" type="noConversion"/>
  </si>
  <si>
    <t>S5.4.1.2(c)(1) After exposure to the light of a carbon arc and tested by the procedure specified in S5.1(e) of FMVSS 209 (§ 571.209), have a breaking strength of not less than 60 percent of the new webbing, and shall have a color retention not less than No. 2 on the AATCC Gray Scale for Evaluating Change in Color (incorporated by reference, see § 571.5).</t>
    <phoneticPr fontId="17" type="noConversion"/>
  </si>
  <si>
    <t>S5.4.1.2(c)(2) After being subjected to micro-organisms and tested by the procedures specified in S5.1(f) of FMVSS 209 (§571.209), shall have a breaking strength not less than 85 percent of the new webbing.</t>
    <phoneticPr fontId="17" type="noConversion"/>
  </si>
  <si>
    <t>belt width Specification</t>
    <phoneticPr fontId="16" type="noConversion"/>
  </si>
  <si>
    <t>S5.4.1.2(d) If contactable by the test dummy torso when the system is tested in accordance with S6.1, have a width of not less than 38mm(1.5 in) when measured in accordance with S5.4.1.3.</t>
    <phoneticPr fontId="17" type="noConversion"/>
  </si>
  <si>
    <t>S5.4.1.3 Width test procedure. Condition the webbing for 24 hours in an atmosphere of any relative humidity between 48 and 67 percent, and any ambient temperature between 70° and 77 °F. Measure belt webbing width under a tension of 2.27kg(5 lb) applied lengthwise. S5.4.2 Belt buckles and belt adjustment hardware. Each belt buckle and item of belt adjustment hardware used in a child restraint system shall conform to the requirements of S4.3(a) and S4.3(b) of FMVSS No. 209 (§ 571.209).</t>
    <phoneticPr fontId="17" type="noConversion"/>
  </si>
  <si>
    <t>belt securing the Child</t>
    <phoneticPr fontId="16" type="noConversion"/>
  </si>
  <si>
    <t>S5.4.3 Belt Restraint.</t>
    <phoneticPr fontId="17" type="noConversion"/>
  </si>
  <si>
    <t>S5.4.3.1 General. Each belt that is part of a child restraint system and that is designed to restrain a child using the system shall be adjustable to snugly fit any child whose height and weight are within the ranges recommended in accordance with S5.5.2(f) and who is positioned in the system in accordance with the instructions required by S5.6.</t>
    <phoneticPr fontId="17" type="noConversion"/>
  </si>
  <si>
    <t>S5.4.3.2 Direct restraint. Except for belt-positioning seats, each belt that is part of a child restraint system and that is designed to restrain a child using the system and to attach the system to the vehicle, and each Type I and lap portion of a Type II vehicle belt that is used to attach the system to the vehicle shall, when tested in accordance with S6.1, impose no loads on the child that result from the mass of the system, or—</t>
    <phoneticPr fontId="17" type="noConversion"/>
  </si>
  <si>
    <t>S5.4.3.2(a) In the case of an add-on child restraint system, from the mass of the seat back of the standard seat assembly specified in S6.1, or</t>
    <phoneticPr fontId="17" type="noConversion"/>
  </si>
  <si>
    <t>S5.4.3.2(b) In the case of a built-in child restraint system, from the mass of any part of the vehicle into which the child restraint system is built.</t>
    <phoneticPr fontId="17" type="noConversion"/>
  </si>
  <si>
    <t xml:space="preserve">S5.4.3.3 Seating systems. Except for child restraint systems subject to S5.4.3.4, each child restraint system that is designed for use by a child in a seated position and that has belts designed to restrain the child, shall, with the test dummy specified in S7 positioned in the system in accordance with S10 provide: </t>
    <phoneticPr fontId="17" type="noConversion"/>
  </si>
  <si>
    <t>S5.4.3.3(a) Upper torso restraint in the form of:</t>
    <phoneticPr fontId="17" type="noConversion"/>
  </si>
  <si>
    <t>S5.4.3.3(a) (i) Belts passing over each shoulder of the child, or</t>
    <phoneticPr fontId="17" type="noConversion"/>
  </si>
  <si>
    <t>S5.4.3.3(a) (ii) A fixed or movable surface that complies with S5.2.2.1(c), and</t>
    <phoneticPr fontId="17" type="noConversion"/>
  </si>
  <si>
    <t>S5.4.3.3(b) Lower torso restraint in the form of:</t>
    <phoneticPr fontId="17" type="noConversion"/>
  </si>
  <si>
    <t>S5.4.3.3(b)(i) A lap belt assembly making an angle between 45° and 90° with the child restraint seating surface at the lap belt attachment points, or</t>
    <phoneticPr fontId="17" type="noConversion"/>
  </si>
  <si>
    <t>S5.4.3.3(b)(ii) A fixed or movable surface that complies with S5.2.2.1(c), and</t>
    <phoneticPr fontId="17" type="noConversion"/>
  </si>
  <si>
    <t>S5.4.3.3b(c) In the case of each seating system recommended for children whose masses are more than 10 kg(22 lb), crotch restraint in the form of:</t>
    <phoneticPr fontId="17" type="noConversion"/>
  </si>
  <si>
    <t>S5.4.3.3(c)(i) A crotch belt connectable to the lap belt or other device used to restrain the lower torso, or</t>
    <phoneticPr fontId="17" type="noConversion"/>
  </si>
  <si>
    <t>S5.4.3.3(c)(ii) A fixed or movable surface that complies with S5.2.2.1(c), and</t>
    <phoneticPr fontId="17" type="noConversion"/>
  </si>
  <si>
    <t>S5.4.3.4 Harnesses. Each child harness shall:</t>
    <phoneticPr fontId="17" type="noConversion"/>
  </si>
  <si>
    <t>S5.4.3.4(a) Provide upper torso restraint, including belts passing over each shoulder of the child;</t>
    <phoneticPr fontId="17" type="noConversion"/>
  </si>
  <si>
    <t>S5.4.3.4(b) Provide lower torso restraint by means of lap and crotch belt; and</t>
    <phoneticPr fontId="17" type="noConversion"/>
  </si>
  <si>
    <t>S5.4.3.4(c) Prevent a child of any height for which the restraint is recommended for use pursuant to S5.5.2(f) from standing upright on the vehicle seat when the child is placed in the device in accordance with the instructions required by S5.6.</t>
    <phoneticPr fontId="17" type="noConversion"/>
  </si>
  <si>
    <t>Lock-off device requirement</t>
    <phoneticPr fontId="17" type="noConversion"/>
  </si>
  <si>
    <t>See GB27887 Part 5.2.5.1</t>
  </si>
  <si>
    <t xml:space="preserve">5.2.5.1 The lock-off device shall be permanently attached to the child restraint system. </t>
  </si>
  <si>
    <t>See GB27887 Part 5.2.5.2</t>
  </si>
  <si>
    <t xml:space="preserve">5.2.5.2  The lock-off device shall not impair the durability of the adult belt and undergo temperature test requirements given in 6.2.8. </t>
  </si>
  <si>
    <t>See GB27887 Part 5.2.5.3</t>
  </si>
  <si>
    <t xml:space="preserve">5.2.5.3  The lock-off device shall be able to prevent the rapid release of the child. </t>
  </si>
  <si>
    <t>See GB27887 Part 5.2.5.4</t>
    <phoneticPr fontId="16" type="noConversion"/>
  </si>
  <si>
    <t>See GB27887 Part 5.2.5.5</t>
  </si>
  <si>
    <t xml:space="preserve">5.2.5.5  The amount of slip of the strap shall not exceed 25 mm(1 in) after the test for class B device prescribed in 6.2.6.2 </t>
    <phoneticPr fontId="16" type="noConversion"/>
  </si>
  <si>
    <t xml:space="preserve">Resistance to corrosion </t>
    <phoneticPr fontId="17" type="noConversion"/>
  </si>
  <si>
    <t>See GB27887 Part 5.1.1.1</t>
  </si>
  <si>
    <t>CRS corrosion</t>
    <phoneticPr fontId="16" type="noConversion"/>
  </si>
  <si>
    <t>5.1.1.1  A complete child restraint, or the parts thereof that are liable to corrosion, shall be subject to the corrosion test.</t>
  </si>
  <si>
    <t>See GB27887 Part 5.1.1.2</t>
  </si>
  <si>
    <t xml:space="preserve">5.1.1.2  After the corrosion test , no signs of deterioration likely to impair the proper functioning of the child restraint, and no significant corrosion, shall be visible to the unaided eye of a qualified observer. </t>
  </si>
  <si>
    <t>Resistance to corrosion</t>
    <phoneticPr fontId="16" type="noConversion"/>
  </si>
  <si>
    <t>See ECE R129 Part 6.6.1.1</t>
  </si>
  <si>
    <t>6.6.1.1.A complete Enhanced Child Restraint System, or the parts thereof that are liable to corrosion, shall be subject to the corrosion test specified in paragraph 7.1.1. below.</t>
  </si>
  <si>
    <t>Resistance to corrosion</t>
  </si>
  <si>
    <t>See ECE R129 Part 6.6.1.2</t>
  </si>
  <si>
    <t>6.6.1.2.After the corrosion test as prescribed in paragraphs 7.1.1.1. and 7.1.1.2. below, no signs of deterioration likely to impair the proper functioning of the Enhanced Child Restraint System, and no significant corrosion, shall be visible to the unaided eye of a qualified observer.</t>
  </si>
  <si>
    <t>Energy absorption</t>
    <phoneticPr fontId="17" type="noConversion"/>
  </si>
  <si>
    <t>See GB27887 Part 5.1.2.1</t>
  </si>
  <si>
    <t>head injury</t>
    <phoneticPr fontId="16" type="noConversion"/>
  </si>
  <si>
    <t xml:space="preserve">5.1.2.1  For all devices with backrests there shall be internal surfaces, defined in Appendix R to this standard, comprising material with a peak acceleration of less than 60 g when measured in accordance with Appendix Q to this standard. This requirement applies also to areas of impact shields which are in the head strike area. </t>
  </si>
  <si>
    <t>See GB27887 Part 5.1.2.2</t>
  </si>
  <si>
    <t xml:space="preserve">5.1.2.2  In the case of child restraint systems with permanent mechanically attached adjustable head support devices, in which the height of either the adult safety belt or of the child harness is directly controlled by the adjustable head support, it is not necessary to demand energy absorbing material in areas as defined in Appendix R, which are not contactable by the dummy's head, i.e. behind the head support. </t>
  </si>
  <si>
    <t>Energy absorption</t>
    <phoneticPr fontId="16" type="noConversion"/>
  </si>
  <si>
    <t>See ECE R129 Part 6.6.2.1</t>
  </si>
  <si>
    <t>6.6.2.1.For all devices with backrests, the areas defined in Annex 14 to this Regulation, when tested according to Annex 13, shall give a peak acceleration of less than 60 g. This requirement applies also to areas of impact shields which are in the head strike area.</t>
  </si>
  <si>
    <t>Energy absorption</t>
  </si>
  <si>
    <t>See ECE R129 Part 6.6.2.2</t>
  </si>
  <si>
    <t>6.6.2.2.In the case of Enhanced Child Restraint Systems with permanent mechanically attached adjustable head support devices, in which the height of either the adult safety belt or of the child harness is directly controlled by the adjustable head support, it is not necessary to demand energy absorption in areas as defined in Annex 18, which are not contactable by the manikin's head, i.e. behind the head support.</t>
  </si>
  <si>
    <t>overturning</t>
    <phoneticPr fontId="16" type="noConversion"/>
  </si>
  <si>
    <t>See GB27887 Part 5.1.3</t>
  </si>
  <si>
    <t xml:space="preserve">Child fall out of the device during rotation. </t>
    <phoneticPr fontId="16" type="noConversion"/>
  </si>
  <si>
    <t xml:space="preserve">5.1.3  Overturning - The child restraint shall be tested as prescribed in Article 6.1.2.; the dummy shall not fall out of the device and, when the test seat is in the upside down position the dummy's head shall not move more than 300 mm(11.8 in) from its original position in a vertical direction relative to the test seat. </t>
    <phoneticPr fontId="16" type="noConversion"/>
  </si>
  <si>
    <t>Overturning</t>
  </si>
  <si>
    <t>See ECE R129 Part 6.6.3.1</t>
  </si>
  <si>
    <t xml:space="preserve">6.6.3.1.The Enhanced Child Restraint System shall be tested as prescribed in paragraph 7.1.2. of this Regulation; at no point during the whole test shall the manikin be fully ejected from the device, in addition when the test bench is in the upside down position the manikin's head shall not move more than 300 mm(11.8 in) from its original position in a vertical direction relative to the test bench, once the applied load has been removed.  </t>
    <phoneticPr fontId="16" type="noConversion"/>
  </si>
  <si>
    <t xml:space="preserve">Resistance to temperature </t>
    <phoneticPr fontId="17" type="noConversion"/>
  </si>
  <si>
    <t>See GB27887 Part 5.1.5.1</t>
  </si>
  <si>
    <t xml:space="preserve">5.1.5.1  Buckle assemblies, retractors, adjusters and lock-off devices that are liable to be affected by temperature, shall be subject to the temperature test specified in Article 6.2.8. </t>
  </si>
  <si>
    <t>See GB27887 Part 5.1.5.2</t>
  </si>
  <si>
    <t>5.1.5.2  After the temperature test as prescribed in Article 6.2.8, no signs of deterioration likely to impair the proper functioning of the child restraint, shall be visible to the unaided eye of a qualified observer.</t>
  </si>
  <si>
    <t>Resistance to temperature</t>
  </si>
  <si>
    <t>See ECE R129 Part 6.6.5.1</t>
  </si>
  <si>
    <t>6.6.5.1.Buckle assemblies, retractors, adjusters and lock-off devices that are liable to be affected by temperature, shall be subject to the temperature test specified in paragraph 7.2.7. below.</t>
  </si>
  <si>
    <t>See ECE R129 Part 6.6.5.2</t>
  </si>
  <si>
    <t>6.6.5.2.After the temperature test as prescribed in paragraph 7.2.7.1. below, no signs of deterioration likely to impair the proper functioning of the restraint of the child, shall be visible to the unaided eye of a qualified observer. The dynamic tests should then be performed.</t>
  </si>
  <si>
    <t>ISOFIX attachment specifications</t>
    <phoneticPr fontId="16" type="noConversion"/>
  </si>
  <si>
    <t>See ECE R129 Part 6.7.5.1</t>
  </si>
  <si>
    <t>6.7.5.1.ISOFIX attachments and latching indicators shall be capable of withstanding repeated operations and shall, before the dynamic test prescribed in paragraph 7.1.3. of this Regulation, undergo a test comprising 2,000 ± 5 opening and closing cycles under normal conditions of use.</t>
  </si>
  <si>
    <t>ISOFIX attachment specifications</t>
  </si>
  <si>
    <t>See ECE R129 Part 6.7.5.2</t>
  </si>
  <si>
    <t>6.7.5.2.ISOFIX attachments shall have a locking mechanism which complies with the requirements specified in (a) or (b) as follows:</t>
  </si>
  <si>
    <t>See ECE R129 Part 6.7.5.2.(a)</t>
  </si>
  <si>
    <t>6.7.5.2.(a)Release of the locking mechanism of the complete seat, shall require two consecutive actions, the first of which should be maintained while the second is carried out; or</t>
  </si>
  <si>
    <t>See ECE R129 Part 6.7.5.2.(b)</t>
  </si>
  <si>
    <t>6.7.5.2.(b)The ISOFIX attachment opening force shall be at least 50 N when tested as prescribed in paragraph 7.2.8. below.</t>
  </si>
  <si>
    <t>Markings</t>
  </si>
  <si>
    <t>See GB27887 Part 8.1</t>
  </si>
  <si>
    <t xml:space="preserve">8.1 The samples of child restraint system submitted shall be clearly marked with the manufacturer's name or trade mark. </t>
  </si>
  <si>
    <t>See ECE R129 Part 4.1</t>
  </si>
  <si>
    <t>4.1.The samples of Enhanced Child Restraint Systems, including all modules submitted for approval in conformity with the provisions of paragraphs 3.2.4. and 3.2.5. above shall be clearly and indelibly marked with the manufacturer's name, initials or trade mark.</t>
  </si>
  <si>
    <t>See GB27887 Part 8.2</t>
  </si>
  <si>
    <t xml:space="preserve">8.2 The plastic parts in the system(such as shell, impact shield, cushion, etc.), except the straps and children whole back restraint out straps, shall be marked clearly with the year of production. </t>
  </si>
  <si>
    <t>See ECE R129 Part 4.2</t>
  </si>
  <si>
    <t>4.2.The Enhanced Child Restraint System, including all modules, except the strap(s) or harness, shall be marked clearly and indelibly with the year of production.</t>
  </si>
  <si>
    <t>See GB27887 Part 8.3</t>
  </si>
  <si>
    <t>8.3 If the system is to be used in combination with an adult safety belt, the correct usage shall be clearly indicated by means of a drawing permanently attached to the system. If the system is held in place by the adult safety-belt, the routes of the safety belt shall be clearly marked on the system by color coding. The colors for the safety-belt route to be used when the device is installed forward facing shall be red and when installed rear-facing shall be blue. The same colors shall also be used on the illustration of the system that illustrates the methods of use. In any illustration of the system strap, the orientation of the child restraint system relative to the vehicle shall be clearly indicated. The seats in the vehicle shall be indicated in the installation drawing of the strap. The marking defined above shall be visible with the child restraint system in the vehicle. For group 0 child restraint systems, this marking shall also be visible with the child in the restraint system.</t>
    <phoneticPr fontId="16" type="noConversion"/>
  </si>
  <si>
    <t>See ECE R129 Part 4.3</t>
  </si>
  <si>
    <t>4.3.The following information shall be clearly indicated on the product:</t>
  </si>
  <si>
    <t>See ECE R129 Part 4.3.(a)</t>
  </si>
  <si>
    <t>4.3.(a)The orientation of the Enhanced Child Restraint System relative to the vehicle;</t>
  </si>
  <si>
    <t>See ECE R129 Part 4.3.(b)</t>
  </si>
  <si>
    <t>4.3.(b) The size range(s) of the Enhanced Child Restraint System in centimetres;</t>
  </si>
  <si>
    <t>See ECE R129 Part 4.3.(c)</t>
  </si>
  <si>
    <t>4.3.(c)The maximum occupant mass allowed for the Integral Enhanced Child Restraint System in kilograms.</t>
  </si>
  <si>
    <t>If the Enhanced Child Restraint System is to be used in combination with an adult safety-belt, the correct webbing path shall be clearly indicated by means of a drawing permanently attached to the Enhanced Child Restraint System. If the restraint is held in place by the adult safety-belt, the webbing paths shall be clearly marked on the product by colour coding. The colours used for the path of the safety-belt when the device is installed in the forward-facing position shall be red and when installed in the rearward-facing shall be blue. The same colours shall also be used on the labels on the device that illustrate the methods of use.</t>
  </si>
  <si>
    <t>There shall be a clear differentiation between the intended paths for the lap section and the diagonal section of the safety belt. Indication such as colour coding, words, shapes, etc. shall distinguish between sections of the safety belt.</t>
  </si>
  <si>
    <t xml:space="preserve">The marking defined in this paragraph shall be visible with the Enhanced Child Restraint System in the vehicle, with the child in the Enhanced Child Restraint System."  </t>
  </si>
  <si>
    <t>See GB27887 Part 8.4</t>
  </si>
  <si>
    <t xml:space="preserve">8.4 In the rearward-facing child restraint system, permanent label shall be stuck on the inside visible surface ( include both sides of the head) in the area where the child's head rests within the child restraint system. The following information shall be indicated on the label in both Chinese and English: Label minimum size: 60 mm×120 mm(2.4 in × 4.8 in). The label shall be stitched to the cover of the child restraint system around its entire perimeter and/or permanently bonded to the cover over its entire back surface. Any other form of attachment that is permanent and not becoming obscured is acceptable. Single-side sewn labels shall not be used. If some part or any accessories supplied by the manufacturer are able to obscure the label, an additional label is required. One warning label shall be permanently visible in all situations when the child restraint system is prepared for use in any configuration (see Figure 11). </t>
    <phoneticPr fontId="16" type="noConversion"/>
  </si>
  <si>
    <t>See ECE R129 Part 4.4.</t>
  </si>
  <si>
    <t>4.4.On the visible inner surface (including the side wing beside the child's head) in the approximate area where the child's head rests within the Enhanced Child Restraint System, rearward facing restraints shall have the following label permanently attached (the information shown is a minimum).</t>
  </si>
  <si>
    <t>Label minimum size: 60 x 120 mm.</t>
  </si>
  <si>
    <t>The label shall be stitched to the cover around its entire perimeter and/or permanently bonded to the cover over its entire back surface. Any other form of attachment that is permanent and not liable to removal from the product or to becoming obscured is acceptable. Flag type labels are specifically prohibited.</t>
  </si>
  <si>
    <t>If sections of the restraint or any accessories supplied by the Enhanced Child Restraint System manufacturer are able to obscure the label an additional label is required. One warning label shall be permanently visible in all situations when the restraint is prepared for use in any configuration.</t>
  </si>
  <si>
    <t>Markings required words</t>
    <phoneticPr fontId="17" type="noConversion"/>
  </si>
  <si>
    <t>See GB27887 Part 8.5</t>
  </si>
  <si>
    <t xml:space="preserve">8.5 In the case of child restraint systems that can be used forward and rear-facing, shall include the following information: 
"IMPORTANT - DO NOT USE FORWARD FACING BEFORE THE CHILD'S WEIGHT EXCEEDS.......... (Refer to instructions)" 
</t>
    <phoneticPr fontId="16" type="noConversion"/>
  </si>
  <si>
    <t>See ECE R129 Part 4.5</t>
  </si>
  <si>
    <t>4.5.In the case of Integral Enhanced Child Restraint Systems that can be used forward facing, it shall have the following label permanently attached on the part hosting the child and visible to the person installing an Enhanced Child Restraint System in the vehicle:</t>
  </si>
  <si>
    <t>The manufacturer shall be permitted to include the word "months" to explain the symbol "M" in the label. The word "months" should be in a language commonly spoken in the country or countries where the product is sold. More than one language is allowed.</t>
  </si>
  <si>
    <t>See GB27887 Part 8.6</t>
  </si>
  <si>
    <t xml:space="preserve">8.6 In the case of child restraint systems with alternative restraint mode, the alternative load bearing contact points between the adult safety-belt and the child restraint system of this alternative restraint mode shall be clearly and permanently marked. This marking shall indicate that it is the alternative restraint mode, and shall conform to the color coding requirements for forward and rearward facing seats. </t>
  </si>
  <si>
    <t>See GB27887 Part 8.7</t>
  </si>
  <si>
    <t xml:space="preserve">8.7 If the child restraint system offers alternative load bearing contact points, the marking required in 8.3 shall include an indication that the alternative restraint mode is described in the instructions. </t>
  </si>
  <si>
    <t>See GB27887 Part 8.8</t>
  </si>
  <si>
    <t xml:space="preserve">8.8 ISOFIX marking 
If the product includes ISOFIX attachments, the following information shall be permanently visible to someone installing the restraint system in a vehicle: The universal ISOFIX logo includes the letter(s) that is/are appropriate for the system size class (es). As a minimum, a symbol consisting of a circle with a diameter of minimum 13 mm and containing a pictogram, the pictogram shall contrast with the background of the circle. The pictogram shall be clearly visible either by means of contrast colors or by relief (see Figure 12).The following information may be conveyed by pictograms and/or text. The marking shall indicate: 
a) The essential steps relevant to installing seats. For example, the method of using the ISOFIX locking system shall be explained, 
b) The position, function, and explanation of any indicator, 
c) The route of the position of the upper anchorage shall be defined if necessary, or other means of limiting seat rotation requiring action by the user, must be indicated using one of the symbols as shown in Figure 13. 
d) The adjustment of ISOFIX buckle and the upper anchorage, or other means of limiting seat rotation, requiring action of the user shall be indicated, 
e) The marking shall be permanently attached and be visible to a user installing the seat, 
f) Where necessary, reference shall be made to the child restraint system user instructions and to the location of that document using the symbol. </t>
  </si>
  <si>
    <t>Marking for integral ECRS</t>
  </si>
  <si>
    <t>See ECE R129 Part 4.6</t>
  </si>
  <si>
    <t>4.6. Marking for integral ECRS including ISOFIX connections attachments.</t>
    <phoneticPr fontId="16" type="noConversion"/>
  </si>
  <si>
    <t>The marking shall be located on the part of the ECRS which includes the ISOFIX attachments.</t>
  </si>
  <si>
    <t xml:space="preserve">One of the following information labels shall be permanently visible to someone installing the Enhanced Child Restraint System in a vehicle:" </t>
  </si>
  <si>
    <t>See ECE R129 Part 4.6.1</t>
  </si>
  <si>
    <t>4.6.1.I-Size ECRS:</t>
    <phoneticPr fontId="16" type="noConversion"/>
  </si>
  <si>
    <t>I-Size logo. The symbol shown below shall have minimum dimension of 25 x 25 mm and the pictogram shall contrast with the background. The pictogram shall be clearly visible either by means of contrasting colors or by adequate relief if it is moulded or embossed;</t>
  </si>
  <si>
    <t>See ECE R129 Part 4.6.2</t>
  </si>
  <si>
    <t xml:space="preserve">4.6.2. Specific Vehicle ISOFIX ECRS. </t>
  </si>
  <si>
    <t>If the product includes ISOFIX attachments, the following information shall be permanently visible to someone installing the restraint in a vehicle:</t>
  </si>
  <si>
    <t>The ISO ISOFIX logo followed by the reference(s) that is/are appropriate for the ISOFIX size fixture(s) into which the product fits. As a minimum, a symbol consisting of a circle with a diameter of minimum 13 mm and containing a pictogram, the pictogram shall contrast with the background of the circle. The pictogram shall be clearly visible either by means of contrast colors or by adequate relief if it is moulded or embossed.</t>
  </si>
  <si>
    <t>The Specific vehicle ISOFIX Enhanced Child Restraint System shall have a permanently attached label visible to the person installing the Enhanced Child Restraint System in the car, containing the following information:</t>
  </si>
  <si>
    <t xml:space="preserve">Specific Vehicle ISOFIX    </t>
  </si>
  <si>
    <t>See ECE R129 Part 4.6.3</t>
  </si>
  <si>
    <t xml:space="preserve">4.6.3. An international approval mark as defined in paragraph 5.4.1. In case the ECRS containing module(s) this marking shall be permanently attached to the part of the ECRS which includes the ISOFIX attachments." </t>
  </si>
  <si>
    <t>See ECE R129 Part 4.6.4</t>
  </si>
  <si>
    <t>4.6.4.An international module mark as defined in paragraph 5.4.3. In case the ECRS containing module(s) this marking shall be permanently attached to the module part of the ECRS.</t>
  </si>
  <si>
    <t>Marking for non-integral ECRS</t>
  </si>
  <si>
    <t>See ECE R129 Part 4.7.</t>
  </si>
  <si>
    <t>4.7.Marking for non-integral ECRS</t>
    <phoneticPr fontId="16" type="noConversion"/>
  </si>
  <si>
    <t>See ECE R129 Part 4.7.1</t>
  </si>
  <si>
    <t xml:space="preserve">4.7.1.I-Size booster seat Enhanced Child Restraint Systems shall have a permanently attached label with the following information visible to the person installing the Enhanced Child Restraint System in the car: </t>
  </si>
  <si>
    <t xml:space="preserve"> I-Size booster seat </t>
  </si>
  <si>
    <t>See ECE R129 Part 4.7.2</t>
  </si>
  <si>
    <t xml:space="preserve">4.7.2. Specific vehicle booster seat Enhanced Child Restraint System (except built-in) shall have a permanently attached label with the following information visible to the person installing the Enhanced Child Restraint System in the car: </t>
  </si>
  <si>
    <t xml:space="preserve">Specific vehicle booster seat  </t>
  </si>
  <si>
    <t>See ECE R129 Part 4.7.3</t>
  </si>
  <si>
    <t>4.7.3. An impact shield that is not permanently attached to the child seat shall have a permanently attached label to indicate the make and model of the ECRS to which it belongs. The minimum size of the label shall be 40 x 40 mm"</t>
  </si>
  <si>
    <t>Additional markings</t>
  </si>
  <si>
    <t>See ECE R129 Part 4.8.</t>
  </si>
  <si>
    <t>4.8.Additional markings</t>
    <phoneticPr fontId="16" type="noConversion"/>
  </si>
  <si>
    <t>The following information may be conveyed by pictograms and/or text. The marking shall indicate:</t>
  </si>
  <si>
    <t>See ECE R129 Part 4.8.(a)</t>
  </si>
  <si>
    <t>4.8.(a)The essential relevant steps needed for making the Enhanced Child Restraint System ready for installation. For example, the method of extending the ISOFIX attachment(s) shall be explained;</t>
  </si>
  <si>
    <t>See ECE R129 Part 4.8.(b)</t>
  </si>
  <si>
    <t>4.8.(b)The position, function, and interpretation of any indicator shall be explained;</t>
  </si>
  <si>
    <t>See ECE R129 Part 4.8.(c)</t>
  </si>
  <si>
    <t xml:space="preserve">4.8.(c)The position and if necessary the routing of top tethers, or other means of limiting Enhanced Child Restraint System rotation requiring action by the user, shall be indicated using one of the following symbols as appropriate; </t>
  </si>
  <si>
    <t>See ECE R129 Part 4.8.(d)</t>
  </si>
  <si>
    <t>4.8.(d)The adjustment of ISOFIX latches and the top tether, or other means of limiting Enhanced Child Restraint System rotation, requiring action by the user shall be indicated;</t>
  </si>
  <si>
    <t>See ECE R129 Part 4.8.(e)</t>
  </si>
  <si>
    <t>4.8.(e)The marking shall be permanently attached and be visible to a user installing the Enhanced Child Restraint System;</t>
  </si>
  <si>
    <t>See ECE R129 Part 4.8.(f)</t>
  </si>
  <si>
    <t>4.8.(f)Where necessary reference should be made to the Enhanced Child Restraint System user instructions and to the location of that document using the symbol below.</t>
  </si>
  <si>
    <t>S5.5 Labeling. Any labels or written</t>
    <phoneticPr fontId="17" type="noConversion"/>
  </si>
  <si>
    <t>S5.5 Any labels or written instructions provided in addition to those required by this section shall not obscure or confuse the meaning of the required information or be otherwise misleading to the consumer. Any labels or written instructions other than in the English language shall be an accurate translation of English labels or written instructions.</t>
  </si>
  <si>
    <t>S5.5.1 Each add-on child restraint system shall be permanently labeled with the information specified in S5.5.2 (a) through (m).</t>
  </si>
  <si>
    <t>S5.5.2 The information specified in paragraphs (a) through (m) of this section shall be stated in the English language and lettered in letters and numbers that are not smaller than 10 point type. Unless otherwise specified, the information shall be labeled on a white background with black text. Unless written in all capitals, the information shall be stated in sentence capitalization.</t>
  </si>
  <si>
    <t>S5.5.2(a) The model name or number of the system.</t>
  </si>
  <si>
    <t>S5.5.2(b) The manufacturer’s name. A distributor’s name may be used instead if the distributor assumes responsibility for all duties and liabilities imposed on the manufacturer with respect to the system by the National Traffic and Motor Vehicle Safety Act, as amended.</t>
  </si>
  <si>
    <t>S5.5.2(c) The statement: "Manufactured in ________," inserting the month and year of manufacture.</t>
    <phoneticPr fontId="16" type="noConversion"/>
  </si>
  <si>
    <t>S5.5.2(d) The place of manufacture (city and State, or foreign country). However, if the manufacturer uses the name of the distributor, then it shall state the location (city and State, or foreign country) of the principal offices of the distributor.</t>
  </si>
  <si>
    <t>S5.5.2(e) The statement: "This child restraint system conforms to all applicable Federal motor vehicle safety standards."</t>
  </si>
  <si>
    <t>S5.5.2(f) One of the following statements, as appropriate, inserting the manufacturer’s recommendations for the maximum mass of children who can safely occupy the system, except that booster seats shall not be recommended for children whose masses are less than 13.6 kg. For seats that can only be used as belt-positioning seats, manufacturers must include the maximum and minimum recommended height, but may delete the reference to weight:</t>
  </si>
  <si>
    <t>S5.5.2(f)(1) Use only with children who weigh ___ pounds (___ kg) or less and whose height is (insert values in English and metric units; use of word ‘‘mass’’ in label is optional) or less; or</t>
    <phoneticPr fontId="17" type="noConversion"/>
  </si>
  <si>
    <t>S5.5.2(f)(2) Use only with children who weigh between ____ and ____ pounds (insert appropriate English and metric values; use of word ‘‘mass’’ is optional) and whose height is (insert appropriate values in English and metric units) or less and who are capable of sitting upright alone; or</t>
  </si>
  <si>
    <t>S5.5.2(f)(3) Use only with children who weigh between ____ and ____ pounds (insert appropriate English and metric values; use of word ‘‘mass’’ is optional) and whose height is (insert appropriate values in English and metric units) or less.</t>
  </si>
  <si>
    <t>S5.5.2(f)(4) Use only with children who weigh between __ and___ pounds (insert appropriate English and metric values; use of word “mass” is optional) and whose height is between __ and __ (insert appropriate values in English and metric units).</t>
    <phoneticPr fontId="17" type="noConversion"/>
  </si>
  <si>
    <t>S5.5.2(g)(1) A heading as specified in S5.5.2(k)(3)(i), with the statement WARNING! DEATH or SERIOUS INJURY can occur,’’ capitalized as written and followed by bulleted statements in the following order:</t>
  </si>
  <si>
    <t>S5.5.2(g)(1)(i) As appropriate, the statements required by the following sections will be bulleted and placed after the statement required by 5.5.2(g)(1) in the following order: 5.5.2(k)(1) or 5.5.2(k)(2), 5.5.2(f), 5.5.2(h), 5.5.2(j), and 5.5.2(i).</t>
  </si>
  <si>
    <t>S5.5.2(g)(1)(ii) Secure this child restraint with the vehicle's child restraint anchorage system, if available, or with a vehicle belt. [For car beds, harnesses, and belt positioning seats, the first part of the statement regarding attachment by the child restraint anchorage system is optional.] [For belt-positioning seats, the second part of the statement regarding attachment by the vehicle belt does not apply.] [For child restraints manufactured from February 27, 2014 to February 26, 2015, the following statement applies.] Child restraint systems equipped with internal harnesses to restrain the child and with components to attach to a child restraint anchorage system and for which the combined weight of the child restraint system and the maximum recommended child weight for use with internal harnesses exceeds 65 pounds, must be labeled with the following statement: “Do not use the lower anchors of the child restraint anchorage system (LATCH system) to attach this child restraint when restraining a child weighing more than * [*insert a recommended weight value in English and metric units such that the sum of the recommended weight value and the weight of the child restraint system does not exceed 65 pounds (29.5 kg)] with the internal harnesses of the child restraint.”</t>
  </si>
  <si>
    <t>S5.5.2(g)(1)(iii) Follow all instructions on this child restraint and in the written instructions located (insert storage location on the restraint for the manufacturer’s installation instruction booklet or sheet).</t>
  </si>
  <si>
    <t>S5.5.2(g)(1)(iv) Register your child restraint with the manufacturer.</t>
  </si>
  <si>
    <t>S5.5.2(g)(2) At the manufacturer’s option, the phrase ‘‘DEATH or SERIOUS INJURY can occur’’ in the heading can be on either a white or yellow background.</t>
  </si>
  <si>
    <t>S5.5.2(g)(3) More than one label may be used for the required bulleted statements. Multiple labels shall be placed one above the other unless that arrangement is precluded by insufficient space or shape of the child restraint. In that case, multiple labels shall be placed side by side. When using multiple labels, the mandated warnings must be in the correct order when read from top to bottom. If the labels are side-by-side, then the mandated warnings must appear top to bottom of the leftmost label, then top to bottom of the next label to its right, and so on. There shall be no intervening labels and the required heading shall only appear on the first label in the sequence.</t>
  </si>
  <si>
    <t>S5.5.2(h) In the case of each child restraint system that has belts designed to restrain children using them and which do not adjust automatically to fit the child; the statement: Snugly adjust the belts provided with this child restraint around your child.</t>
  </si>
  <si>
    <t>S5.5.2(i)(1) For a booster seat that is recommended for use with either a vehicle’s Type I or Type II seat belt assembly, one of the following statements, as appropriate:</t>
  </si>
  <si>
    <t>S5.5.2(i)(1)(i) Use only the vehicle’s lap and shoulder belt system when restraining the child in this booster seat; or,</t>
  </si>
  <si>
    <t>S5.5.2(i)(1)(ii) Use only the vehicle’s lap belt system, or the lap belt part of a lap/shoulder belt system with the shoulder belt placed behind the child, when restraining the child in this seat.</t>
  </si>
  <si>
    <t>S5.5.2(i)(2)(i) Except as provided in paragraph (i)(2)(ii) of this section, for a booster seat which is recommended for use with both a vehicle’s Type I and Type II seat belt assemblies, the following statement: Use only the vehicle’s lap belt system, or the lap belt part of a lap/shoulder belt system with the shoulder belt placed behind the child, when restraining the child with the (insert description of the system element provided to restrain forward movement of the child’s torso when used with a lap belt (e.g., shield)), and only the vehicle’s lap and shoulder belt system when using the booster without the (insert above description).</t>
  </si>
  <si>
    <t>S5.5.2(i)(2)(ii) A booster seat which is recommended for use with both a vehicle’s Type I and Type II seat belt assemblies is not subject to S5.5.2(i)(2)(i) if, when the booster is used with the shield or similar component, the booster will cause the shoulder belt to be located in a position other than in front of the child when the booster is installed. However, such a booster shall be labeled with a warning to use the booster with the vehicle’s lap and shoulder belt system when using the booster without a shield.</t>
    <phoneticPr fontId="16" type="noConversion"/>
  </si>
  <si>
    <t>S5.5.2(j) In the case of each child restraint system equipped with a top anchorage strap, the statement: Secure the top anchorage strap provided with this child restraint.</t>
  </si>
  <si>
    <t>S5.5.2(k)(1) In the case of each rear-facing child restraint system that is designed for infants only, the statement: Use only in a rear-facing position when using it in the vehicle.</t>
  </si>
  <si>
    <t>S5.5.2(k)(2) In the case of a child restraint system that is designed to be used rearward-facing for infants and forward-facing for older children, the statement: Use only in a rear-facing position when using it with an infant weighing less than (insert a recommended weight that is not less than 9.1kg(20 lb)).</t>
    <phoneticPr fontId="16" type="noConversion"/>
  </si>
  <si>
    <t>S5.5.2(k)(3) Except as provided in (k)(4) of this section, each child restraint system that can be used in a rear-facing position shall have a label that conforms in content to Figure 23 (below) and to the requirements of S5.5.2(k)(3)(i) through S5.5.2(k)(3)(iii) permanently affixed to the outer surface of the cushion or padding in or adjacent to the area where a child’s head would rest, so that the label is plainly visible and easily readable. The text reads: “WARNING. DO NOT place rear-facing child seat on front seat with air bag. DEATH OR SERIOUS INJURY can occur. The back seat is the safest place for children 12 and under.”</t>
  </si>
  <si>
    <t>S5.5.2(k)(3)(i) The heading area shall be yellow with the word ‘‘warning’’ and the alert symbol in black.</t>
  </si>
  <si>
    <t>S5.5.2(k)(3)(iii) The pictogram shall be black with a red circle and slash on a white background. The pictogram shall be no less than 30 mm(1.2 in) in diameter.</t>
    <phoneticPr fontId="16" type="noConversion"/>
  </si>
  <si>
    <t>S5.5.2(k)(4) If a child restraint system is equipped with a device that deactivates the passenger-side air bag in a vehicle when and only when the child restraint is installed in the vehicle and provides a signal, for at least 60 seconds after deactivation, that the air bag is deactivated, the label specified in Figure 23 (above) may include the phrase ‘‘unless air bag is off’’ after ‘‘on front seat with air bag.’’</t>
  </si>
  <si>
    <t>S5.5.2(l) An installation diagram showing the child restraint system installed in :</t>
  </si>
  <si>
    <t>S5.5.2(l)(1) A seating position equipped with a continuous-loop lap/shoulder belt;</t>
  </si>
  <si>
    <t>S5.5.2(l)(2) A seating position equipped with only a lap belt, as specified in the manufacturer’s instructions; and</t>
  </si>
  <si>
    <t>S5.5.2(l)(3) A seating position equipped with a child restraint anchorage system. For child restraint systems manufactured on or after February 27, 2015, the following paragraphs (l)(3)(i) and (ii) apply, as appropriate.</t>
    <phoneticPr fontId="16" type="noConversion"/>
  </si>
  <si>
    <t>S5.5.2(l)(3)(i) If the child restraint is designed to meet the requirements of this standard when installed by the child restraint anchorage system according to S5.3.2, and if the sum of the weight of the child restraint and the maximum child weight recommended for the child restraint
when used with the restraint’s internal harness or components is
greater than 65 lb when used forwardfacing or rear-facing, include the following statement on this installation diagram: ‘‘Do not install by this method for a child weighing more than *.’’  At the manufacturer’s option, ‘‘*’’ is the child weight limit in English units in accordance with S5.5.2(l)(3)(A)(i), (ii), or (iii). The corresponding child weight limit in metric units may also be included in the statement at the manufacturer’s option.</t>
    <phoneticPr fontId="16" type="noConversion"/>
  </si>
  <si>
    <t>S5.5.2(l)(3)(i)(A) For forward-facing and rear-facing child restraints, * is less than or equal to 30kg(65 lb) minus child restraint weight.</t>
    <phoneticPr fontId="16" type="noConversion"/>
  </si>
  <si>
    <t>S5.5.2(l)(3)(i)(C) For rear-facing child restraints, *is the child weight limit specified in the following table corresponding to the value CW, calculated as 30kg(65 lb) minus child restraint weight.</t>
    <phoneticPr fontId="16" type="noConversion"/>
  </si>
  <si>
    <t xml:space="preserve">S5.5.2(l)(3)(ii) For child restraints designed to meet the requirements of this standard when installed forward-facing and rearfacing by the child restraint anchorage system according to S5.3.2, the following applies: </t>
    <phoneticPr fontId="16" type="noConversion"/>
  </si>
  <si>
    <t>S5.5.2(l)(3)(ii)(a) If separate installation diagrams are provided for the child restraint installed forward-facing and rear-facing, S5.5.2(l)(3)(i) applies to each of the installation diagrams.</t>
    <phoneticPr fontId="16" type="noConversion"/>
  </si>
  <si>
    <t xml:space="preserve">S5.5.2(l)(3)(ii)(b) If only one installation diagram is provided and if a statement specifying a child weight limit is required in only rear-facing or forward-facing mode pursuant to S5.5.2(l)(3)(i), then the diagram shall depict installation in that mode along with the corresponding child weight limit in accordance with S5.5.2(l)(3)(i). </t>
    <phoneticPr fontId="16" type="noConversion"/>
  </si>
  <si>
    <t>S5.5.2(l)(3)(ii)(c) If a statement specifying a child weight limit is required for the child restraint installed forward-facing and rear-facing pursuant to S5.5.2(l)(3)(i) and only one installation diagram is provided, then the child weight limit shall be in accordance with S5.5.2(l)(3)(i)(a) or the lesser of the child weight limits described in S5.5.2(l)(3)(i)(b) and (c).</t>
    <phoneticPr fontId="16" type="noConversion"/>
  </si>
  <si>
    <t xml:space="preserve">S5.5.2(m) One of the following statements, inserting an address and a U.S. telephone number. If a manufacturer opts to provide a Web site on the registration card as permitted in Figure 9a of this section, the manufacturer must include the statement in part (ii): </t>
    <phoneticPr fontId="16" type="noConversion"/>
  </si>
  <si>
    <t xml:space="preserve">S5.5.2(m) (i)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a U.S. telephone number). For recall information, call the U.S. Government’s Vehicle Safety Hotline at 1–888–327–4236 (TTY: 1–800–424–9153), or go to http:// www.NHTSA.gov.’’ </t>
    <phoneticPr fontId="16" type="noConversion"/>
  </si>
  <si>
    <t>S5.5.2(m) (ii)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a U.S. telephone number) or register online at (insert Web site for electronic registration form). For recall information, call the U.S. Government’s Vehicle Safety Hotline at 1–888–327–4236 (TTY: 1–800–424–9153), or go to http:// www.NHTSA.gov.’’</t>
    <phoneticPr fontId="16" type="noConversion"/>
  </si>
  <si>
    <t>S5.5.2(n) Child restraint systems, other than belt-positioning seats, harnesses and backless child restraint systems, may be certified as complying with the provisions of S8. Child restraints that are so certified shall be labeled with the statement ‘‘This Restraint is Certified for Use in Motor Vehicles and Aircraft.’’ Belt-positioning seats, harnesses and backless child restraint systems shall be labeled with the statement ‘‘This Restraint is Not Certified for Use in Aircraft.’’ The statement required by this paragraph shall be in red lettering and shall be placed after the certification statement required by S5.5.2(e).</t>
    <phoneticPr fontId="16" type="noConversion"/>
  </si>
  <si>
    <t xml:space="preserve">S5.5.3 The information specified in S5.5.2(f) through (l) shall be located on the add-on child restraint system so that it is visible when the system is installed as specified in S5.6.1, except that for child restraints with a detachable base, the installation diagrams specified in S5.5.2(l) are required to be visible only when the base alone is installed. </t>
    <phoneticPr fontId="16" type="noConversion"/>
  </si>
  <si>
    <t xml:space="preserve">S5.5.4 (a) Each built-in child restraint system other than a factory-installed built-in restraint shall be permanently labeled with the information specified in S5.5.5 (a) through (l). The information specified in S5.5.5(a) through (j) and in S5.5.5(l) shall be visible when the system is activated for use. </t>
    <phoneticPr fontId="16" type="noConversion"/>
  </si>
  <si>
    <t xml:space="preserve">S5.5.4(b)    Each factory-installed built-in child restraint shall be permanently labeled with the information specified in S5.5.5(f) through (j) and S5.5.5(l), so that the information is visible when the restraint is activated for use. The information shall also be included in the vehicle owner’s manual. </t>
    <phoneticPr fontId="16" type="noConversion"/>
  </si>
  <si>
    <t xml:space="preserve">S5.5.5 The information specified in paragraphs (a) through (l) of this section that is required by S5.5.4 shall be in English and lettered in letters and numbers using a not smaller than 10point type. Unless specified otherwise, the information shall be labeled on a white background with black text. Unless written in all capitals, the information shall be stated in sentence capitalization. </t>
  </si>
  <si>
    <t xml:space="preserve">S5.5.5(a) The model name or number of the system. </t>
  </si>
  <si>
    <t xml:space="preserve">S5.5.5(b) The manufacturer’s name. A distributor’s or dealer’s name may be used instead if the distributor or dealer assumes responsibility for all duties and liabilities imposed on the manufacturer with respect to the system by the National Traffic and Motor Vehicle Safety Act, as amended. </t>
  </si>
  <si>
    <t xml:space="preserve">S5.5.5(c) The statement: ‘‘Manufactured in__,’’ inserting the month and year of manufacture. </t>
  </si>
  <si>
    <t xml:space="preserve">S5.5.5(d) The place of manufacture (city and State, or foreign country). However, if the manufacturer uses the name of the distributor or dealer, then it shall state the location (city and State, or foreign country) of the principal offices of the distributor or dealer. </t>
  </si>
  <si>
    <t xml:space="preserve">S5.5.5(e) The statement: ‘‘This child restraint system conforms to all applicable Federal motor vehicle safety standards.’’ </t>
  </si>
  <si>
    <t xml:space="preserve">S5.5.5(f) One of the following statements, inserting the manufacturer’s recommendations for the maximum mass of children who can safely occupy the system, except that booster seats shall not be recommended for children whose masses are less than 13.6 kg(30 lb). For seats that can only be used as belt-positioning seats, manufacturers must include the maximum and minimum recommended height, but may delete the reference to weight: </t>
    <phoneticPr fontId="16" type="noConversion"/>
  </si>
  <si>
    <t xml:space="preserve">S5.5.5(f)(1) Use only with children who weigh__ pounds (__ kg) or less and whose height is (insert values in English and metric units; use of word ‘‘mass’’ in label is optional) or less; or </t>
    <phoneticPr fontId="16" type="noConversion"/>
  </si>
  <si>
    <t xml:space="preserve">S5.5.5(f)(2) Use only with children who weigh between__ and__ pounds (__ and__ kg) and whose height is (insert appropriate values in English and metric units; use of word ‘‘mass’’ in label is optional) or less and who are capable of sitting upright alone; or </t>
    <phoneticPr fontId="16" type="noConversion"/>
  </si>
  <si>
    <t xml:space="preserve">S5.5.5(f)(3) Use only with children who weigh between__ and__ pounds (__ and__ kg) and whose height is (insert appropriate values in English and metric units; use of word ‘‘mass’’ in label is optional) or less. </t>
    <phoneticPr fontId="16" type="noConversion"/>
  </si>
  <si>
    <t xml:space="preserve">S5.5.5(f)(4) Use only with children who weigh between__ and__ pounds (insert appropriate English and metric values; use of word ‘‘mass’’ is optional) and whose height is between__ and__ (insert appropriate values in English and metric units). </t>
    <phoneticPr fontId="16" type="noConversion"/>
  </si>
  <si>
    <t xml:space="preserve">S5.5.5(g) The heading and statement specified in paragraph (1), and if appropriate, the statements in paragraph (2) and (3). If used, the statements in paragraphs (2) and (3) shall be bulleted and precede the bulleted statement required by paragraph (1) after the heading. </t>
  </si>
  <si>
    <t xml:space="preserve">S5.5.5(g)(1) A heading as specified in S5.5.2(k)(3)(i), with the statement ‘‘WARNING! DEATH or SERIOUS INJURY can occur,’’ capitalized as written and followed by the bulleted statement: Follow all instructions on the child restraint and in the vehicle’s owner’s manual. At the manufacturer’s option, the phrase ‘‘DEATH or SERIOUS INJURY can occur’’ in the heading can be on either a white or yellow background. </t>
    <phoneticPr fontId="16" type="noConversion"/>
  </si>
  <si>
    <t xml:space="preserve">S5.5.5(g)(2) In the case of each built-in child restraint system which is not intended for use in motor vehicles in certain adjustment positions or under certain circumstances, an appropriate statement of the manufacturers restrictions regarding those positions or circumstances. </t>
    <phoneticPr fontId="16" type="noConversion"/>
  </si>
  <si>
    <t xml:space="preserve">S5.5.5(g)(3) As appropriate, the statements required by the following sections will be bulleted and placed after the statement required by 5.5.5(g)(1) in the following order: 5.5.5(g)(2), 5.5.5(f), S5.5.5(h) and S5.5.5(i).  </t>
    <phoneticPr fontId="16" type="noConversion"/>
  </si>
  <si>
    <t xml:space="preserve">S5.5.5(h) In the case of each built-in child restraint system that has belts designed to restrain children using them and which do not adjust automatically to fit the child: Snugly adjust the belts provided with this child restraint around your child. </t>
  </si>
  <si>
    <t xml:space="preserve">S5.5.5(i) In the case of each built-in child restraint which can be used in a rearfacing position, the following statement: Place an infant in a rear-facing position in this child restraint. </t>
  </si>
  <si>
    <t xml:space="preserve">S5.5.5(j) A diagram or diagrams showing the fully activated child restraint system in infant and/or child configurations. </t>
  </si>
  <si>
    <t xml:space="preserve">S5.5.5(k) One of the following statements, inserting an address and a U.S. telephone number. If a manufacturer opts to provide a Web site on the registration card as permitted in Figure 9a of this section, the manufacturer must include the statement in part (ii): </t>
  </si>
  <si>
    <t xml:space="preserve">S5.5.5(k)(i)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a U.S. telephone number). For recall information, call the U.S. Government’s Vehicle Safety Hotline at 1–888–327–4236 (TTY: 1–800–424–9153), or go to http:// www.NHTSA.gov.’’ </t>
    <phoneticPr fontId="16" type="noConversion"/>
  </si>
  <si>
    <t xml:space="preserve">S5.5.5(k)(ii)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telephone number) or register online at (insert Web site for electronic registration form). For recall information, call the U.S. Government’s Vehicle Safety Hotline at 1–888–327–4236 (TTY: 1–800–424–9153), or go to http:// www.NHTSA.gov.’’ </t>
    <phoneticPr fontId="16" type="noConversion"/>
  </si>
  <si>
    <t xml:space="preserve">S5.5.5(l) In the case of a built-in belt-positioning seat that uses either the vehicle’s Type I or Type II belt systems or both, a statement describing the manufacturer’s recommendations for the maximum height and weight of children who can safely occupy the system and how the booster should be used (e.g., with or without shield) with the different vehicle belt systems. </t>
    <phoneticPr fontId="16" type="noConversion"/>
  </si>
  <si>
    <t>Instructions</t>
  </si>
  <si>
    <t>Instructions required words</t>
    <phoneticPr fontId="17" type="noConversion"/>
  </si>
  <si>
    <t>See GB27887 Part 9.1</t>
  </si>
  <si>
    <t>9.1 Each child restraint shall be accompanied by instruction in Chinese</t>
  </si>
  <si>
    <t>See ECE R129 Part 14.1</t>
  </si>
  <si>
    <t>14.1.Each Enhanced Child Restraint System shall be accompanied by instructions in the language of the country where the device is sold with the following content:</t>
  </si>
  <si>
    <t>See GB27887 Part 9.2</t>
  </si>
  <si>
    <t xml:space="preserve">9.2 Instructions on installation shall include the following points: </t>
  </si>
  <si>
    <t>See GB27887 Part 9.2.1</t>
  </si>
  <si>
    <t>9.2.1 For "universal" category child restraints the following label shall be clearly visible at</t>
  </si>
  <si>
    <t>the point of sale without removing the packing:</t>
  </si>
  <si>
    <t>Notice</t>
  </si>
  <si>
    <t>1. This is a "Universal" child restraint. It is in accordance with GB 27887-2011. For general use in vehicles, it will fit most, but not all, car seats.</t>
    <phoneticPr fontId="16" type="noConversion"/>
  </si>
  <si>
    <t>2. A correct fit is likely if the vehicle manufacturer has declared in the vehicle handbook that the vehicle is capable of accepting a Universal" child restraint for this age group.</t>
    <phoneticPr fontId="16" type="noConversion"/>
  </si>
  <si>
    <t>3. If in doubt, consult either the child restraint manufacturer or the retailer.</t>
  </si>
  <si>
    <t>See ECE R129 Part 14.2.1</t>
  </si>
  <si>
    <t>14.2.1.For I-Size category Enhanced Child Restraint Systems the following label shall be clearly visible on the exterior of the packing:</t>
  </si>
  <si>
    <t>This is an I-Size Enhanced Child Restraint System. It is approved according to UN Regulation No. 129, for use in, I-Size compatible vehicle seating positions as indicated by vehicle manufacturers in the vehicle users' manual.</t>
  </si>
  <si>
    <t>If in doubt, consult either the Enhanced Child Restraint System manufacturer or the retailer.</t>
  </si>
  <si>
    <t>See GB27887 Part 9.2.2</t>
  </si>
  <si>
    <t>9.2.2 For "restricted" and "semi-universal" category child restraints the following information shall be clearly visible at the point of sale without removing the packing:</t>
    <phoneticPr fontId="16" type="noConversion"/>
  </si>
  <si>
    <t>This Child Restraint is classified for "(Restricted/Semi-universal)" use and is suitable for fixing into the seat positions of the following cars:</t>
    <phoneticPr fontId="16" type="noConversion"/>
  </si>
  <si>
    <t xml:space="preserve">                    (Model)                    Yes                  Yes            No</t>
    <phoneticPr fontId="16" type="noConversion"/>
  </si>
  <si>
    <t>Seat positions in other cars may also be suitable to accept this child restraint. If in doubt, consult either the child restraint manufacturer or the retailer.</t>
    <phoneticPr fontId="16" type="noConversion"/>
  </si>
  <si>
    <t>See ECE R129 Part 14.2.2</t>
  </si>
  <si>
    <t>14.2.2.For i-Size booster seat category Enhanced Child Restraint Systems the following label shall be clearly visible on the exterior of the packing:</t>
  </si>
  <si>
    <t>This is a i-Size booster seat Enhanced Child Restraint System. It is approved according to Regulation No. 129, for use primarily in " i-Size seating positions" as indicated by vehicle manufacturers in the vehicle user’s manual.</t>
  </si>
  <si>
    <t>See GB27887 Part 9.2.3</t>
  </si>
  <si>
    <t xml:space="preserve">9.2.3  For "Specific vehicle" category child restraints, information on the applicable vehicle shall be clearly visible at the point of sale without removing the packing. </t>
  </si>
  <si>
    <t>See ECE R129 Part 14.2.3</t>
  </si>
  <si>
    <t>14.2.3.For Specific vehicle category Enhanced Child Restraint Systems information on the applicable vehicle shall be clearly visible at the point of sale without removing the Enhanced Child Restraint System from its packing;</t>
  </si>
  <si>
    <t>See GB27887 Part 9.2.4</t>
  </si>
  <si>
    <t xml:space="preserve">9.2.4  If the device requires an adult safety-belt, the following wording should also be clearly visible at the point of sale without removing the packing: "Only suitable if the approved vehicles are fitted with lap/3 point/static/with retractor safety-belts, approved to GB 14166 or ECE R16." (Strike out what does not apply.) 
In the case of carry-cot restraints, a list of carry-cots for which the device is suited should be included. </t>
  </si>
  <si>
    <t>See GB27887 Part 9.2.5</t>
  </si>
  <si>
    <t xml:space="preserve">9.2.5  The child restraint manufacturer shall provide post address on the packing box. </t>
  </si>
  <si>
    <t>See ECE R129 Part 14.2.4</t>
  </si>
  <si>
    <t>14.2.4.The child restraint manufacturer shall provide information on the exterior packaging as to the address to which the customer can write to obtain further information on fitting the child restraint in specific cars;</t>
  </si>
  <si>
    <t>See GB27887 Part 9.2.6</t>
  </si>
  <si>
    <t xml:space="preserve">9.2.6  The method of installation shall be illustrated by photographs or very clear drawings. </t>
  </si>
  <si>
    <t>See ECE R129 Part 14.2.5</t>
  </si>
  <si>
    <t>14.2.5.The method of installation illustrated by photographs and/or very clear drawings;</t>
  </si>
  <si>
    <t>See GB27887 Part 9.2.7</t>
  </si>
  <si>
    <t xml:space="preserve">9.2.7  The user shall be advised that the rigid items and plastic parts of a child restraint must be so located and installed that they are not liable, during everyday use of the vehicle, to become trapped by a movable seat or in a door of the vehicle. </t>
  </si>
  <si>
    <t>See ECE R129 Part 14.2.6</t>
  </si>
  <si>
    <t>14.2.6.The user shall be advised that the rigid items and plastic parts of an Enhanced Child Restraint System shall be so located and installed that they are not liable, during everyday use of the vehicle, to become trapped by a movable seat or in a door of the vehicle;</t>
  </si>
  <si>
    <t>See GB27887 Part 9.2.8</t>
  </si>
  <si>
    <t xml:space="preserve">9.2.8  The user should be advised to use carry-cots perpendicular to the longitudinal axis of the vehicle. </t>
  </si>
  <si>
    <t>See ECE R129 Part 14.2.7</t>
  </si>
  <si>
    <t>14.2.7.The user should be advised to use carry-cots perpendicular to the longitudinal axis of the vehicle;</t>
  </si>
  <si>
    <t>See GB27887 Part 9.2.9</t>
  </si>
  <si>
    <t xml:space="preserve">9.2.9  In the case of rearward facing systems the customer shall be advised not to use them in seating positions where there is an airbag installed. This information shall be clearly visible at the point of sale without removing the packaging. </t>
  </si>
  <si>
    <t>See ECE R129 Part 14.2.8</t>
  </si>
  <si>
    <t>14.2.8.In the case of rearward facing Enhanced Child Restraint Systems the customer shall be advised not to use them in seating positions where there is an active frontal airbag installed. This information shall be clearly visible at the point of sale without removing the packaging;</t>
  </si>
  <si>
    <t>See GB27887 Part 9.2.10</t>
  </si>
  <si>
    <t xml:space="preserve">9.2.10  For "Special Needs Restraints" the following information shall be clearly visible at the point of sale without removing the packing: </t>
  </si>
  <si>
    <t>This "Special Needs Restraint" is designed to give extra support to children who have difficulty in sitting correctly in conventional seats. Always consult your doctor to make sure that this restraint system is suitable for your child.</t>
    <phoneticPr fontId="16" type="noConversion"/>
  </si>
  <si>
    <t>See ECE R129 Part 14.2.9</t>
  </si>
  <si>
    <t>14.2.9.For "Special Needs Restraints" Enhanced Child Restraint Systems the following information shall be clearly visible at the point of sale without removing the Enhanced Child Restraint System from its packing:</t>
  </si>
  <si>
    <t>This "Special Needs Restraint" is designed to give extra support to children who have difficulty in sitting correctly in conventional seats. Always consult your doctor to make sure that this restraint system is suitable for your child.</t>
  </si>
  <si>
    <t>See GB27887 Part 9.2.11</t>
  </si>
  <si>
    <t xml:space="preserve">9.2.11  For an ISOFIX child restraint system, the following label shall be clearly visible at the point of sale without removing the packing: </t>
  </si>
  <si>
    <t>1. This is an ISOFIX CHILD RESTRAINT SYSTEM. It is approved to GB27887-2011and for general use in vehicles fitted with ISOFIX anchorages systems.</t>
    <phoneticPr fontId="16" type="noConversion"/>
  </si>
  <si>
    <t>2. It will fit vehicles with positions approved as ISOFIX positions (as detailed in the vehicle handbook), depending on the category of the child restraint and of the fixture.</t>
    <phoneticPr fontId="16" type="noConversion"/>
  </si>
  <si>
    <t>3. The mass group and the ISOFIX size class for which this device is intended is: ………</t>
    <phoneticPr fontId="16" type="noConversion"/>
  </si>
  <si>
    <t>See GB27887 Part 9.3</t>
  </si>
  <si>
    <t>9.3 The instructions for use shall include the following points</t>
  </si>
  <si>
    <t>See GB27887 Part 9.3.1</t>
  </si>
  <si>
    <t>9.3.1 The mass group and the fixture for which the device is intended</t>
  </si>
  <si>
    <t>See ECE R129 Part 14.3.1</t>
  </si>
  <si>
    <t>14.3.1.The "Size range" and for integral Enhanced Child Restraint System the maximum occupant mass for which the device is intended:</t>
  </si>
  <si>
    <t>See GB27887 Part 9.3.2</t>
  </si>
  <si>
    <t xml:space="preserve">9.3.2  If the device requires an adult safety-belt, the following wording should also be clearly visible at the point of sale without removing the packing: "Only suitable if the approved vehicles are fitted with lap/3 point/static/with retractor safety-belts, approved to GB 14166 or ECE R16." (Strike out what does not apply.) </t>
  </si>
  <si>
    <t>See GB27887 Part 9.3.3</t>
  </si>
  <si>
    <t>9.3.3  The method of use shall be shown by photographs and/or very clear drawings. In the case of seats that can be used both forward and rear-facing, clear warning must be given to keep the restraint rear-facing until the child's mass is greater than a stated limit, or some other dimensional criterion is exceeded.</t>
  </si>
  <si>
    <t>See ECE R129 Part 14.3.2</t>
  </si>
  <si>
    <t>14.3.2.The method of use shall be shown by photographs and/or very clear drawings. In the case of seats that can be used both forward and rearward facing, clear warning shall be given to keep the Enhanced Child Restraint System rearward facing until the child's age is greater than a stated limit, or some other dimensional criterion is exceeded;</t>
  </si>
  <si>
    <t>See ECE R129 Part 14.3.3</t>
  </si>
  <si>
    <t>14.3.3.For forward facing Enhanced Child Restraint System, the following information shall be clearly visible on the exterior of the packing:</t>
  </si>
  <si>
    <t>"IMPORTANT - DO NOT USE FORWARD FACING BEFORE THE CHILD'S AGE EXCEEDS 15 months (Refer to instructions)".</t>
  </si>
  <si>
    <t>See GB27887 Part 9.3.4</t>
  </si>
  <si>
    <t xml:space="preserve">9.3.4  The operation of the buckle and adjusting devices shall be explained clearly. </t>
  </si>
  <si>
    <t>See ECE R129 Part 14.3.4</t>
  </si>
  <si>
    <t>14.3.4.The operation of the buckle and adjusting devices shall be explained clearly;</t>
  </si>
  <si>
    <t>See GB27887 Part 9.3.5</t>
  </si>
  <si>
    <t xml:space="preserve">9.3.5  It shall be recommended that any straps holding the restraint to the vehicle should be tight, that any straps restraining the child should be adjusted to the child's body, and that straps should not be twisted. </t>
  </si>
  <si>
    <t>See ECE R129 Part 14.3.5</t>
  </si>
  <si>
    <t>14.3.5.It shall be recommended that any straps holding the restraint to the vehicle should be tight, that any support-leg should be in contact with the vehicle floor, that any straps restraining the child should be adjusted to the child's body, and that straps should not be twisted;</t>
  </si>
  <si>
    <t>See GB27887 Part 9.3.6</t>
  </si>
  <si>
    <t xml:space="preserve">9.3.6  The importance of ensuring that any lap strap is worn low down, so that the pelvis is firmly engaged, shall be stressed; </t>
  </si>
  <si>
    <t>See ECE R129 Part 14.3.6</t>
  </si>
  <si>
    <t>14.3.6.The importance of ensuring that any lap strap is worn low down, so that the pelvis is firmly engaged, shall be stressed;</t>
  </si>
  <si>
    <t>See GB27887 Part 9.3.7</t>
  </si>
  <si>
    <t xml:space="preserve">9.3.7  It shall be recommended that the device should be changed when it has been subject to violent stresses in an accident. </t>
  </si>
  <si>
    <t>See ECE R129 Part 14.3.7</t>
  </si>
  <si>
    <t>14.3.7.It shall be recommended that the device should be replaced when it has been subject to violent stresses in an accident;</t>
  </si>
  <si>
    <t>See GB27887 Part 9.3.8</t>
  </si>
  <si>
    <t xml:space="preserve">9.3.8  Instructions for cleaning shall be given. </t>
  </si>
  <si>
    <t>See ECE R129 Part 14.3.8</t>
  </si>
  <si>
    <t>14.3.8.Instructions for cleaning shall be given;</t>
  </si>
  <si>
    <t>See GB27887 Part 9.3.9</t>
  </si>
  <si>
    <t xml:space="preserve">9.3.9  A general warning shall be given to the user concerning the danger of altered devices or devices without the approval of the competent authority, and a danger of not following closely the installation instructions provided by the child restraint manufacturer. </t>
  </si>
  <si>
    <t>See ECE R129 Part 14.3.9</t>
  </si>
  <si>
    <t>14.3.9.A general warning shall be given to the user concerning the danger of making any alterations or additions to the device without the approval of the Type Approval Authority, and a danger of not following closely the installation instructions provided by the child restraint manufacturer;</t>
  </si>
  <si>
    <t>See GB27887 Part 9.3.10</t>
  </si>
  <si>
    <t xml:space="preserve">9.3.10  When the chair is not provided with a textile cover, it shall be recommended that the chair should be kept away from sunlight, otherwise it may be too hot for the child's skin. </t>
  </si>
  <si>
    <t>See ECE R129 Part 14.3.10</t>
  </si>
  <si>
    <t>14.3.10.When the chair is not provided with a textile cover, it shall be recommended that the chair should be kept away from sunlight, otherwise it may be too hot for the child's skin;</t>
  </si>
  <si>
    <t>See GB27887 Part 9.3.11</t>
  </si>
  <si>
    <t xml:space="preserve">9.3.11  It shall be recommended that children are not left in their child restraint system unattended; </t>
  </si>
  <si>
    <t>See ECE R129 Part 14.3.11</t>
  </si>
  <si>
    <t>14.3.11.It shall be recommended that children are not left in their Enhanced Child Restraint System unattended;</t>
  </si>
  <si>
    <t>See GB27887 Part 9.3.12</t>
  </si>
  <si>
    <t xml:space="preserve">9.3.12  It shall be recommended that any luggage or other objects liable to cause injuries in the event of a collision shall be properly secured. </t>
  </si>
  <si>
    <t>See ECE R129 Part 14.3.12</t>
  </si>
  <si>
    <t>14.3.12.It shall be recommended that any luggage or other objects liable to cause injuries in the event of a collision shall be properly secured.</t>
  </si>
  <si>
    <t>See GB27887 Part 9.3.13</t>
  </si>
  <si>
    <t xml:space="preserve">9.3.13  13 It shall be recommended that: 
a) The child restraint must not be used without the cover; 
b) The seat cover should not be replaced with any other than the one recommended by the manufacturer, because the cover constitutes an integral part of the restraint performance. </t>
  </si>
  <si>
    <t>See ECE R129 Part 14.3.13</t>
  </si>
  <si>
    <t>14.3.13.It shall be recommended that:</t>
  </si>
  <si>
    <t>See ECE R129 Part 14.3.13.1</t>
  </si>
  <si>
    <t>14.3.13.1.The Enhanced Child Restraint System shall not be used without the cover;</t>
  </si>
  <si>
    <t>See ECE R129 Part 14.3.13.2</t>
  </si>
  <si>
    <t>14.3.13.2.The Enhanced Child Restraint System cover should not be replaced with any other than the one recommended by the manufacturer, because the cover constitutes an integral part of the restraint performance.</t>
  </si>
  <si>
    <t>See GB27887 Part 9.3.14</t>
  </si>
  <si>
    <t xml:space="preserve">9.3.14  There shall be a text or a diagram indicating how a user can identify an unsatisfactory position of the adult safety-belt buckle relative to the main load bearing contact points on the restraint. The user shall be advised to contact the child restraint manufacturer if in doubt about this point. </t>
  </si>
  <si>
    <t>See GB27887 Part 9.3.15</t>
  </si>
  <si>
    <t xml:space="preserve">9.3.15  If the child restraint offers an alternative load bearing contact point, its use shall be described clearly. The user shall be informed about how to judge if use of this alternative route is satisfactory. The user shall be advised to contact the child restraint manufacturer if in doubt about this point. The user shall be clearly advised to begin the child restraint installation, in vehicle seating positions categorized as "Universal" in the vehicle owner's manual, by using the primary belt route. </t>
  </si>
  <si>
    <t>See GB27887 Part 9.3.16</t>
  </si>
  <si>
    <t xml:space="preserve">9.3.16  There shall be provisions made so that the instructions can be retained on the child restraint for its life period or in the vehicle handbook in the case of built-in restraints. </t>
  </si>
  <si>
    <t>See ECE R129 Part 14.3.14</t>
  </si>
  <si>
    <t>14.3.14.There shall be provisions made so that the instructions can be retained on the child restraint for its life period or in the vehicle handbook in the case of built-in restraints.</t>
  </si>
  <si>
    <t>See GB27887 Part 9.3.17</t>
  </si>
  <si>
    <t xml:space="preserve">9.3.17  There shall be explicit warning not to use any load bearing contact points other than those described in the instructions and marked in the child restraint. </t>
  </si>
  <si>
    <t>See GB27887 Part 9.3.18</t>
  </si>
  <si>
    <t xml:space="preserve">9.3.18 For an ISOFIX child restraint system, the instruction for use must be given to read the car manufacturer's handbook. </t>
  </si>
  <si>
    <t>See ECE R129 Part 14.3.15</t>
  </si>
  <si>
    <t>14.3.15.For an "I-Size Enhanced Child Restraint System", the user shall also be referred to the vehicle manufacturer's handbook.</t>
  </si>
  <si>
    <t xml:space="preserve">S5.6 Printed Instructions for Proper Use. Any labels or written instructions provided in addition to those required by this section shall not obscure or confuse the meaning of the required information or be otherwise misleading to the consumer. Any labels or written instructions other than in the English language shall be an accurate translation of English labels or written instructions. Unless written in all capitals, the information required by S5.6.1 through S5.6.3 shall be stated in sentence capitalization. </t>
    <phoneticPr fontId="16" type="noConversion"/>
  </si>
  <si>
    <t xml:space="preserve">S5.6.1 Add-on child restraint systems. Each add-on child restraint system shall be accompanied by printed installation instructions in English that provide a step-by-step procedure, including diagrams, for installing the system in motor vehicles, securing the system in the vehicles, positioning a child in the system, and adjusting the system to fit the child. For each child restraint system that has components for attaching to a tether anchorage or a child restraint anchorage system, the installation instructions shall include a step-by-step procedure, including diagrams, for properly attaching to that anchorage or system. </t>
  </si>
  <si>
    <t xml:space="preserve">S5.6.1.1 In a vehicle with rear designated seating positions, the instructions shall alert vehicle owners that, according to accident statistics, children are safer when properly restrained in the rear seating positions than in the front seating positions. </t>
  </si>
  <si>
    <t xml:space="preserve">S5.6.1.2 The instructions shall specify in general terms the types of vehicles, the types of seating positions, and the types of vehicle safety belts with which the add-on child restraint system can or cannot be used. </t>
  </si>
  <si>
    <t xml:space="preserve">S5.6.1.3 The instructions shall explain the primary consequences of not following the warnings required to be labeled on the child restraint system in accordance with S5.5.2 (g) through (k). </t>
  </si>
  <si>
    <t xml:space="preserve">S5.6.1.4 The instructions for each car bed shall explain that the car bed should position in such a way that the child’s head is near the center of the vehicle. </t>
  </si>
  <si>
    <t>X</t>
    <phoneticPr fontId="16" type="noConversion"/>
  </si>
  <si>
    <t xml:space="preserve">S5.6.1.5 The instructions shall state that add-on child restraint systems should be securely belted to the vehicle, even when they are not occupied, since in a crash an unsecured child restraint system may injure other occupants. </t>
  </si>
  <si>
    <t xml:space="preserve">S5.6.1.6 Each add-on child restraint system shall have a location on the restraint for storing the manufacturer’s instructions. </t>
  </si>
  <si>
    <t xml:space="preserve">S5.6.1.7 One of the following statements, inserting an address and a U.S. telephone number. If a manufacturer opts to provide a Web site on the registration card as permitted in Figure 9a of this section, the manufacturer must include the statement in part (ii): </t>
    <phoneticPr fontId="16" type="noConversion"/>
  </si>
  <si>
    <t xml:space="preserve">S5.6.1.7(i)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a U.S. telephone number). For recall information, call the U.S. Government’s Vehicle Safety Hotline at 1–888–327–4236 (TTY: 1–800–424–9153), or go to http:// www.NHTSA.gov.’’ </t>
    <phoneticPr fontId="16" type="noConversion"/>
  </si>
  <si>
    <t xml:space="preserve">S5.6.1.7(ii)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telephone number) or register online at (insert Web site for electronic registration form). For recall information, call the U.S. Government’s Vehicle Safety Hotline at 1–888–327–4236 (TTY: 1–800–424–9153), or go to http:// www.NHTSA.gov.’’ </t>
    <phoneticPr fontId="16" type="noConversion"/>
  </si>
  <si>
    <t xml:space="preserve">S5.6.1.8 In the case of each child restraint system that can be used in a position so that it is facing the rear of the vehicle, the instructions shall provide a warning against using rear-facing restraints at seating positions equipped with air bags, and shall explain the reasons for, and consequences of not following the warning. The instructions shall also include a statement that owners of vehicles with front passenger side air bags should refer to their vehicle owner’s manual for child restraint installation instructions. </t>
  </si>
  <si>
    <t xml:space="preserve">S5.6.1.9 In the case of each rear-facing child restraint system that has a means for repositioning the seating surface of the system that allows the system’s occupant to move from a reclined position to an upright position during testing, the instructions shall include a warning against impeding the ability of the restraint to change adjustment position. </t>
  </si>
  <si>
    <t xml:space="preserve">S5.6.1.10 (a) For instructions for a booster seat that is recommended for use with either a vehicle’s Type I or Type II seat belt assembly, one of the following statements, as appropriate, and the reasons for the statement: </t>
    <phoneticPr fontId="16" type="noConversion"/>
  </si>
  <si>
    <t xml:space="preserve">S5.6.1.10 (a) (1) Warning! Use only the vehicle’s lap and shoulder belt system when restraining the child in this booster seat; or, </t>
    <phoneticPr fontId="16" type="noConversion"/>
  </si>
  <si>
    <t xml:space="preserve">S5.6.1.10 (a) (2) Warning! Use only the vehicle’s lap belt system, or the lap belt part of a lap/shoulder belt system with the shoulder belt placed behind the child, when restraining the child in this seat. </t>
    <phoneticPr fontId="16" type="noConversion"/>
  </si>
  <si>
    <t xml:space="preserve">S5.6.1.10(b) (1) Except as provided in S5.6.1.10(b)(2), the instructions for a booster seat that is recommended for use with both a vehicle’s Type I and Type II seat belt assemblies shall include the following statement and the reasons therefor: Warning! Use only the vehicle’s lap belt system, or the lap belt part of a lap/shoulder belt system with the shoulder belt placed behind the child, when restraining the child with the (insert description of the system element provided to restrain forward movement of the child’s torso when used with a lap belt (e.g., shield)), and only the vehicle’s lap and shoulder belt system when using this booster without the (insert above description). </t>
    <phoneticPr fontId="16" type="noConversion"/>
  </si>
  <si>
    <t xml:space="preserve">S5.6.1.10(b)(2) A booster seat which is recommended for use with both a vehicle’s Type I and Type II seat belt assemblies is not subject to S5.6.1.10(b)(1) if, when the booster is used with the shield or similar component, the booster will cause the shoulder belt to be located in a position other than in front of the child when the booster is installed. However, the instructions for such a booster shall include a warning to use the booster with the vehicle’s lap and shoulder belt system when using the booster without a shield.  </t>
    <phoneticPr fontId="16" type="noConversion"/>
  </si>
  <si>
    <t xml:space="preserve">S5.6.1.10(c) The instructions for belt-positioning seats shall include the statement, ‘‘This restraint is not certified for aircraft use,’’ and the reasons for this statement. </t>
    <phoneticPr fontId="16" type="noConversion"/>
  </si>
  <si>
    <t xml:space="preserve">S5.6.1.11 For harnesses that are manufactured for use on school bus seats, the instructions must include the following statements: ‘‘WARNING! This restraint must only be used on school bus seats. Entire seat directly behind must be unoccupied or have restrained occupants.’’ The labeling requirement refers to a restrained occupant as: an occupant restrained by any user appropriate vehicle restraint or child restraint system (e.g. lap belt, lap and shoulder belt, booster, child seat, harness . . .). </t>
    <phoneticPr fontId="16" type="noConversion"/>
  </si>
  <si>
    <t xml:space="preserve">S5.6.1.12  (a) Child restraint systems manufactured from February 27, 2014 to February 26, 2015. </t>
    <phoneticPr fontId="16" type="noConversion"/>
  </si>
  <si>
    <t xml:space="preserve">The instructions for child restraint systems equipped with an internal harness to restrain the child and with components to attach to a child restraint anchorage system, and for which the combined weight of the child restraint system and the maximum recommended child weight for use with the internal harness exceeds 65 pounds, must include the following statement: ‘‘Do not use the lower anchors of the child restraint anchorage system (LATCH system) to attach this child restraint when restraining a child weighing more than ‘‘*’’ [*insert a recommended weight value in English and metric units such that the sum of the recommended weight value and the weight of the child restraint system does not exceed 29.5 kg(65 lb)] with the internal harness of the child restraint.’’ </t>
    <phoneticPr fontId="16" type="noConversion"/>
  </si>
  <si>
    <t xml:space="preserve">S5.6.1.12 (b) Child restraint systems manufactured on or after February 27, 2015. If the child restraint is designed to meet the requirements of this standard when installed by the child restraint anchorage system according to S5.3.2, the installation diagram showing the child restraint system installed using a child restraint anchorage system must meet the specifications in S5.5.2(l)(3). </t>
    <phoneticPr fontId="16" type="noConversion"/>
  </si>
  <si>
    <t>S5.6.2 Built-in child restraint systems.</t>
    <phoneticPr fontId="16" type="noConversion"/>
  </si>
  <si>
    <t xml:space="preserve"> S5.6.2 (a) Each built-in child restraint system shall be accompanied by printed instructions in English that provide a step-by-step procedure, including diagrams, for activating the restraint system, positioning a child in the system, adjusting the restraint and, if provided, the restraint harness to fit the child. The instructions for each built-in car bed shall explain that the child should be positioned in the bed in such a way that the child’s head is near the center of the vehicle. </t>
    <phoneticPr fontId="16" type="noConversion"/>
  </si>
  <si>
    <t xml:space="preserve">S5.6.2 (b) Each motor vehicle equipped with a factory-installed built-in child restraint shall have the information specified in paragraph (a) of this section included in its vehicle owner’s manual. </t>
    <phoneticPr fontId="16" type="noConversion"/>
  </si>
  <si>
    <t xml:space="preserve">S5.6.2.1 The instructions shall explain the primary consequences of not following the manufacturer’s warnings for proper use of the child restraint system in accordance with S5.5.5 (f) through (i). </t>
  </si>
  <si>
    <t xml:space="preserve">S5.6.2.2 The instructions for each built-in child restraint system other than a factory-installed restraint, shall include one of the following statements, inserting an address and a U.S. telephone number. If a manufacturer opts to provide a Web site on the registration card as permitted in Figure 9a of this section, the manufacturer must include the statement in part (ii): </t>
    <phoneticPr fontId="16" type="noConversion"/>
  </si>
  <si>
    <t xml:space="preserve">S5.6.2.2 (i)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a U.S. telephone number). For recall information, call the U.S. Government’s Vehicle Safety Hotline at 1–888–327–4236 (TTY: 1–800–424–9153), or go to http:// www.NHTSA.gov.’’ </t>
    <phoneticPr fontId="16" type="noConversion"/>
  </si>
  <si>
    <t>S5.6.2.2 (ii) ‘‘Child restraints could be recalled for safety reasons. You must register this restraint to be reached in a recall. Send your name, address, email address if available (preceding four words are optional), and the restraint’s model number and manufacturing date to (insert address) or call (insert U.S. telephone number) or register online at (insert Web site for electronic registration form). For recall information, call the U.S. Government’s Vehicle Safety Hotline at 1–888–327–4236 (TTY: 1–800–424–9153), or go to http:// www.NHTSA.gov.’’</t>
    <phoneticPr fontId="16" type="noConversion"/>
  </si>
  <si>
    <t xml:space="preserve">S5.6.2.3. Each built-in child restraint system other than a factory-installed built-in restraint, shall have a location on the restraint for storing the instructions. </t>
  </si>
  <si>
    <t xml:space="preserve">S5.6.2.4 Each built-in child restraint system, other than a system that has been installed in a vehicle or a factory-installed built-in system that is designed for a specific vehicle model and seating position, shall be accompanied by instructions in English that provide a step-by-step procedure for installing the system in a motor vehicle. The instructions shall specify the types of vehicles and the seating positions into which the restraint can or cannot be installed. The instructions for each car bed shall explain that the bed should be installed so that the child’s head will be near the center of the vehicle. </t>
  </si>
  <si>
    <t xml:space="preserve">S5.6.2.5 In the case of a built-in beltpositioning seat that uses either the vehicle’s Type I or Type II belt systems or both, the instructions shall include a statement describing the manufacturer’s recommendations for the maximum height and weight of children who can safely occupy the system and how the booster must be used with the vehicle belt systems appropriate for the booster seat. The instructions shall explain the consequences of not following the directions. The instructions shall specify that, if the booster seat is recommended for use with only the lapbelt part of a Type II assembly, the shoulder belt portion of the assembly must be placed behind the child. </t>
  </si>
  <si>
    <t xml:space="preserve">S5.6.3 Add-on and built-in child restraint systems. In the case of each child restraint system that has belts designed to restrain children using them and which do not adjust automatically to fit the child, the printed instructions shall include the following statement: A snug strap should not allow any slack. It lies in a relatively straight line without sagging. It does not press on the child’s flesh or push the child’s body into an unnatural position. </t>
  </si>
  <si>
    <t>S5.8 Information requirements—attached registration form and electronic registration form.</t>
  </si>
  <si>
    <t>S5.8.1 Attached registration form</t>
  </si>
  <si>
    <t>S5.8.1(a) Each child restraint system, except a factory-installed built-in restraint system, shall have a registration form attached to any surface of the restraint that contacts the dummy when the dummy is positioned in the system in accordance with S6.1.2 of Standard 213.</t>
  </si>
  <si>
    <t>S5.8.1(b) Each attached form shall:</t>
  </si>
  <si>
    <t>S5.8.1(b)(1) Consist of a postcard that is attached at a perforation to an informational card;</t>
  </si>
  <si>
    <t>S5.8.1(b)(2) Conform in size, content and format to Figure 24; and</t>
  </si>
  <si>
    <t>S5.8.1(b)(3) Have a thickness of at least 0.18mm(0.007 in) and not more than 0.24mm(0.0095 in).</t>
    <phoneticPr fontId="16" type="noConversion"/>
  </si>
  <si>
    <t>S5.8.1(c) Each postcard shall provide the model name or number and date of manufacture (month, year) of the child restraint system to which the form is attached, shall contain space for the purchaser to record his or her name, mailing address, and at the manufacturer's option, e-mail address, shall be addressed to the manufacturer, and shall be postage paid. No other information shall appear on the postcard, except identifying information that distinguishes a particular child restraint system from other systems of that model name or number may be preprinted in the shaded area of the postcard, as shown in 24.</t>
  </si>
  <si>
    <t>S5.8.1(d) Manufacturers may voluntarily provide a web address on the informational card enabling owners to register child restraints online, provided that the Web address is a direct link to the electronic registration form meeting the requirements of S5.8.2 of this section.</t>
  </si>
  <si>
    <t>S5.8.2 Electronic registration form</t>
  </si>
  <si>
    <t>S5.8.2(a) Each electronic registration form must meet the requirements of this S5.8.2. Each form shall:</t>
  </si>
  <si>
    <t>S5.8.2(a)(1) Contain the following statements at the top of the form:</t>
  </si>
  <si>
    <t>S5.8.2(a)(1)(i) “FOR YOUR CHILD'S CONTINUED SAFETY” (Displayed in bold type face, caps, and minimum 12 point type.)</t>
  </si>
  <si>
    <t>S5.8.2(a)(1)(ii) “Although child restraint systems undergo testing and evaluation, it is possible that a child restraint could be recalled.” (Displayed in bold typeface, caps and lower case, and minimum 12 point type.)</t>
  </si>
  <si>
    <t>S5.8.2(a)(1)(iii) “In case of a recall, we can reach you only if we have your name and address, so please fill in the registration form to be on our recall list.” (Displayed in bold typeface, caps and lower case, and minimum 12 point type.)</t>
  </si>
  <si>
    <t>S5.8.2(a)(1)(iv) “In order to properly register your child restraint system, you will need to provide the model number, serial number and date of manufacture. This information is printed on the registration card and can also be found on a white label located on the back of the child restraint system.” (Displayed in bold typeface, caps and lower case, and minimum 12 point type.)</t>
  </si>
  <si>
    <t>S5.8.2(a)(2) Provide as required registration fields, space for the purchaser to record the model name or number and date of manufacture (month, year) of the child restraint system, and space for the purchaser to record his or her name and mailing address. At the manufacturer's option, a space is provided for the purchaser to record his or her e-mail address</t>
  </si>
  <si>
    <t>Aircraft</t>
  </si>
  <si>
    <t>Aircraft Inversion Test</t>
  </si>
  <si>
    <t>S8 Requirements, test conditions, and procedures for child restraint systems manufactured for use in aircraft. Each child restraint system manufactured for use in both motor vehicles and aircraft must comply with all of the applicable requirements specified in Section S5 and with the additional requirements specified in S8.1 and S8.2.</t>
    <phoneticPr fontId="17" type="noConversion"/>
  </si>
  <si>
    <t>S8.1 Installation instructions. Each child restraint system manufactured for use in aircraft shall be accompanied by printed instructions in English that provide a step-by-step procedure, including diagrams, for installing the system in aircraft passenger seats, securing a child in the system when it is installed in aircraft, and adjusting the system to fit the child.</t>
    <phoneticPr fontId="17" type="noConversion"/>
  </si>
  <si>
    <t xml:space="preserve">S8.2 Inversion test. When tested in accordance with S8.2.1 through S8.2.5, each child restraint system manufactured for use in aircraft shall meet the requirements of S8.2.1 through S8.2.6. The manufacturer may, at its option, use any seat which is a representative aircraft passenger seat within the meaning of S4. Each system shall meet the requirements at each of the restraint’s seat back angle adjustment positions and restraint belt routing positions, when the restraint is oriented in the direction recommended by the manufacturer (e.g., facing forward, rearward or laterally) pursuant to S8.1, and tested with the test dummy specified in S7. If the manufacturer recommendations do not include instructions for orienting the restraint in aircraft when the restraint seat back angle is adjusted to any position, position the restraint on the aircraft seat by following the instructions (provided in accordance with S5.6) for orienting the restraint in motor vehicles. </t>
    <phoneticPr fontId="17" type="noConversion"/>
  </si>
  <si>
    <t>S8.2.1 A standard seat assembly consisting of a representative aircraft passenger seat shall be positioned and adjusted so that its horizontal and vertical orientation and its seat back angle are the same as shown in Figure 6.</t>
    <phoneticPr fontId="17" type="noConversion"/>
  </si>
  <si>
    <t>S8.2.2 The child restraint system shall be attached to the representative aircraft passenger seat using, at the manufacturer’s option, any Federal Aviation Administration approved aircraft safety belt, according to the restraint manufacturer’s instructions for attaching the restraint to an aircraft seat. No supplementary anchorage belts or tether straps may be attached; however, Federal Aviation Administration approved safety belt extensions may be used.</t>
    <phoneticPr fontId="17" type="noConversion"/>
  </si>
  <si>
    <t xml:space="preserve">S8.2.3 In accordance with S10, place in the child restraint any dummy specified in S7 for testing systems for use by children of the heights and weights for which the system is recommended in accordance with S5.5 and S8.1. </t>
    <phoneticPr fontId="17" type="noConversion"/>
  </si>
  <si>
    <t>S8.2.4 If provided, shoulder and pelvic belts that directly restrain the dummy shall be adjusted in accordance with S6.1.2.</t>
    <phoneticPr fontId="17" type="noConversion"/>
  </si>
  <si>
    <t>S8.2.5 The combination of representative aircraft passenger seat, child restraint, and test dummy shall be rotated forward around a horizontal axis which is contained in the median transverse vertical plane of the seating surface portion of the aircraft seat and is located 25 mm(1 in) below the bottom of the seat frame, at a speed of 35 to 45 degrees per second, to an angle of 180 degrees. The rotation shall be stopped when it reaches that angle and the seat shall be held in this position for three seconds. The child restraint shall not fall out of the aircraft safety belt nor shall the test dummy fall out of the child restraint at any time during the rotation or the three second period. The specified rate of rotation shall be attained in not less than one half second  and not more than one second, and the rotating combination shall be brought to a stop in not less than one half second and not more than one second.</t>
    <phoneticPr fontId="17" type="noConversion"/>
  </si>
  <si>
    <t>S8.2.6 Repeat the procedures set forth in S8.2.1 through S8.2.4. The combination of the representative aircraft passenger seat, child restraint, and test dummy shall be rotated sideways around a horizontal axis which is contained in the median longitudinal vertical plane of the seating surface portion of the aircraft seat and is located 25 mm(1 in) below the bottom of the seat frame, at a speed of 35 to 45 degrees per second, to an angle of 180 degrees. The rotation shall be stopped when it reaches that angle and the seat shall be held in this position for three seconds. The child restraint shall not fall out of the aircraft safety belt nor shall the test dummy fall out of the child restraint at any time during the rotation or the three second period. The specified rate of rotation shall be attained in not less than one half second and not more than one second, and the rotating combination shall be brought to a stop in not less than one half second and not more than one second.</t>
    <phoneticPr fontId="17" type="noConversion"/>
  </si>
  <si>
    <t xml:space="preserve">Carrying handle </t>
    <phoneticPr fontId="17" type="noConversion"/>
  </si>
  <si>
    <t>100.1 - Button effort to unlock the handle</t>
    <phoneticPr fontId="17" type="noConversion"/>
  </si>
  <si>
    <t>TMC</t>
    <phoneticPr fontId="17" type="noConversion"/>
  </si>
  <si>
    <t>Before Dynamic and after Testing : Force between 25 and 50 N</t>
  </si>
  <si>
    <t>X</t>
    <phoneticPr fontId="16" type="noConversion"/>
  </si>
  <si>
    <t>X</t>
    <phoneticPr fontId="17" type="noConversion"/>
  </si>
  <si>
    <t>100.2 - Endurance Handle</t>
    <phoneticPr fontId="17" type="noConversion"/>
  </si>
  <si>
    <t>Before Dynamic and after Testing : The handle must work,the handle should not be unclip (Check area surrounded)</t>
    <phoneticPr fontId="17" type="noConversion"/>
  </si>
  <si>
    <t>100.3- Locking resistance of handle positions</t>
    <phoneticPr fontId="17" type="noConversion"/>
  </si>
  <si>
    <t>Before and after Dynamic Testing : No breakage / the product shall still fulfill its original functions</t>
    <phoneticPr fontId="17" type="noConversion"/>
  </si>
  <si>
    <t>100.4 Force to move up/down and lock on the Handle</t>
    <phoneticPr fontId="17" type="noConversion"/>
  </si>
  <si>
    <t>Before and after dynamic Testing : The force to move and lock the handle shall be less or equal to 20 N.</t>
    <phoneticPr fontId="17" type="noConversion"/>
  </si>
  <si>
    <t>100.5 - Pushing and Pulling handle testing</t>
    <phoneticPr fontId="17" type="noConversion"/>
  </si>
  <si>
    <t>After Dynamic Testing : No breakage / the product shall still fulfill its original functions.</t>
    <phoneticPr fontId="17" type="noConversion"/>
  </si>
  <si>
    <t>X</t>
    <phoneticPr fontId="16" type="noConversion"/>
  </si>
  <si>
    <t>100.6 – Hang test</t>
    <phoneticPr fontId="17" type="noConversion"/>
  </si>
  <si>
    <t>Before and after Dynamic Testing : No breakage / the product shall still fulfill its original functions and shall not show permanent damage that will impair the safety of the seat.</t>
    <phoneticPr fontId="17" type="noConversion"/>
  </si>
  <si>
    <t>100.7 – Bouncing test</t>
    <phoneticPr fontId="17" type="noConversion"/>
  </si>
  <si>
    <t>Before and after Dynamic Testing :No breakage / the product shall still fulfill its original functions and shall not show permanent damage that will impair the safety of the seat</t>
    <phoneticPr fontId="17" type="noConversion"/>
  </si>
  <si>
    <t>CRS in the base</t>
    <phoneticPr fontId="17" type="noConversion"/>
  </si>
  <si>
    <t>101.1 – Locking effort on the base</t>
    <phoneticPr fontId="17" type="noConversion"/>
  </si>
  <si>
    <t>Before and After Dynamic Testing : The car seat shall lock with no additional effort under 10 sec.</t>
    <phoneticPr fontId="17" type="noConversion"/>
  </si>
  <si>
    <t>101.2 – Effort to unlock the seat from the base.</t>
    <phoneticPr fontId="17" type="noConversion"/>
  </si>
  <si>
    <t>Before and After Dynamic Testing : Force between 25 and 70 N</t>
    <phoneticPr fontId="17" type="noConversion"/>
  </si>
  <si>
    <t>101.3 – Car seat unit removal force from the base</t>
    <phoneticPr fontId="17" type="noConversion"/>
  </si>
  <si>
    <t>Before and After Dynamic Testing : The removal force value must be less or equal than 30N.</t>
    <phoneticPr fontId="17" type="noConversion"/>
  </si>
  <si>
    <t>101.4 – Car seat locking resistance from the base</t>
    <phoneticPr fontId="17" type="noConversion"/>
  </si>
  <si>
    <t>Before and After Dynamic Testing :The removal force must be &gt; 250 N</t>
    <phoneticPr fontId="17" type="noConversion"/>
  </si>
  <si>
    <t>101.5 – Endurance on the base</t>
    <phoneticPr fontId="17" type="noConversion"/>
  </si>
  <si>
    <t>The product shall not disassemble, break or partially disassemble. The product shall still fulfill its original functions.</t>
    <phoneticPr fontId="17" type="noConversion"/>
  </si>
  <si>
    <t>101.6 – Internal vibration endurance testing</t>
    <phoneticPr fontId="17" type="noConversion"/>
  </si>
  <si>
    <t>After Dynamic Testing : The product shall not disassemble, break or partially disassemble. The product shall still fulfill its original functions.</t>
    <phoneticPr fontId="17" type="noConversion"/>
  </si>
  <si>
    <t xml:space="preserve">Temperature Test </t>
    <phoneticPr fontId="17" type="noConversion"/>
  </si>
  <si>
    <t>102.1 - Ageing Temperature Test Vehicle Type</t>
    <phoneticPr fontId="17" type="noConversion"/>
  </si>
  <si>
    <t>102.2 - Temperature Test Long Time</t>
    <phoneticPr fontId="17" type="noConversion"/>
  </si>
  <si>
    <t>Recline adjustment</t>
    <phoneticPr fontId="17" type="noConversion"/>
  </si>
  <si>
    <t>103.1 - Recline unlock Force</t>
    <phoneticPr fontId="17" type="noConversion"/>
  </si>
  <si>
    <t>Before and After Dynamic Testing : The force to operate the system shall be between 25N and 70N for hand operated type. For finger operated type Between 25N and 50N.</t>
    <phoneticPr fontId="17" type="noConversion"/>
  </si>
  <si>
    <t>103.2 - Recline Force: sitting to sleeping position</t>
    <phoneticPr fontId="17" type="noConversion"/>
  </si>
  <si>
    <t>Before and After Dynamic Testing : The force to operate the system shall be between 25N and 70N for hand operated type.</t>
    <phoneticPr fontId="17" type="noConversion"/>
  </si>
  <si>
    <t>103.4 - Recline resistance in sleeping position</t>
    <phoneticPr fontId="17" type="noConversion"/>
  </si>
  <si>
    <t>Before and After Dynamic Testing :The recline locking mechanism shall not break and remain in position without (partly) unlocking the carseat.</t>
    <phoneticPr fontId="17" type="noConversion"/>
  </si>
  <si>
    <t>103.5 - Recline resistance in sitting position</t>
    <phoneticPr fontId="17" type="noConversion"/>
  </si>
  <si>
    <t>103.6 - Recline Endurance test</t>
    <phoneticPr fontId="17" type="noConversion"/>
  </si>
  <si>
    <t>headrest adjustment</t>
    <phoneticPr fontId="17" type="noConversion"/>
  </si>
  <si>
    <t>104.1 - Force to unlock the headrest</t>
    <phoneticPr fontId="17" type="noConversion"/>
  </si>
  <si>
    <t>Before and After Dynamic Testing : The force to unlock the locking mechanism shall be between 35-55N</t>
    <phoneticPr fontId="17" type="noConversion"/>
  </si>
  <si>
    <t>Before and After Dynamic Testing : The force to adjust the back rest shall be between 35-55N</t>
    <phoneticPr fontId="17" type="noConversion"/>
  </si>
  <si>
    <t>104.4 - Headrest Adjustment Endurance</t>
    <phoneticPr fontId="17" type="noConversion"/>
  </si>
  <si>
    <t>104.5 - Headrest resistance to transportation.</t>
    <phoneticPr fontId="17" type="noConversion"/>
  </si>
  <si>
    <t>Before and After Dynamic Testing : The product shall not disassemble, break or partially disassemble. The product shall still fulfill its original functions.</t>
    <phoneticPr fontId="17" type="noConversion"/>
  </si>
  <si>
    <t>104.7 - Headrest loading test</t>
    <phoneticPr fontId="17" type="noConversion"/>
  </si>
  <si>
    <t>The product shall not disassemble, break or partially disassemble until a load of 200 N is reached. The product shall still fulfill its original functions</t>
    <phoneticPr fontId="17" type="noConversion"/>
  </si>
  <si>
    <t>104.8 - Headrest BSR</t>
    <phoneticPr fontId="17" type="noConversion"/>
  </si>
  <si>
    <t>Before and After Dynamic Testing : No BSR</t>
    <phoneticPr fontId="17" type="noConversion"/>
  </si>
  <si>
    <t>104.9 - Headrest strength test</t>
    <phoneticPr fontId="17" type="noConversion"/>
  </si>
  <si>
    <t>Before and After Dynamic Testing : The headrest shall not break and shall still operate correctly</t>
    <phoneticPr fontId="17" type="noConversion"/>
  </si>
  <si>
    <t>headrest and buckle</t>
    <phoneticPr fontId="17" type="noConversion"/>
  </si>
  <si>
    <t>105.1 - Harness Buckle insert force</t>
    <phoneticPr fontId="17" type="noConversion"/>
  </si>
  <si>
    <t>Before and After Dynamic Testing: The force to lock the buckle shall be: 10 N &lt; F &lt; 60 N</t>
    <phoneticPr fontId="17" type="noConversion"/>
  </si>
  <si>
    <t>105.2 – Endurance on the adjuster webbing</t>
    <phoneticPr fontId="17" type="noConversion"/>
  </si>
  <si>
    <t>The product shall not be disassembled, break or partially disassembled. The product shall still fulfill its original functions.</t>
    <phoneticPr fontId="17" type="noConversion"/>
  </si>
  <si>
    <t>105.3 - Buckle Endurance test</t>
    <phoneticPr fontId="17" type="noConversion"/>
  </si>
  <si>
    <t>105.4 - Buckle load strength</t>
    <phoneticPr fontId="17" type="noConversion"/>
  </si>
  <si>
    <t>Before and After Dynamic Testing: The buckle shall not unclip, The product shall still fulfill its original functions.</t>
    <phoneticPr fontId="17" type="noConversion"/>
  </si>
  <si>
    <t>105.5 - Click noise for the locking</t>
    <phoneticPr fontId="17" type="noConversion"/>
  </si>
  <si>
    <t>Before and After Dynamic Testing: Peak noise measure must be between : 60 dB &lt; noise &lt; 80 Db</t>
    <phoneticPr fontId="17" type="noConversion"/>
  </si>
  <si>
    <t>X</t>
    <phoneticPr fontId="16" type="noConversion"/>
  </si>
  <si>
    <t>105.6 - Hook play when locked</t>
    <phoneticPr fontId="17" type="noConversion"/>
  </si>
  <si>
    <t>Before and After Dynamic Testing: The 2 mm round gauge shall not enter into the space between the parts</t>
    <phoneticPr fontId="17" type="noConversion"/>
  </si>
  <si>
    <t>105.7 - Button stroke before unlock</t>
    <phoneticPr fontId="17" type="noConversion"/>
  </si>
  <si>
    <t>The stroke measure to unclip the buckle shall be higher than the half of the total stroke</t>
    <phoneticPr fontId="17" type="noConversion"/>
  </si>
  <si>
    <t>105.8 - Buckles safe locking</t>
    <phoneticPr fontId="17" type="noConversion"/>
  </si>
  <si>
    <t>The buckle shall have no hook position that allows unclipping without pushing on the button.</t>
    <phoneticPr fontId="17" type="noConversion"/>
  </si>
  <si>
    <t>105.9 – Buckle drop test</t>
    <phoneticPr fontId="17" type="noConversion"/>
  </si>
  <si>
    <t>Before and after Dynamic Testing : The product shall not be disassembled, break or partially disassembled. The product shall still fulfill its original functions.</t>
    <phoneticPr fontId="17" type="noConversion"/>
  </si>
  <si>
    <t>105.10 – Pendulum Impact</t>
    <phoneticPr fontId="17" type="noConversion"/>
  </si>
  <si>
    <t>After Dynamic Testing : to be defined</t>
    <phoneticPr fontId="17" type="noConversion"/>
  </si>
  <si>
    <t>105.11 – Gardner impact</t>
    <phoneticPr fontId="17" type="noConversion"/>
  </si>
  <si>
    <t>After Dynamic Testing : The product shall not be disassembled, break or partially disassembled. The product shall still fulfill its original functions.</t>
    <phoneticPr fontId="17" type="noConversion"/>
  </si>
  <si>
    <t>105.12 – Buckle contamination</t>
    <phoneticPr fontId="17" type="noConversion"/>
  </si>
  <si>
    <t>The product shall still fulfill its original functions.</t>
    <phoneticPr fontId="17" type="noConversion"/>
  </si>
  <si>
    <t>105.13 – Webbing release pull force retractors</t>
    <phoneticPr fontId="17" type="noConversion"/>
  </si>
  <si>
    <t>105.14 – Force to tighten the harness</t>
    <phoneticPr fontId="17" type="noConversion"/>
  </si>
  <si>
    <t>105.15 – Force to unlock harness height adjuster</t>
    <phoneticPr fontId="17" type="noConversion"/>
  </si>
  <si>
    <t>Before and after Dynamic Testing : 25 N &lt; F &lt; 70 N</t>
    <phoneticPr fontId="17" type="noConversion"/>
  </si>
  <si>
    <t>105.16 – Force to adjust harness height</t>
    <phoneticPr fontId="17" type="noConversion"/>
  </si>
  <si>
    <t>Before and after Dynamic Testing : 25 N &lt; F &lt; 50 N</t>
    <phoneticPr fontId="17" type="noConversion"/>
  </si>
  <si>
    <t>105.17 – Endurance on harness height adjuster</t>
    <phoneticPr fontId="17" type="noConversion"/>
  </si>
  <si>
    <t>The product shall not be disassembled, break or partially disassembled. The product shall still fulfill its original functions</t>
    <phoneticPr fontId="17" type="noConversion"/>
  </si>
  <si>
    <t>isofix release</t>
    <phoneticPr fontId="17" type="noConversion"/>
  </si>
  <si>
    <t>106.1 - Isofix Release Button Force Left and Right. First Lock</t>
    <phoneticPr fontId="17" type="noConversion"/>
  </si>
  <si>
    <t>Before and After Dynamic Testing: F &lt; 5 N</t>
    <phoneticPr fontId="17" type="noConversion"/>
  </si>
  <si>
    <t>106.2 - Isofix Release Button Force Left and Right. Second Lock.</t>
    <phoneticPr fontId="17" type="noConversion"/>
  </si>
  <si>
    <t>Before and After Dynamic Testing : 10 N &lt; F &lt; 30 N</t>
    <phoneticPr fontId="17" type="noConversion"/>
  </si>
  <si>
    <t>106.3 - Force to slide the connector</t>
    <phoneticPr fontId="17" type="noConversion"/>
  </si>
  <si>
    <t>Before and After Dynamic Testing : F &lt; 35 N</t>
    <phoneticPr fontId="17" type="noConversion"/>
  </si>
  <si>
    <t>106.4 - Force to hold the connector in outside position</t>
    <phoneticPr fontId="17" type="noConversion"/>
  </si>
  <si>
    <t>Before and After Dynamic Testing : No movement allowed of the Isofix connector</t>
    <phoneticPr fontId="17" type="noConversion"/>
  </si>
  <si>
    <t>106.5 - Force to lock the Isofix connector</t>
    <phoneticPr fontId="17" type="noConversion"/>
  </si>
  <si>
    <t>Before and After Dynamic Testing : 15 N &lt; F &lt; 35 N</t>
    <phoneticPr fontId="17" type="noConversion"/>
  </si>
  <si>
    <t>106.6 - Force to hold the anchorage in locking position on the bench</t>
    <phoneticPr fontId="17" type="noConversion"/>
  </si>
  <si>
    <t>Before and After Dynamic Testing :The product shall not be disassembled, break or partially disassembled and there shall be no movement. The product shall still fulfill its original functions.</t>
    <phoneticPr fontId="17" type="noConversion"/>
  </si>
  <si>
    <t>106.7 - Isofix Endurance test</t>
    <phoneticPr fontId="17" type="noConversion"/>
  </si>
  <si>
    <t>106.8 - Isofix strength test</t>
    <phoneticPr fontId="17" type="noConversion"/>
  </si>
  <si>
    <t>106.9 - Locking button strength test</t>
    <phoneticPr fontId="17" type="noConversion"/>
  </si>
  <si>
    <t>Before and After Dynamic Testing :The product shall not be disassembled, break or partially disassembled and there shall be no movement. The product shall still fulfill its original functions</t>
    <phoneticPr fontId="17" type="noConversion"/>
  </si>
  <si>
    <t>106.10 - Child lock strength test</t>
    <phoneticPr fontId="17" type="noConversion"/>
  </si>
  <si>
    <t>106.11 - Audio feedback when latching</t>
    <phoneticPr fontId="17" type="noConversion"/>
  </si>
  <si>
    <t>Before and After Dynamic Testing :The sound level from the latching point should greater than 65db peak.</t>
    <phoneticPr fontId="17" type="noConversion"/>
  </si>
  <si>
    <t>Rotation of the seat</t>
    <phoneticPr fontId="17" type="noConversion"/>
  </si>
  <si>
    <t>107.1 – Effort to move the direction selector</t>
    <phoneticPr fontId="17" type="noConversion"/>
  </si>
  <si>
    <t>Before and after Dynamic Testing : 5 N &lt; F &lt; 20 N</t>
    <phoneticPr fontId="17" type="noConversion"/>
  </si>
  <si>
    <t>107.2 – Effort to move the rotating handle</t>
    <phoneticPr fontId="17" type="noConversion"/>
  </si>
  <si>
    <t>Before and after Dynamic Testing : 20 N &lt; F &lt; 50 N</t>
    <phoneticPr fontId="17" type="noConversion"/>
  </si>
  <si>
    <t>107.3 – Effort to turn the seat</t>
    <phoneticPr fontId="17" type="noConversion"/>
  </si>
  <si>
    <t>Before and after Dynamic Testing : 30 N &lt; F &lt; 80 N</t>
    <phoneticPr fontId="17" type="noConversion"/>
  </si>
  <si>
    <t>107.4 – Endurance testing Forward facing</t>
    <phoneticPr fontId="17" type="noConversion"/>
  </si>
  <si>
    <t>107.5 – Endurance testing Rearward facing</t>
    <phoneticPr fontId="17" type="noConversion"/>
  </si>
  <si>
    <t>107.6 – Endurance testing direction selector</t>
    <phoneticPr fontId="17" type="noConversion"/>
  </si>
  <si>
    <t>After dynamic testing : The product shall not be disassembled, break or partially disassembled. The product shall still fulfill its original functions.</t>
    <phoneticPr fontId="17" type="noConversion"/>
  </si>
  <si>
    <t>Top Tether system</t>
    <phoneticPr fontId="17" type="noConversion"/>
  </si>
  <si>
    <t>108.1 – Endurance Top Tether</t>
    <phoneticPr fontId="17" type="noConversion"/>
  </si>
  <si>
    <t>Before and After Dynamic Testing : Not premature belt wear The product shall not be disassembled, break or partially disassembled. The product shall still fulfill its original functions.</t>
    <phoneticPr fontId="17" type="noConversion"/>
  </si>
  <si>
    <t>108.2 – Belt sliding force</t>
    <phoneticPr fontId="17" type="noConversion"/>
  </si>
  <si>
    <t>Before and After Dynamic Testing : the sliding force shall be between 5N – 20N</t>
    <phoneticPr fontId="17" type="noConversion"/>
  </si>
  <si>
    <t>108.3 – Force to unlock the Top Tether under stress</t>
    <phoneticPr fontId="17" type="noConversion"/>
  </si>
  <si>
    <t>Before and After Dynamic Testing : The force shall be between 50N – 80N</t>
    <phoneticPr fontId="17" type="noConversion"/>
  </si>
  <si>
    <t>Before and After Dynamic Testing : The force shall be between 30 N – 60N</t>
    <phoneticPr fontId="17" type="noConversion"/>
  </si>
  <si>
    <t>108.5 – Endurance to opening Leaf spring</t>
    <phoneticPr fontId="17" type="noConversion"/>
  </si>
  <si>
    <t>Not premature break, The component shall not be break or damage. The product shall still fulfill its original functions.</t>
    <phoneticPr fontId="17" type="noConversion"/>
  </si>
  <si>
    <t>108.6 – Effort to opening Leaf spring</t>
    <phoneticPr fontId="17" type="noConversion"/>
  </si>
  <si>
    <t>The hook must completely open.10 N &lt; F &lt; 20 N</t>
    <phoneticPr fontId="17" type="noConversion"/>
  </si>
  <si>
    <t>108.7 – Strength of the hook</t>
    <phoneticPr fontId="17" type="noConversion"/>
  </si>
  <si>
    <t>No breakage before 700daN</t>
    <phoneticPr fontId="17" type="noConversion"/>
  </si>
  <si>
    <t>108.8 – Control the hardness</t>
    <phoneticPr fontId="17" type="noConversion"/>
  </si>
  <si>
    <t>Hardness &gt; 40 HRC</t>
    <phoneticPr fontId="17" type="noConversion"/>
  </si>
  <si>
    <t>The dimension of  webbing length.</t>
    <phoneticPr fontId="17" type="noConversion"/>
  </si>
  <si>
    <t>The shortest length of the webbing：connect the Top tether to the axle, and measure the distance between backrest and axle when the tensioning indicator is in green
This distance have to be less than 200mm</t>
    <phoneticPr fontId="17" type="noConversion"/>
  </si>
  <si>
    <t>The longest length of the webbing:connect the Top tether to the axle, and measure the distance between backrest and axle when the tensioning indicator is in green
This distance have to be greater than 2000mm.</t>
    <phoneticPr fontId="17" type="noConversion"/>
  </si>
  <si>
    <t>Transportation</t>
    <phoneticPr fontId="17" type="noConversion"/>
  </si>
  <si>
    <t>110.1 - Product drop test (folded)</t>
    <phoneticPr fontId="17" type="noConversion"/>
  </si>
  <si>
    <t>No breakage / the product shall still fulfill its original functions</t>
    <phoneticPr fontId="17" type="noConversion"/>
  </si>
  <si>
    <t>Specific  of the infant carseat</t>
  </si>
  <si>
    <t>111.1 – Belt guide strength test</t>
  </si>
  <si>
    <t>Before and After Dynamic Testing : No breakage and the deformation shall not impair the use of the belt guide.</t>
    <phoneticPr fontId="17" type="noConversion"/>
  </si>
  <si>
    <t>111.2 – Strength of the bumper bar</t>
    <phoneticPr fontId="17" type="noConversion"/>
  </si>
  <si>
    <t>Before and After Dynamic Testing : No breakage and the deformation shall not impair the use of the seat base.</t>
    <phoneticPr fontId="17" type="noConversion"/>
  </si>
  <si>
    <t>111.3 – Strength of the small parts</t>
    <phoneticPr fontId="17" type="noConversion"/>
  </si>
  <si>
    <t>After testing any component or part of a component that is removed, whether intended to be removed without the use of a tool or not, shall not fit entirely within the small parts cylinder (5.6 of EN 1888:2012) in any orientation without compression</t>
    <phoneticPr fontId="17" type="noConversion"/>
  </si>
  <si>
    <t>111.4 – Moving parts</t>
    <phoneticPr fontId="17" type="noConversion"/>
  </si>
  <si>
    <t>During testing there shall be no potentially hazardous shear and compression points between rigid parts moving relative to each other that can close to less than 12 mm, except during adjustments made by the carer.</t>
    <phoneticPr fontId="17" type="noConversion"/>
  </si>
  <si>
    <t>Modularity Adjustment</t>
  </si>
  <si>
    <t>Before and After Dynamic Testing : The product shall not disassemble, break or partially disassemble. The product shall still fulfill its original functions</t>
    <phoneticPr fontId="17" type="noConversion"/>
  </si>
  <si>
    <t>Before and After Dynamic Testing : The force to operate the system shall be  between :  2.5 Nm &lt; F &lt; 3.5 Nm</t>
    <phoneticPr fontId="17" type="noConversion"/>
  </si>
  <si>
    <t xml:space="preserve">Before and After Dynamic Testing : The force to operate the system shall be  between :  F  &lt; 0.8 Nm </t>
    <phoneticPr fontId="17" type="noConversion"/>
  </si>
  <si>
    <t>backrest</t>
    <phoneticPr fontId="17" type="noConversion"/>
  </si>
  <si>
    <t>119.1 – Base assembly force Connect the upper and lower</t>
    <phoneticPr fontId="17" type="noConversion"/>
  </si>
  <si>
    <t>Before and After Dynamic Testing : Correct and smooth fixation from upper base to lower base. The force needed to connect the upper base and lower base should be &lt; 25N.</t>
    <phoneticPr fontId="17" type="noConversion"/>
  </si>
  <si>
    <t>119.2 – Base disassembly force Separate the upper and lower</t>
    <phoneticPr fontId="17" type="noConversion"/>
  </si>
  <si>
    <t>Before and After Dynamic Testing : Correct and smooth disconnection upper base from lower base. The force needed to separate the upper base from the lower base should be &lt; 25N.</t>
    <phoneticPr fontId="17" type="noConversion"/>
  </si>
  <si>
    <t>119.3 – Base hook endurance Hook/unhook backrest-hooks L+R</t>
    <phoneticPr fontId="17" type="noConversion"/>
  </si>
  <si>
    <t xml:space="preserve">Before and After Dynamic Testing : The product shall not disassemble, break or partially disassemble. The product shall still fulfill its original functions. </t>
    <phoneticPr fontId="17" type="noConversion"/>
  </si>
  <si>
    <t>119.4 – Base hook force Hook backrest-hooks L+R</t>
    <phoneticPr fontId="17" type="noConversion"/>
  </si>
  <si>
    <t>Before and After Dynamic Testing : The force required to hook the backrest-hooks left and right correctly into the base-cavities should be &gt;20N - &lt;55N</t>
    <phoneticPr fontId="17" type="noConversion"/>
  </si>
  <si>
    <t>119.5Base unhook force Unhook backrest-hooks L+R</t>
    <phoneticPr fontId="17" type="noConversion"/>
  </si>
  <si>
    <t>Before and After Dynamic Testing : The force required to unhook the backrest-hooks left and right out of the base-cavities should be &gt;20N - &lt;55N</t>
    <phoneticPr fontId="17" type="noConversion"/>
  </si>
  <si>
    <t>119.6 – Seat and backrest connection test</t>
    <phoneticPr fontId="17" type="noConversion"/>
  </si>
  <si>
    <t>Before and After Dynamic Testing : The seat shall not unlock or partially unlock from the backrest</t>
    <phoneticPr fontId="17" type="noConversion"/>
  </si>
  <si>
    <t>Full harness adjuster efficiency</t>
    <phoneticPr fontId="17" type="noConversion"/>
  </si>
  <si>
    <t>After step 3, crotch pad/shoulder pad must come back into initial position (in contact with seatrest once buckle unlocked)</t>
    <phoneticPr fontId="17" type="noConversion"/>
  </si>
  <si>
    <t>Pinching between rim and shell(adult)</t>
  </si>
  <si>
    <t>203.15 - Pinching between rim and shell(adult)</t>
    <phoneticPr fontId="17" type="noConversion"/>
  </si>
  <si>
    <t>Before and After Dynamic test: It shall not be possible to insert probe of 5mm on any position of the circumference between the rim and the shell. If the probe of 5mm can be inserted, it must also be possible to insert the probe of 18mm on the same location.</t>
    <phoneticPr fontId="17" type="noConversion"/>
  </si>
  <si>
    <t>washing</t>
    <phoneticPr fontId="17" type="noConversion"/>
  </si>
  <si>
    <t>washing the seat cover and inlay,shoulder pad according to TMC 17.1</t>
    <phoneticPr fontId="17" type="noConversion"/>
  </si>
  <si>
    <t>After testing , the product shall keep his functional and coloristic integrity</t>
    <phoneticPr fontId="17" type="noConversion"/>
  </si>
  <si>
    <t>Packaging</t>
    <phoneticPr fontId="17" type="noConversion"/>
  </si>
  <si>
    <t>(Un)packing test</t>
    <phoneticPr fontId="20" type="noConversion"/>
  </si>
  <si>
    <t>Packaging
DEU-QA-0324</t>
    <phoneticPr fontId="17" type="noConversion"/>
  </si>
  <si>
    <t>Surface</t>
  </si>
  <si>
    <t>Back Support Height - 40lbs and Under</t>
    <phoneticPr fontId="17" type="noConversion"/>
  </si>
  <si>
    <t>FMVSS S5.2.1(a)</t>
  </si>
  <si>
    <t>Impact Performance</t>
  </si>
  <si>
    <t>S5.2.1(a) Rated Not More Than 18 kg (40lbs), Minimum Regulated Back Height Must Be &gt; 500mm (19.7 inches)</t>
  </si>
  <si>
    <t>Back Support Height - 40lbs and Greater</t>
  </si>
  <si>
    <t>S5.2.1(a) Rated More Than 18 kg (40lbs), Minimum Regulated Back Height Must Be &gt; 560mm (22.0 inches)</t>
  </si>
  <si>
    <t>Back Support Height- Rear Facing</t>
  </si>
  <si>
    <t>S5.2.1(a) Not More than 18kg, shall have a minimum back height of not less than 500mm. More than 18kg, shall have a minimum back height of not less than 560mm. Maximum back height to be defined by the product brief.</t>
  </si>
  <si>
    <t>Back Support Height- Forward Facing</t>
  </si>
  <si>
    <t>Back Support Height- Belt Positioning</t>
  </si>
  <si>
    <t>Back Support Width</t>
  </si>
  <si>
    <t>FMVSS S5.2.1(b)</t>
  </si>
  <si>
    <t>S5.2.1(b) Back Width at Back Support Height Must be &gt; or = to 6 inches.</t>
  </si>
  <si>
    <t>Back Support Width- Forward Facing Exception</t>
  </si>
  <si>
    <t>FMVSS S5.2.2(a)</t>
  </si>
  <si>
    <t>S5.2.2(a) Forward Facing Child restraints have no requirement as long as the targets on the side of the head of the dummy is below a horizontal plane tangent to the top of vehicle seat</t>
  </si>
  <si>
    <t>Wing Depth - Back Support 8 inches</t>
  </si>
  <si>
    <t>S5.2.1(b) If Back Width at Back Support Height &gt; = 8 inches, Wing Depth Must &gt; or = to CG of Appropriate Dummy Measured Perpendicular to the Back Surface.</t>
  </si>
  <si>
    <t>Wing Depth - Back Support Less than 8 Greater than 6 inches</t>
  </si>
  <si>
    <t>S5.2.1(b) If Back Width at Back Support Height &lt; 8 and &gt; 6 inches, Wing Depth Must Be 4 inches &gt; or = forward of CG of Appropriate Dummy Measured Perpendicular to the Back Surface.</t>
    <phoneticPr fontId="17" type="noConversion"/>
  </si>
  <si>
    <t>Wing Depth- Forward Facing Exception</t>
  </si>
  <si>
    <t>FMVSS S5.2.2 (a)</t>
  </si>
  <si>
    <t>S5.2.2 (a) Forward Facing Child restraints have no requirement as long as the targets on the side of the head of the dummy is below a horizontal plane tangent to the top of vehicle seat</t>
  </si>
  <si>
    <t>Back Support Surface</t>
  </si>
  <si>
    <t>FMVSS S5.2.2(a), TP-213 C6.1, CMVSS 213 SOR/DORS 2010-90  209 (a)</t>
  </si>
  <si>
    <t>Flat or Concave Continuous Surface Area of 548 sq. cm. (85 sq. inches) or greater measured from all applicable rear facing harness slots to the intersection of the seating surface.</t>
  </si>
  <si>
    <t>Side Torso Support Surface</t>
  </si>
  <si>
    <t>FMVSS S5.2.2.1(b), TP-213 C.6.2</t>
  </si>
  <si>
    <t>Flat or Concave Continuous Surface Area of 155 sq.cm (24 sq. inches) or Greater for Children Weighing 9 kg (20 lbs) or more.</t>
  </si>
  <si>
    <t xml:space="preserve"> Flat or Concave Continuous Surface Area of 310 sq. cm (48 sq. inches) or Greater for Children Weighing 9 kg (20 lbs) or less.</t>
  </si>
  <si>
    <t>Forward Restraining Surfaces</t>
  </si>
  <si>
    <t>FMVSS S5.2.2.1(c) TP-213 C.6.3</t>
  </si>
  <si>
    <t>Each horizontal cross section of each system surface designed to restrain forward movement of the child's torso shall be flat or concave and each vertical longitudinal cross section shall be flat or convex with a radius of curvature of the underlying structure of not less than 2 inches.</t>
  </si>
  <si>
    <t>Side Impact Restraining Surfaces Evaluation</t>
  </si>
  <si>
    <t>Dorel Internal Performance</t>
  </si>
  <si>
    <t>Internal</t>
  </si>
  <si>
    <t>I</t>
  </si>
  <si>
    <t>Size and shape is determined by the designs performance</t>
  </si>
  <si>
    <t>Side Impact Head Wing Size Evaluation</t>
  </si>
  <si>
    <t>QP-000008</t>
  </si>
  <si>
    <t>Vehicle</t>
  </si>
  <si>
    <t>Vehicle Fit</t>
  </si>
  <si>
    <t>Top 20 Vehicle List</t>
  </si>
  <si>
    <t>The product shall be able to be installed and meet all requirements for use for all the specified child heights and weights in the vehicles specified in the Functional Requirement Document</t>
  </si>
  <si>
    <t>Installation</t>
  </si>
  <si>
    <t>Belt Path</t>
  </si>
  <si>
    <t>SAE J1819</t>
  </si>
  <si>
    <t xml:space="preserve">Vehicle belt path must be capable of allowing a 40 x 80 mm block pass through and be positioned min. of 8.5" away from vehicle seat bight.  </t>
  </si>
  <si>
    <t>49CRF571.202a</t>
  </si>
  <si>
    <t>The back and the headrest shall not interfer with the vehicle headrest, as specified in 202.</t>
  </si>
  <si>
    <t>FMVSS-213 S5.5, Dorel Procedure</t>
  </si>
  <si>
    <t>Shall accommodate the size and weight of children specified in labeling, instructions, cartooning, POP and other documentation.  This should included seasonal clothing as applicable.</t>
  </si>
  <si>
    <t>Comfort</t>
  </si>
  <si>
    <t>Child Comfort</t>
  </si>
  <si>
    <t>FMVSS 213 S5.6.3</t>
  </si>
  <si>
    <t>A snug strap should not allow any slack. It lies in a relatively straight line without sagging. It does not press on the child’s flesh or push the child’s body into an unnatural position.</t>
  </si>
  <si>
    <t>Escapement- Standing</t>
  </si>
  <si>
    <t>FMVSS-213 S5.4.3.4(c)</t>
  </si>
  <si>
    <t>Shall prevent child from standing upright on the vehicle seat when the child is placed in the device in accordance with labeling and instructions.</t>
  </si>
  <si>
    <t>Escapement- General</t>
  </si>
  <si>
    <t>FMVSS-213 S5.4.3.1</t>
  </si>
  <si>
    <t>Shall prevent escape from the restraint while buckles and harness clips remain closed.</t>
  </si>
  <si>
    <t>Escapement- Compliant Materials</t>
  </si>
  <si>
    <t>FMVSS-213 S5.4</t>
  </si>
  <si>
    <t>Escapement as a result of release of compliant buckles and/or harness clips is exempt as there is no option to render button access and forces to open as non-compliant to Federal regulations.</t>
  </si>
  <si>
    <t>Belt Positioning Child Fit</t>
  </si>
  <si>
    <t>IIHS Booster Protocal</t>
  </si>
  <si>
    <t>To achieve the proper fit for belt positioning mode the lap belt should fit flat across a child's upper thighs, not across the soft abdomen and shoulder belt should cross snugly over the middle of a child's shoulder.  This seat shall achieve at minimum the Best Bet Rating.</t>
  </si>
  <si>
    <t>Ease Of Use</t>
  </si>
  <si>
    <t>Belt Positioning / Belt Guides / Retractor Force</t>
  </si>
  <si>
    <t>Pull Test</t>
  </si>
  <si>
    <t>User Experience</t>
  </si>
  <si>
    <t>Shoulder Belt Gelt guides shall not require a pull thru force exceeding 2.7lbf when measured by force guage pulling 2" vehicle seat belt webbing thru guide</t>
  </si>
  <si>
    <t>Release Mechanisms</t>
  </si>
  <si>
    <t>Dorel</t>
  </si>
  <si>
    <t>Shall be smooth and of even force.  Tolerance of force to be no greater than 50% of nominal force.</t>
  </si>
  <si>
    <t>Adjustment Mechanisms</t>
  </si>
  <si>
    <t>Base Release Mechanism</t>
  </si>
  <si>
    <t>Shall release when a force of not less than 9lbs and no greater than 20lbs is applied.</t>
  </si>
  <si>
    <t>Adjustable headrest</t>
  </si>
  <si>
    <t>UX Story Board, QFD, ASTM F963 2016 Sections 4.5 and 8.20.2.1</t>
  </si>
  <si>
    <t>Headrest must be capable of adjusting up or down to accommodate the full child ranges as defined in 2.1. Adjustment is to be by single button, center mounted on top of head rest, Stroke of button to be .500" with an intital spring force of 8-10 lbf. When the adjustment button is depressed for head rest release and movement, the ending stroke of .500" shall have a button depression force of 10-12lbf. When the button is released, and the head rest mechanism shall exhibit an audible click of 75db when measured 1/4" away from any point in proximity to the release button. The maximum audible click shall not exceed the limits of ASTM F963 2016 Sections 4.5 and 8.20.2.1</t>
  </si>
  <si>
    <t>Recline and Angle Leveling Mechanism Lever</t>
  </si>
  <si>
    <t>UX Story Board, QFD</t>
  </si>
  <si>
    <t xml:space="preserve">The recline must be engaged/released per the lever travel- Ti = 70-80 mm, Te = 40-50 mm,  </t>
  </si>
  <si>
    <t xml:space="preserve">The recline must be engaged/released per the lever click sound, 75db +/- 10%.  </t>
  </si>
  <si>
    <t xml:space="preserve">The recline must be engaged/released per the lever force- Fi = 7 lbs, Fe = 9 lbs,  </t>
  </si>
  <si>
    <t>Lock-Off Forward Facing</t>
  </si>
  <si>
    <t xml:space="preserve">The seat belt will feel secure in the lock off once the seat belt is pulled all the way up. Then wiggle the seat to
see amount of movement. F1 = 32.6 +/- 2.1lbs, F2 = 14.4 +/- 1.5 lbs,   </t>
  </si>
  <si>
    <t>Lock-Off Rear Facing</t>
  </si>
  <si>
    <t xml:space="preserve">The seat belt will feel secure in the lock off once the seat belt is pulled all the way up.Then wiggle the seat to see amount of movement. F1 = 32.6 +/- 2.1lbs, F2 = 14.4 +/- 1.5 lbs,  </t>
  </si>
  <si>
    <t>Torso Operating</t>
  </si>
  <si>
    <t xml:space="preserve">User depresses the two release buttons to raise / lower the torso freely. The operating conditions must be max F=5 lbs, T= 0.25-0.5".  Audible sound must be 75 db.  </t>
  </si>
  <si>
    <t>Consumer Satisfaction</t>
  </si>
  <si>
    <t>Ease of Use</t>
  </si>
  <si>
    <t>Product shall meet or exceed the rating specified in the Functional requirements document.</t>
  </si>
  <si>
    <t>NHTSA Ease of Use Star Rating</t>
  </si>
  <si>
    <t>NHTSA</t>
  </si>
  <si>
    <t>Designed to Rate 5 Star</t>
  </si>
  <si>
    <t>Consumer Experience</t>
  </si>
  <si>
    <t>Clairbridge Analysis</t>
  </si>
  <si>
    <t>Leveling</t>
  </si>
  <si>
    <t>Level Requirements</t>
  </si>
  <si>
    <t>Incorperation by Reference, CPQR-00037</t>
  </si>
  <si>
    <t>Defines requirements related to level indication device</t>
  </si>
  <si>
    <t>Protrusion Limitation: Occupant Back Area of Shell</t>
  </si>
  <si>
    <t>FMVSS-213 S5.2.4, TP-213 12 C.8, CMVSS 213 SOR/DORS/2010-90 212,406</t>
  </si>
  <si>
    <t>Skin Puncture, Spine Injury</t>
  </si>
  <si>
    <t>Pre Test: Any portion of a structural component within or underlying a support surface contactable by the test dummy, and with any padding or other flexible overlay material removed, shall have a smooth and continuous system surface.Exposed surfaces shall have a radius of no less than \1/4\ inch, no offset surfaces greater than \3/8\ inch above the immediate adjacent surrounding contactable surface of any structural element of the system.</t>
  </si>
  <si>
    <t>Safety</t>
  </si>
  <si>
    <t>Torque Test for the Removal of Components</t>
  </si>
  <si>
    <t>QTM 2, ASTM F963-16 8.8</t>
  </si>
  <si>
    <t>CPSC</t>
  </si>
  <si>
    <t>All projections/parts/assemblies that can be grasped by the thumb and forefinger or the teeth, approximately 1mm (0.040 inch).  A failure is considered if any critical or major criteria are not met as specified in QTM 2.  If the product is required to go through QTM 3, complete this first then proceed.</t>
  </si>
  <si>
    <t>Tension Test for Removal of Components</t>
  </si>
  <si>
    <t>All projections/parts/assemblies that can be grasped by the thumb and forefinger, approximately 1mm (0.040 inch).  A failure is considered if any critical or major criteria are not met as specified in QTM 3.  If the product is required to go through QTM 2 that should be completed first then this test.</t>
  </si>
  <si>
    <t>Compression Test</t>
  </si>
  <si>
    <t>QTM 4, ASTM F963-16 8.10</t>
  </si>
  <si>
    <t>Any surface not in contact with specified impact surface during Impact (tip over test) is applicable to the Compression Test.</t>
  </si>
  <si>
    <t>Bite Test</t>
  </si>
  <si>
    <t>QTM 5, 16 CFR 1500.51,52,53, ASTM F963-16</t>
  </si>
  <si>
    <t>Small Parts</t>
  </si>
  <si>
    <t>QTM 6, 16 CFR 1501</t>
  </si>
  <si>
    <t>Any product or piece of a product both before and after any specified use and abuse testing shall have no Critical occurrences as per the QTM.</t>
  </si>
  <si>
    <t>Sharp Edges</t>
  </si>
  <si>
    <t>QTM 9; ASTM F963-16 3.1.21,4.7; CFR 1500.49</t>
  </si>
  <si>
    <t>The product shall be able to meet all requirements per the QTM with no Critical occurrences.</t>
    <phoneticPr fontId="17" type="noConversion"/>
  </si>
  <si>
    <t>Sharp Points</t>
  </si>
  <si>
    <t>QTM 10, CFR 1500.48, ASTM F963-16 4.9</t>
  </si>
  <si>
    <t>The product shall be able to meet all requirements per the QTM with no occurrences.</t>
  </si>
  <si>
    <t>Projections</t>
  </si>
  <si>
    <t>ASTM F963-16 4.8</t>
  </si>
  <si>
    <t>This requirement is intended to minimize possible puncture hazards to the skin that might be caused should a child fall on a rigid projection, such as unprotected ends of axles, actuating levers and decorative features.  Due to the extremely sensitive nature of the eyes and interior of the mouth, this requirement will not, nor is it intended to, provide protection to those areas of the body.  If a projection appears to present a potential skin puncture hazard, the projection shall be protected by suitable means, such as by turning back the end of a wire or by affixing a smoothly finished protective cap or cover, which effectively increases the surface area for potential contact with the skin.  The CRS shall meet this requirement both before and after testing in accordance with 8.5-8.10 of ASTM 963-08.</t>
  </si>
  <si>
    <t>Parting Lines and Edges</t>
  </si>
  <si>
    <t>Dorel Requirement</t>
  </si>
  <si>
    <t>Sharp Cutting Edges</t>
  </si>
  <si>
    <t>Any edge or parting line that is accessible to the customer for install or use shall have radiused or softened edges to prevent abrassion of skin.  The minimum radius recommended is 1mm.</t>
  </si>
  <si>
    <t>Hinge-Line Clearance</t>
  </si>
  <si>
    <t>ASTM F963-16 3.1.37, 4.13.2</t>
  </si>
  <si>
    <t>CRS’s having a gap or clearance along the hinge line between a stationary portion and moveable portion that weighs more than 1/2 lb (0.2 kg) shall be so constructed that, if the accessible gap at the hinge line will admit a 3/16 inch (5 mm) diameter rod, it will also admit a 1/2 inch (13 mm) diameter rod at all positions of the hinge.</t>
  </si>
  <si>
    <t>Accessible Clearance for Moveable Segments</t>
  </si>
  <si>
    <t>ASTM F963-16 4.18.1</t>
  </si>
  <si>
    <t>This requirement concerns clearances between movable segments on the CRS intended for children under 96 months only, where the potential for pinching or crushing fingers or other appendages exists. If such accessible clearances admit a 3/16 inch (5 mm) diameter rod, they shall also admit a 1/2 inch (13 mm) diameter rod.</t>
  </si>
  <si>
    <t>Inaccessibility of Mechanisms</t>
  </si>
  <si>
    <t>ASTM F983-96 4.18.4</t>
  </si>
  <si>
    <t>Clockwork, battery-operated, inertial or other power-driven mechanisms or any mechanism intended for use with the occupant in the CRS intended for children aged 60 months or less shall not have any accessible part of the mechanism present a pinch or laceration hazard.</t>
  </si>
  <si>
    <t>Circular Holes and Non-Circular Holes</t>
  </si>
  <si>
    <t>ASTM F983-96 4.18.2</t>
  </si>
  <si>
    <t>This requirement is intended to prevent finger entrapment (which may cut off blood circulation) in accessible openings in sheet metal and other rigid material in products intended for children aged 60 months or less. If an accessible, opening in any rigid material not less than 0.062 in. (1.58 mm) in thickness can admit a 1⁄4-in. (6-mm) diameter rod to a depth of 3⁄8 in. (10 mm) or greater, it shall also admit a 1⁄2-in. (13-mm) diameter rod.</t>
  </si>
  <si>
    <t>Crash</t>
  </si>
  <si>
    <t>49CFR-571.213, TP-213 12 A.3, D</t>
  </si>
  <si>
    <t>Injury Criteria-  Chest Resultant</t>
  </si>
  <si>
    <t>49CFR-571.213, TP-213 12 A.3, D; CMVSS 213 SOR/DORS/2010-90 215(c ),315(c ), 407(c )</t>
  </si>
  <si>
    <t>FMVSS/CMVSS</t>
  </si>
  <si>
    <t>Chest Injury</t>
  </si>
  <si>
    <t>When tested in accordance with TP-213 the injury reference value Chest Resultant shall not exceed 60 as required by  S5.1.2 section B and CMVSS 213</t>
  </si>
  <si>
    <t>Head Excursion</t>
  </si>
  <si>
    <t>49CFR-571.213, TP-213 12 A.3, D; CMVSS 213 SOR/DORS/2010-90 216(a),407(e)</t>
  </si>
  <si>
    <t>Head Contacts interior of Vehicle</t>
  </si>
  <si>
    <t>When tested in accordance with TP-213 the injury reference value Head Excursion shall not exceed 720mm [28.3in] when tethered, 813mm [32.0in] untethered, and 813mm [32.0in] in belt positioning modes as required by  S5.1.3 .1  and CMVSS 213</t>
  </si>
  <si>
    <t>Knee Excursion</t>
  </si>
  <si>
    <t>49CFR-571.213, TP-213 12 A.3, D; CMVSS 213 SOR/DORS/2010-90 216(b), 407(f)</t>
  </si>
  <si>
    <t>Knee Contacts interior of vehicle</t>
  </si>
  <si>
    <t>When tested Forward Facing in accordance with TP-213 the  reference value Knee Excursion 915mm [36.0 in.] in all forward facing modes of use as required by S5.1.3.1 and CMVSS 213</t>
  </si>
  <si>
    <t xml:space="preserve">Back Angle Rotations </t>
  </si>
  <si>
    <t>49CFR-571.213, TP-213 12 A.3, D; CMVSS 213 SOR/DORS 2010-90 217 (b), 315(f)</t>
  </si>
  <si>
    <t>Back Angle during crash too severe</t>
  </si>
  <si>
    <t>When tested Rear Facing and in accordance with TP-213 the maximum seat back angle rotations not to exceed 70 degrees as required by S5.1.4 and CMVSS 213</t>
  </si>
  <si>
    <t>Structural</t>
  </si>
  <si>
    <t>Child Restraint System Integrity</t>
  </si>
  <si>
    <t>Car Seat Breaks Apart in Crash</t>
  </si>
  <si>
    <t>When tested in accordance with TP-213 there shall be no complete separation of any portion of the restraint system,. See S5.1.1a,b,c and CMVSS 213</t>
  </si>
  <si>
    <t>Buckle</t>
  </si>
  <si>
    <t>Buckle can not be opened after crash</t>
  </si>
  <si>
    <t>Before performing any testing follow the requirements specified in S6.2.1 the buckle shall not release when a force of less than 40 newtons (N) is applied and shall release when a force of not more than 62 N is applied;.  Upon completion of testing follow the requirements S6.2.2, S6.2.3 the buckle shall not release when a force of not more than 71 N is applied as per the requirements specified in S5.4.3.5 and CMVSS 213</t>
  </si>
  <si>
    <t>Head Acceleration</t>
  </si>
  <si>
    <t>CMVSS 213 SOR/DORS/2010-09 215(d), 315(d), 407(d)</t>
  </si>
  <si>
    <t>Brain Injury in Crash</t>
  </si>
  <si>
    <t>When tested in accordance with section 4 of Test Method 213 there shall be no acceleration of the centre of gravity of the head of the ATD during the movement of the head toward the front of the vehicle to not more than 80g, except for internal of not more than 3 ms, unless it is established that any resultant acceleration above the 80 g is caused by another part of the ATD.</t>
  </si>
  <si>
    <t>Torso and Head Containment</t>
  </si>
  <si>
    <t>CMVSS 213 SOR/DORS 2010-90  217(a),315(1)(e)</t>
  </si>
  <si>
    <t>Child remains insifde car seat during crash</t>
  </si>
  <si>
    <t>The ATD shall be retained within the CRS and not allow any portion of the target points on either side of the device's head and perpendicular to the head's midsagittal plane, to pass at any time , during or immediately after the test, either through the transverse orthogonal planes formed by the extension of the seat back frontal planes(rear most part of the test bench back) of the restraint system and by the plane that passes thought the uppermost point of the restraint system.</t>
  </si>
  <si>
    <t>Rebound</t>
  </si>
  <si>
    <t>Car Seat Hits back windshield glass</t>
  </si>
  <si>
    <t>The ATD shall be retained within the CRS and not allow any portion of the target points on either side of the device's head and perpendicular to the head's midsagittal plane, to pass at any time , during or immediately after the test, either through the transverse orthogonal planes formed by the extension of the seat back frontal planes(rear most part of the test bench back).</t>
  </si>
  <si>
    <t>Chest injury in crash</t>
  </si>
  <si>
    <t>Head contacts interior during crash</t>
  </si>
  <si>
    <t>When tested Forward Facing in accordance with TP-213 the injury reference value Head Excursion Dorel is targeting is a maximum result as specified by the adjacent values, no results shall exceed the requirement specified in  S5.1.3 .1</t>
  </si>
  <si>
    <t>Car Seat Breaks Apart in crash</t>
  </si>
  <si>
    <t>When tested in accordance with TP-213 there shall be no complete separation of any portion of the restraint system, furthermore no cracks are allowed. See S5.1.1a,b,c</t>
  </si>
  <si>
    <t>Head Containment</t>
  </si>
  <si>
    <t>Proposed NHTSA Side Impact Procedure as Posted to Docket NHTSA-2014-0012</t>
  </si>
  <si>
    <t>Head must be contained within the shell of the CRS. Criteria: “Contained” is the absence of contact with the test fixture door and requires that energy CMVSS 213 absorbing section of the side wing remains between the head and the test fixture door.</t>
    <phoneticPr fontId="17" type="noConversion"/>
  </si>
  <si>
    <t>Child Restraint Performance Integrity</t>
  </si>
  <si>
    <t>There shall be no fracturing of the CRS which might compromise the performance of the side wing of the CRS.</t>
  </si>
  <si>
    <t>Head Contact</t>
  </si>
  <si>
    <t>Head / Door contact is evidenced by video and/or chalk transfer.</t>
  </si>
  <si>
    <t>Injury Criteria (HIC15)</t>
  </si>
  <si>
    <t>Head Contact within the CRS
When side impact tested and contact is evidenced, the  reference value HIC 15 shall be recorded and tracked
a) Contact is evidenced by video and/or chalk transfer.
b) When side impact tested and contact is evidenced, HIC 15 shall not exceed the documented baseline reference value. When applicable, the baseline reference value is a second test of the CRS and ATD without the presence of the device or apparatus or feature the claim of protection is based upon.</t>
  </si>
  <si>
    <t>Injury Criteria Chest Resultant</t>
  </si>
  <si>
    <t>Chest Resultant
When side impact tested and contact is evidenced, the  reference value Chest Resultant at a 3ms clipped shall be recorded and tracked.
a) Contact is evidenced by video and/or chalk transfer.
b) When side impact tested and contact is evidenced, the Chest Resultant shall not exceed the documented baseline reference value. When applicable, the baseline reference value is a second test of the CRS and ATD without the presence of the device or apparatus or feature the claim of protection is based upon.</t>
  </si>
  <si>
    <t>Proposed NHTSA Side Impact Procedure as Posted to Docket NHTSA-2014-0012. See QP-00000849 CFR-571.213 S5.1.1, TP-213 12 A.3, D</t>
  </si>
  <si>
    <t>When tested in accordance with Proposed NHTSA Side Impact Procedure,  there shall be no complete separation of any portion of the restraint system, furthermore no cracks are allowed.</t>
  </si>
  <si>
    <t>FAA Inversion - Rotation</t>
  </si>
  <si>
    <t>FMVSS 213 S8.2, TP-213 12 A.4, E</t>
  </si>
  <si>
    <t>Child stays in car sea during roll over crash</t>
  </si>
  <si>
    <t>The child restraint shall not partially or completely fall out of the aircraft safety belt nor shall the test dummy partial or completely fall out of the child restraint at any time during the rotation</t>
  </si>
  <si>
    <t xml:space="preserve">Inversion Testing </t>
  </si>
  <si>
    <t>CMVSS 213 SOR/DORS 2010-90 214,314 AND FMVSS 213 S8.2, 8.25, S8.2.6</t>
  </si>
  <si>
    <t>When child restraint system that is subjected to an inversion test in accordance with section 7 of Test Method 213 or 213.1 must not fall out of the aircraft passenger seat belt, and the anthropomorphic test device must not fall out of the restraint system, at any time during the rotation or three-second immobilization period referred to in that section</t>
  </si>
  <si>
    <t>Label</t>
  </si>
  <si>
    <t>Label Visibility</t>
  </si>
  <si>
    <t>FMVSS 213 S5.5.3, TP-213 C.1,2,3</t>
  </si>
  <si>
    <t>Proper use information</t>
  </si>
  <si>
    <t>The information specified in S5.5.2 (f)-(l) shall be located on the CRS so that it is visible when the system is installed.</t>
  </si>
  <si>
    <t>Additional Languages</t>
  </si>
  <si>
    <t>In addition to the English and Canadian French Languages will be used on all applicable molded in features.</t>
  </si>
  <si>
    <t>Label Attachment- Paper Labels</t>
  </si>
  <si>
    <t>ASTM F977-09 Section 7.4.1</t>
  </si>
  <si>
    <t>All paper labels (excluding labels attached by a seam) shall be considered permanent if, during the an attempt to remove it without the aid of tools or solvents, it cannot be removed, it tears into pieces upon removal, or such action damages the surface to which it is attached.</t>
  </si>
  <si>
    <t>Label Attachment- Non-Paper Labels</t>
  </si>
  <si>
    <t>ASTM F977-09 Section 7.4.2</t>
  </si>
  <si>
    <t>A non-paper label (excluding labels attached by a seam) shall be considered permanent if, during an attempt to remove it without the aid of tools or solvents, it cannot be removed or such action damages the surface to which it is attached.</t>
  </si>
  <si>
    <t>Label Attachment- Seam</t>
  </si>
  <si>
    <t>ASTM F977-09 Section 7.4.3</t>
  </si>
  <si>
    <t>Shall be considered permanent if it does not detach when subjected to a 15-lb. (67-N) pull force applied in any direction using a ¾” (19-mm) diameter clamp surface.</t>
  </si>
  <si>
    <t>Labeling Directly on Surface</t>
  </si>
  <si>
    <t>ASTM D3359, ASTM F977-09 Section 7.4.4</t>
  </si>
  <si>
    <t>Adhesion for any labeling applied directly to the surface of the product shall be verified by utilizing ASTM D3359 Method B Cross Cut Tape Test (eliminating the parallel cuts). Failure is considered when the labels are not legible and/or attached after the test.</t>
  </si>
  <si>
    <t>Application and Retention of Labels</t>
  </si>
  <si>
    <t xml:space="preserve">Dorel Requirement </t>
  </si>
  <si>
    <t>Can be read on a smooth label applied</t>
  </si>
  <si>
    <t>Labels shall be applied smooth with no wrinkles or bubbles distorting the appearance and is legibility.</t>
  </si>
  <si>
    <t>Packaging</t>
  </si>
  <si>
    <t>Packaging Testing - Standard Product</t>
  </si>
  <si>
    <t>ISTA 3A, .com specification</t>
  </si>
  <si>
    <t>Test per sequence steps as shown in ISTA 3A at Lab Environmental Conditions.  Product/Part must have no loss of serviceability or signs of yielding on any parts.  Check all functions and perform strength testing to verify that all parts are not damaged.  Product/Part shall be retained in the carton at the end of all testing, this is verified by a inversion of the box.  Product/Part shall not be accessible through a rip or tear in the box at the end of testing.</t>
  </si>
  <si>
    <t>Chemical</t>
  </si>
  <si>
    <t>Material  Content</t>
  </si>
  <si>
    <t>CP-QR-00023</t>
  </si>
  <si>
    <t>State and Federal Standards for Children chemical exposure</t>
  </si>
  <si>
    <t>All materials utilized in the production or packaging of this product shall comply with the standards specified.</t>
  </si>
  <si>
    <t>Material</t>
  </si>
  <si>
    <t>Material Identification</t>
  </si>
  <si>
    <t>Proper and responsible material recycling</t>
  </si>
  <si>
    <t>All materials will be identified on the part utilizing approved notations.</t>
  </si>
  <si>
    <t>Recycle</t>
  </si>
  <si>
    <t>Material Recycling Symbols</t>
  </si>
  <si>
    <t>Proper and responsible material recycling identification</t>
  </si>
  <si>
    <t>Compression</t>
  </si>
  <si>
    <t>Compression Test- Booster Seat Mode</t>
  </si>
  <si>
    <t>CMVSS 213 SOR/DORS/2010-90 408, ASTM D3574-08 Section 17</t>
  </si>
  <si>
    <t>Booster seat collapses in crash</t>
  </si>
  <si>
    <t>Apply a preload of 175N to the seat.  The Seat shall not deflect more than 25mm under the application of a vertical force of 2250 N applied anywhere on the upper seating surface of the seat as described in requirement.</t>
  </si>
  <si>
    <t>Foam</t>
  </si>
  <si>
    <t>Car Seat Requirements - Foam - Open Cell and EPP</t>
  </si>
  <si>
    <t>CP-QR-00001</t>
  </si>
  <si>
    <t>Product Components shall meet all requirements specified in the Quality Requirements Document.</t>
  </si>
  <si>
    <t>Pads</t>
  </si>
  <si>
    <t>Car Seat Requirements - Sewn Pads and Covers</t>
  </si>
  <si>
    <t>CP-QR-00002</t>
  </si>
  <si>
    <t>Webbing</t>
  </si>
  <si>
    <t>Car Seat Requirements - Child Restaint Webbing</t>
  </si>
  <si>
    <t>CP-QR-00003, FMVSS 213 S5.4</t>
  </si>
  <si>
    <t>Car Seat Requirements - CFA (Center Front Adjuster) Assembly</t>
  </si>
  <si>
    <t>CP-QR-00004, FMVSS 213 S5.4</t>
  </si>
  <si>
    <t>Car Seat Requirements - Tether Assembly</t>
  </si>
  <si>
    <t>CP-QR-00005, FMVSS 213 S5.4</t>
  </si>
  <si>
    <t>Car Seat Requirements - Tether Hook Assembly</t>
  </si>
  <si>
    <t>CP-QR-00005A, FMVSS 213 S5.4</t>
  </si>
  <si>
    <t>Car Seat Requirements - LATCH Assembly</t>
  </si>
  <si>
    <t>CP-QR-00006, FMVSS 213 S5.4</t>
  </si>
  <si>
    <t>Car Seat Requirements - Toddler Buckle</t>
  </si>
  <si>
    <t>CP-QR-00007, FMVSS 213 S5.4</t>
  </si>
  <si>
    <t>Car Seat Requirements -Harness Retainer</t>
  </si>
  <si>
    <t>CP-QR-00017</t>
  </si>
  <si>
    <t>Corrosion</t>
  </si>
  <si>
    <t>Corrosion Resistance Salt Spray - Metal Parts</t>
  </si>
  <si>
    <t>Components Rusting</t>
  </si>
  <si>
    <t>Car Seat Requirements - Harness Assembly</t>
  </si>
  <si>
    <t>CP-QR-00028</t>
  </si>
  <si>
    <t>Durability</t>
  </si>
  <si>
    <t>Impact Durability and Abuse</t>
  </si>
  <si>
    <t>QTM 1</t>
  </si>
  <si>
    <t xml:space="preserve">Following the QTM procedure, expect for the drop height to be 36 inches.  No critical occurences are allowed.  </t>
  </si>
  <si>
    <t>Flammability</t>
  </si>
  <si>
    <t>FMVSS 213 S5.7 FMVSS 302, TP-213 12 A.1, CMVSS 213 SOR/DORS 2010-90  205,307</t>
  </si>
  <si>
    <t>Burn Rate is Supplier Error Margin, 4.0 is FMVSS/CMVSS requirements</t>
  </si>
  <si>
    <t>Each material used in a CRS shall conform to the requirements in S4 of FMVSS 302, except that Dorel specifies the materials will have a burn rate of no greater than 3.0 in-min</t>
  </si>
  <si>
    <t>Environmental Performance</t>
  </si>
  <si>
    <t>ASTM D756-93</t>
  </si>
  <si>
    <t>Plastic parts warping and adjustments failing to operate properly</t>
  </si>
  <si>
    <t>Product shall be subjected to the temperature resistance test and shall not warp or otherwise deteriorate to cause them to operate improperly. Expose a minimum of 3 assemblies to the Procedure D specified in ASTM D756-93.  Expose an additional 3 assemblies to Procedure E.</t>
  </si>
  <si>
    <t>LATCH Connection Indication</t>
  </si>
  <si>
    <t>CMVSS 213 SOR/DORS/2010-09 204, 306</t>
  </si>
  <si>
    <t>False connection not secured</t>
  </si>
  <si>
    <t>Every CRS much provide a clear audible indication or clear visual indication that each connector is properly secured.</t>
  </si>
  <si>
    <t>Molding</t>
  </si>
  <si>
    <t>Visual Molded Part Aesthetic</t>
  </si>
  <si>
    <t>QAF-00035</t>
  </si>
  <si>
    <t>ABC Surface Instruction</t>
  </si>
  <si>
    <t>See FMVSS S5 (b)</t>
  </si>
  <si>
    <t>Injury / Death</t>
  </si>
  <si>
    <t>(b) Each child restraint system manufactured for use in motor vehicles shall meet the requirements in this section when, as specified, tested in accordance with S6.1 and this paragraph. Each add-on system shall meet the requirements at each of the restraint’s seat back angle adjustment positions and restraint belt routing positions, when the restraint is oriented in the direction recommended by the manufacturer (e.g., forward, rearward or laterally) pursuant to S5.6, and tested with the test dummy specified in S7.</t>
  </si>
  <si>
    <t>See FMVSS S5 (c)</t>
  </si>
  <si>
    <t>(c) Each child restraint system manufactured for use in aircraft shall meet the requirements in this section and the additional requirements in S8.</t>
  </si>
  <si>
    <t>Exemption</t>
  </si>
  <si>
    <t>See FMVSS S5 (d)</t>
  </si>
  <si>
    <t>(d) Each child restraint tested with a Part 572 Subpart S dummy need not meet S5.1.2 and S5.1.3.</t>
  </si>
  <si>
    <t>See FMVSS S5 (e)</t>
  </si>
  <si>
    <t>(e) Each child restraint system tested with a part 572 subpart T dummy need not meet S5.1.2.1(a).</t>
  </si>
  <si>
    <t>Exclusion</t>
  </si>
  <si>
    <t>See FMVSS S5 (f)</t>
  </si>
  <si>
    <t>(f) Each child restraint system that is equipped with an internal harness or other internal components to restrain the child need not meet this standard when attached to the lower anchors of the child restraint anchorage system on the standard seat assembly if the sum of the weight of the child restraint system (in pounds) and the average weight of child represented by the test dummy used to test the child restraint in accordance with S7 of this standard, shown in the table below, exceeds 65 pounds. Such a child restraint must meet this standard when tested using its internal harness or components to restrain such a test dummy while installed using the standard seat belt assembly specified in S5.3.2 of this standard.</t>
  </si>
  <si>
    <t>Child Size</t>
  </si>
  <si>
    <t>CRABI 12-month-old infant dummy (49 CFR Part 572, Subpart R) .................................. 22</t>
  </si>
  <si>
    <t>Hybrid III 3-year-old dummy (49 CFR Part 572, Subpart P) ............................................. 31</t>
  </si>
  <si>
    <t>Hybrid III 6-year-old dummy (49 CFR Part 572, Subpart N) ............................................ 45</t>
  </si>
  <si>
    <t>Hybrid III 6-year-old weighted child test dummy (49 CFR Part 572 Subpart S) …………...... 62</t>
  </si>
  <si>
    <t>Hybrid II 6-year-old dummy (49, CFR Part 572, Subpart I) ............................................. 45</t>
  </si>
  <si>
    <t>See FMVSS S5.1</t>
  </si>
  <si>
    <t>S5.1 Dynamic performance.</t>
  </si>
  <si>
    <t>See FMVSS S5.1.1</t>
  </si>
  <si>
    <t xml:space="preserve">S5.1.1 Child restraint system integrity. When tested in accordance with S6.1, each child restraint system shall meet the requirements of paragraphs (a) through (c) of this section. </t>
  </si>
  <si>
    <t>See FMVSS S5.1.1(a)</t>
  </si>
  <si>
    <t>(a) Exhibit no complete separation of any load bearing structural element and no partial separation exposing either surfaces with a radius of less than 1⁄4 inch or surfaces with protrusions greater than 3⁄8 inch above the immediate adjacent surrounding contactable surface of any structural element of the system.</t>
  </si>
  <si>
    <t>See FMVSS S5.1.1(b)(1)</t>
  </si>
  <si>
    <t>(b)(1) If adjustable to different positions, remain in the same adjustment position during the testing that it was in immediately before the testing, except as otherwise specified in paragraph (b)(2).</t>
  </si>
  <si>
    <t>See FMVSS S5.1.1(b)(2)(i)</t>
  </si>
  <si>
    <t>(2)(i) Subject to paragraph (b)(2)(ii), a rear-facing child restraint system may have a means for repositioning the seating surface of the system that allows the system’s occupant to move from a reclined position to an upright position and back to a reclined position during testing.</t>
  </si>
  <si>
    <t>See FMVSS S5.1.1(b)(2)(ii)</t>
  </si>
  <si>
    <t>Injury</t>
  </si>
  <si>
    <t>(ii) No opening that is exposed and is larger than 1⁄4 inch before the testing shall become smaller during the testing as a result of the movement of the seating surface relative to the restraint system as a whole.</t>
  </si>
  <si>
    <t>See FMVSS S5.1.1(c)</t>
  </si>
  <si>
    <t>(c) If a front facing child restraint system, not allow the angle between the system’s back support surfaces for the child and the system’s seating surface to be less than 45 degrees at the completion of the test.</t>
  </si>
  <si>
    <t>See FMVSS S5.1.2.1</t>
  </si>
  <si>
    <t>When tested in accordance with S6.1 and with the test dummies specified in S7, each child restraint system manufactured on or after August 1, 2005 shall’</t>
  </si>
  <si>
    <t>See FMVSS S5.1.2.1(a)</t>
  </si>
  <si>
    <t>(a) Limit the resultant acceleration at the location of the accelerometer mounted in the test dummy head such that, for any two points in time, t1 and t2, during the event which are separated by not more than a 36 millisecond time interval and where t1 is less than t2, the maximum calculated head injury criterion (HIC36) shall not exceed 1,000, determined using the resultant head acceleration at the center of gravity of the dummy head, are, expressed as a multiple of g (the acceleration of gravity), calculated using the expression:</t>
  </si>
  <si>
    <t>See FMVSS S5.1.2.1(b)</t>
  </si>
  <si>
    <t xml:space="preserve">(b) The resultant acceleration calculated from the output of the thoracic instrumentation shall not exceed 60 g’s, except for intervals whose cumulative duration is not more than 3 milliseconds. </t>
  </si>
  <si>
    <t>See FMVSS S5.1.2.2</t>
  </si>
  <si>
    <t>\At the manufacturer's option (with said option irrevocably selected prior to, or at the time of, certification of the restraint), child restraint systems manufactured before August 1, 2005 may be tested to the requirements of S5 while using the test dummies specified in S7.1.2 of this standard according to the criteria for selecting test dummies specified in that paragraph. That paragraph specifies the dummies used to test child restraint systems manufactured on or after August 1, 2005. If a manufacturer selects the dummies specified in S7.1.2 to test its product, the injury criteria specified by S5.1.2.1 of this standard must be met. Child restraints manufactured on or after August 1, 2005 must be tested using the test dummies specified in S7.1.2.</t>
  </si>
  <si>
    <t>See FMVSS S5.1.3</t>
  </si>
  <si>
    <t>S5.1.3 Occupant excursion. When tested in accordance with S6.1 and the requirements specified in this section, each child restraint system shall meet the applicable excursion limit requirements specified in S5.1.3.1–S5.1.3.3.</t>
  </si>
  <si>
    <t>Car Bed</t>
  </si>
  <si>
    <t>See FMVSS S5.1.3.1</t>
  </si>
  <si>
    <t xml:space="preserve">S5.1.3.1 Child restraint systems other than rear-facing ones and car beds. Each child restraint system, other than a rear-facing child restraint system or a car bed, shall retain the test dummy’s torso within the system. </t>
  </si>
  <si>
    <t>See FMVSS S5.1.3.1(a)</t>
  </si>
  <si>
    <t>(a) For each add-on child restraint system:</t>
  </si>
  <si>
    <t>Excursion</t>
  </si>
  <si>
    <t>See FMVSS S5.1.3.1(a)(1)</t>
  </si>
  <si>
    <t>(1) No portion of the test dummy’s head shall pass through a vertical transverse plane that is 720 mm or 813 mm (as specified in the table in this S5.1.3.1) forward of point Z on the standard seat assembly, measured along the center SORL (as illustrated in figure 1B of this standard); and</t>
  </si>
  <si>
    <t>See FMVSS S5.1.3.1(a)(2)</t>
  </si>
  <si>
    <t>(2) Neither knee pivot point shall pass through a vertical transverse plane that is 915 mm forward of point Z on the standard seat assembly, measured along the center SORL.</t>
  </si>
  <si>
    <t>Rotation</t>
  </si>
  <si>
    <t xml:space="preserve">See FMVSS S5.1.3.2 </t>
  </si>
  <si>
    <t>S5.1.3.2 Rear-facing child restraint systems. In the case of each rear-facing child restraint system, all portions of the test dummy’s torso shall be retained within the system and neither of the target points on either side of the dummy’s head and on the transverse axis passing through the center of mass of the dummy’s head and perpendicular to the head’s midsagittal plane, shall pass through the transverse orthogonal planes whose intersection contains the forward-most and top-most points on the child restraint system surfaces (illustrated in Figure 1C).</t>
  </si>
  <si>
    <t xml:space="preserve">See FMVSS S5.1.3.3 </t>
  </si>
  <si>
    <t xml:space="preserve">S5.1.3.3 Car beds. In the case of car beds, all portions of the test dummy’s head and torso shall be retained within the confines of the car bed. </t>
  </si>
  <si>
    <t xml:space="preserve">See FMVSS S5.1.4 </t>
  </si>
  <si>
    <t>S5.1.4 Back support angle. When a rear-facing child restraint system is tested in accordance with S6.1, the angle between the system’s back support surface for the child and the vertical shall not exceed 70 degrees.</t>
  </si>
  <si>
    <t>Size</t>
  </si>
  <si>
    <t xml:space="preserve">See FMVSS S5.2 </t>
  </si>
  <si>
    <t>S5.2 Force distribution.</t>
  </si>
  <si>
    <t>See FMVSS S5.2.1</t>
  </si>
  <si>
    <t>S5.2.1 Minimum head support surface—child restraints other than car beds.</t>
  </si>
  <si>
    <t>See FMVSS S5.2.1(a)</t>
  </si>
  <si>
    <t>Rated Not More Than 18 kg (40lbs), Minimum Regulated Back Height Must Be &gt; 500mm (19.7 inches)</t>
  </si>
  <si>
    <t>Rated More Than 18 kg (40lbs), Minimum Regulated Back Height Must Be &gt; 560mm (22.0 inches)</t>
  </si>
  <si>
    <t>Not More than 18kg, shall have a minimum back height of not less than 500mm. More than 18kg, shall have a minimum back height of not less than 560mm. Maximum back height to be defined by the product brief.</t>
  </si>
  <si>
    <t>See FMVSS S5.2.1(b)</t>
  </si>
  <si>
    <t>Back Width at Back Support Height Must be &gt; or = to 6 inches.</t>
  </si>
  <si>
    <t>If Back Width at Back Support Height &gt; = 8 inches, Wing Depth Must &gt; or = to CG of Appropriate Dummy Measured Perpendicular to the Back Surface.</t>
  </si>
  <si>
    <t>If Back Width at Back Support Height &lt; 8 and &gt; 6 inches, Wing Depth Must Be 4 inches &gt; or = forward of CG of Appropriate Dummy Measured Perpendicular to the Back Surface.</t>
  </si>
  <si>
    <t xml:space="preserve">See FMVSS S5.2.1.1 </t>
  </si>
  <si>
    <t>S5.2.1.1 Except as provided in S5.2.1.2, each child restraint system other than a car bed shall provide restraint against rearward movement of the head of the child (rearward in relation to the child) by means of a continuous seat back which is an integral part of the system and which—</t>
  </si>
  <si>
    <t>See FMVSS S5.2.1.1(a)</t>
  </si>
  <si>
    <t xml:space="preserve">(a) Has a height, measured along the system seat back surface for the child in the vertical longitudinal plane passing through the longitudinal centerline of the child restraint systems from the of the child restraint systems from the lowest point on the system seating surface that is contacted by the buttocks of the seated dummy, as follows: </t>
  </si>
  <si>
    <t>See FMVSS S5.2.1.1(a)(1)</t>
  </si>
  <si>
    <t>(1)When a child restraint system is recommended under S5.5 for use by children Not more than 18 kg. The height of the portion of the system seat back providing head restraint shall not be less than 500mm</t>
  </si>
  <si>
    <t>See FMVSS S5.2.1.1(a)(2)</t>
  </si>
  <si>
    <t>(2) When a child restraint system is recommended under S5.5 for use by children More than 18 kg. The height of the portion of the system seat back providing head restraint shall not be less than 560mm.</t>
  </si>
  <si>
    <t>See FMVSS S5.2.1.1(b)</t>
  </si>
  <si>
    <t>(b) Has a width of not less than 8 inches, measured in the horizontal plane at the height specified in paragraph (a) of this section. Except that a child restraint system with side supports extending at least 4 inches forward from the padded surface of the portion of the restraint system provided for support of the child’s head may have a width of not less than 6 inches, measured in the horizontal plane at the height specified in paragraph (a) of this section.</t>
  </si>
  <si>
    <t>Geometry</t>
  </si>
  <si>
    <t>See FMVSS S5.2.1.1(c)</t>
  </si>
  <si>
    <t>(c) Limits the rearward rotation of the test dummy head so that the angle between the head and torso of the dummy specified in S7. when tested in accordance with S6.1 is not more than 45 degrees greater than the angle between the head and torso after the dummy has been placed in the system in accordance with S6.1.2.3 and before the system is tested in accordance with S6.1.</t>
  </si>
  <si>
    <t>See FMVSS S5.2.1.2</t>
  </si>
  <si>
    <t>S5.2.1.2 The applicability of the requirements of S5.2.1.1 to a front-facing child restraint, and the conformance of any child restraint other than a car bed to those requirements, is determined using the largest of the test dummies specified in S7 for use in testing that restraint, provided that the 6-year-old dummy described in subpart I or subpart N of part 572 of this title and the 10-year-old dummy described in subpart T of part 572 of this title, are not used to determine the applicability of or compliance with S5.2.1.1. A front facing child restraint system is not required to comply with S5.2.1.1 if the target point on either side of the dummy’s head is below a horizontal plane tangent to the top of—</t>
  </si>
  <si>
    <t>See FMVSS S5.2.1.3(a)</t>
  </si>
  <si>
    <t>(a) The standard seat assembly, in the case of an add-on child restraint system, when the dummy is positioned in the system and the system is installed on the assembly in accordance with S6.1.2.</t>
  </si>
  <si>
    <t xml:space="preserve">See FMVSS S5.2.2 </t>
  </si>
  <si>
    <t xml:space="preserve">S5.2.2 Torso impact protection. Each child restraint system other than a car bed shall comply with the applicable requirements of S5.2.2.1 and S5.2.2.2. </t>
  </si>
  <si>
    <t>See FMVSS S5.2.2 (a)</t>
  </si>
  <si>
    <t>Forward Facing Child restraints have no requirement as long as the targets on the side of the head of the dummy is below a horizontal plane tangent to the top of vehicle seat</t>
  </si>
  <si>
    <t>See FMVSS S5.2.2(a)</t>
  </si>
  <si>
    <t>See FMVSS S5.2.2.1(a)</t>
  </si>
  <si>
    <t>S5.2.2.1(a) The system surface provided for the support of the child’s back shall be flat or concave and have a continuous surface area of not less than 85 square inches.</t>
  </si>
  <si>
    <t>See FMVSS S5.2.2.1(b)</t>
  </si>
  <si>
    <t>(b) Each system surface provided for support of the side of the child’s torso shall be flat or concave and have a continuous surface of not less than 24 square inches for systems recommended for children weighing 20 pounds or more, or 48 square inches for systems recommended for children weighing less than 20 pounds.</t>
  </si>
  <si>
    <t>See FMVSS S5.2.2.1(b), TP-213 C.6.2</t>
  </si>
  <si>
    <t>See FMVSS S5.2.2.1(c)</t>
  </si>
  <si>
    <t>(c) Each horizontal cross section of each system surface designed to restrain forward movement of the child’s torso shall be flat or concave and each vertical longitudinal cross section shall be flat or convex with a radius of curvature of the underlying structure of not less than 2 inches.</t>
  </si>
  <si>
    <t>See FMVSS S5.2.2.1(c) TP-213 C.6.3</t>
  </si>
  <si>
    <t>See FMVSS S5.2.2.2</t>
  </si>
  <si>
    <t xml:space="preserve">S5.2.2.2 Each forward-facing child restraint system shall have no fixed or movable surface— </t>
  </si>
  <si>
    <t>See FMVSS S5.2.2.2(a)</t>
  </si>
  <si>
    <t>(a) Directly forward of the dummy and intersected by a horizontal line—</t>
  </si>
  <si>
    <t>See FMVSS S5.2.2.2(a)(1)</t>
  </si>
  <si>
    <t>(1) Parallel to the SORL, in the case of the add-on child restraint system, or</t>
  </si>
  <si>
    <t>See FMVSS S5.2.2.2(a)(2)</t>
  </si>
  <si>
    <t>(2) Parallel to a vertical plane through the longitudinal center line of the vehicle seat, in the case of a built-in child restraint system, and,</t>
  </si>
  <si>
    <t>See FMVSS S5.2.2.2(b)</t>
  </si>
  <si>
    <t>(b) Passing through any portion of the dummy, except for surfaces which restrain the dummy when the system is tested in accordance with S6.1.2(a)(2), so that the child restraint system shall conform to the requirements of S5.1.2 and S5.1.3.1.</t>
  </si>
  <si>
    <t>Reserved</t>
  </si>
  <si>
    <t>See FMVSS S5.2.3</t>
  </si>
  <si>
    <t>S5.2.3 [Reserved]</t>
  </si>
  <si>
    <t>Protrusion</t>
  </si>
  <si>
    <t>See FMVSS S5.2.4</t>
  </si>
  <si>
    <t>S5.2.4 Protrusion limitation. Any portion of a rigid structural component within or underlying a contactable surface, or any portion of a child restraint system surface that is subject to the requirements of S5.2.3 shall, with any padding or other flexible overlay material removed, have a height above any immediately adjacent restraint system surface of not more than 3⁄8 inch and no exposed edge with a radius of less than 1⁄4 inch.</t>
  </si>
  <si>
    <t>See FMVSS S5.3</t>
  </si>
  <si>
    <t>S5.3 Installation.</t>
  </si>
  <si>
    <t xml:space="preserve">See FMVSS S5.3.1 </t>
  </si>
  <si>
    <t>S5.3.1 Add-on child restraints shall meet either (a) or (b), as appropriate.</t>
  </si>
  <si>
    <t>See FMVSS S5.3.1(a)</t>
  </si>
  <si>
    <t>(a) Except for components designed to attach to a child restraint anchorage system, each add-on child restraint system must not have any means designed for attaching the system to a vehicle seat cushion or vehicle seat back and any component (except belts) that is designed to be inserted between the vehicle seat cushion and vehicle seat back.</t>
  </si>
  <si>
    <t>See FMVSS S5.3.1(b)</t>
  </si>
  <si>
    <t>(b) Harnesses manufactured for use on school bus seats must meet S5.3.1(a) of this standard, unless a label that conforms in content to Figure 12 and to the requirements of S5.3.1(b)(1) through S5.3.1(b)(3) of this standard is permanently affixed to the part of the harness that attaches the system to a vehicle seat back. Harnesses that are not labeled as required by this paragraph must meet S5.3.1(a).</t>
  </si>
  <si>
    <t>See FMVSS S5.3.1(b)(1)</t>
  </si>
  <si>
    <t>(1) The label must be plainly visible when installed and easily readable.</t>
  </si>
  <si>
    <t>See FMVSS S5.3.1(b)(2)</t>
  </si>
  <si>
    <t xml:space="preserve">(2) The message area must be white with black text. The message area must be no less than 20 square centimeters. </t>
  </si>
  <si>
    <t>See FMVSS S5.3.1(b)(3)</t>
  </si>
  <si>
    <t>(3) The pictogram shall be gray and black with a red circle and slash on a white background. The pictogram shall be no less than 20 mm in diameter.</t>
  </si>
  <si>
    <t>See FMVSS S5.3.2</t>
  </si>
  <si>
    <t>S5.3.2 Each add-on child restraint system shall be capable of meeting the requirements of this standard when installed solely by each of the means indicated in the following table for the particular type of child restraint system:</t>
  </si>
  <si>
    <t xml:space="preserve">See FMVSS S5.3.3 </t>
  </si>
  <si>
    <t>S5.3.3 Car beds. Each car bed shall be designed to be installed on a vehicle seat so that the car bed’s longitudinal axis is perpendicular to a vertical longitudinal plane through the longitudinal axis of the vehicle.</t>
  </si>
  <si>
    <t>See FMVSS S5.4</t>
  </si>
  <si>
    <t>Test conditions and procedures</t>
  </si>
  <si>
    <t>S5.4 Belts, belt buckles, and belt webbing.</t>
  </si>
  <si>
    <t xml:space="preserve">See FMVSS S5.4.1 </t>
  </si>
  <si>
    <t>S5.4.1 Performance requirements on or after September 1, 2007. The webbing of belts provided with a child restraint system and used to attach the system to the vehicle or to restrain the child within the system shall—</t>
  </si>
  <si>
    <t>See FMVSS S5.4.1.2</t>
  </si>
  <si>
    <t>S5.4.1.2. ‘‘New webbing’’ means webbing that has not been exposed to abrasion, light or micro-organisms as specified elsewhere in this section.</t>
  </si>
  <si>
    <t>See FMVSS S5.4.1.2(b)(1)</t>
  </si>
  <si>
    <t>(b)(1) After being subjected to abrasion as specified in S5.1(d) or S5.3(c) of FMVSS 209 (§ 571.209), have a breaking strength of not less than 75 percent of the new webbing strength, when tested in accordance with S5.1(b) of FMVSS</t>
  </si>
  <si>
    <t>See FMVSS S5.4.1.2(b)(2)</t>
  </si>
  <si>
    <t>(2) A mass of 2.35 ±.05 kg shall be used in the test procedure in S5.1(d) of FMVSS 209 for webbing, including webbing to secure a child restraint system to the tether and lower anchorages of a child restraint anchorage system, except that a mass of 1.5 ±.05 kg shall be used for webbing in pelvic and upper torso restraints of a belt assembly used in a child restraint system. The mass is shown as (B) in Figure 2 of FMVSS 209.</t>
  </si>
  <si>
    <t xml:space="preserve">See FMVSS S5.4.1.2(c)(1) </t>
  </si>
  <si>
    <t>(c)(1) After exposure to the light of a carbon arc and tested by the procedure specified in S5.1(e) of FMVSS 209 (§ 571.209), have a breaking strength of not less than 60 percent of the new webbing, and shall have a color retention not less than No. 2 on the AATCC Gray Scale for Evaluating Change in Color (incorporated by reference, see § 571.5).</t>
  </si>
  <si>
    <t xml:space="preserve">See FMVSS S5.4.1.2(c)(2) </t>
  </si>
  <si>
    <t>(2) After being subjected to micro-organisms and tested by the procedures specified in S5.1(f) of FMVSS 209 (§571.209), shall have a breaking strength not less than 85 percent of the new webbing.</t>
  </si>
  <si>
    <t>See FMVSS S5.4.1.2(d)</t>
  </si>
  <si>
    <t>Width Specification</t>
  </si>
  <si>
    <t>(d) If contactable by the test dummy torso when the system is tested in accordance with S6.1, have a width of not less than 1-1⁄2 inches when measured in accordance with S5.4.1.3.</t>
  </si>
  <si>
    <t>See FMVSS S5.4.1.3</t>
  </si>
  <si>
    <t>S5.4.1.3 Width test procedure. Condition the webbing for 24 hours in an atmosphere of any relative humidity between 48 and 67 percent, and any ambient temperature between 70° and 77 °F. Measure belt webbing width under a tension of 5 pounds applied lengthwise. S5.4.2 Belt buckles and belt adjustment hardware. Each belt buckle and item of belt adjustment hardware used in a child restraint system shall conform to the requirements of S4.3(a) and S4.3(b) of FMVSS No. 209 (§ 571.209).</t>
  </si>
  <si>
    <t>See FMVSS S5.4.2(a)</t>
  </si>
  <si>
    <t>(a) Have a minimum breaking strength for new webbing of not less than 15,000 N in the case of webbing used to secure a child restraint system to the vehicle, including the tether and lower anchorages of a child restraint anchorage system, and not less than 11,000 N in the case of the webbing used to secure a child to a child restraint system when tested in accordance with S5.1 of FMVSS No. 209. Each value shall be not less than the 15,000 N and 11,000 N applicable breaking strength requirements, but the median value shall be used for determining the retention of breaking strength in paragraphs (b)(1), (c)(1), and (c)(2) of this section</t>
  </si>
  <si>
    <t>Restraint</t>
  </si>
  <si>
    <t>See FMVSS S5.4.3</t>
  </si>
  <si>
    <t>Securing the Child</t>
  </si>
  <si>
    <t>S5.4.3 Belt Restraint.</t>
  </si>
  <si>
    <t>See FMVSS S5.4.3.1</t>
  </si>
  <si>
    <t>S5.4.3.1 General. Each belt that is part of a child restraint system and that is designed to restrain a child using the system shall be adjustable to snugly fit any child whose height and weight are within the ranges recommended in accordance with S5.5.2(f) and who is positioned in the system in accordance with the instructions required by S5.6.</t>
  </si>
  <si>
    <t>See FMVSS S5.4.3.2</t>
  </si>
  <si>
    <t>S5.4.3.2 Direct restraint. Except for belt-positioning seats, each belt that is part of a child restraint system and that is designed to restrain a child using the system and to attach the system to the vehicle, and each Type I and lap portion of a Type II vehicle belt that is used to attach the system to the vehicle shall, when tested in accordance with S6.1, impose no loads on the child that result from the mass of the system, or—</t>
  </si>
  <si>
    <t>See FMVSS S5.4.3.2(a)</t>
  </si>
  <si>
    <t>(a) In the case of an add-on child restraint system, from the mass of the seat back of the standard seat assembly specified in S6.1, or</t>
  </si>
  <si>
    <t>See FMVSS S5.4.3.2(b)</t>
  </si>
  <si>
    <t>(b) In the case of a built-in child restraint system, from the mass of any part of the vehicle into which the child restraint system is built.</t>
  </si>
  <si>
    <t xml:space="preserve">See FMVSS S5.4.3.3 </t>
  </si>
  <si>
    <t>S5.4.3.3 Seating systems. Except for child restraint systems subject to</t>
  </si>
  <si>
    <t>See FMVSS S5.4.3.4</t>
  </si>
  <si>
    <t xml:space="preserve">S5.4.3.4, each child restraint system that is designed for use by a child in a seated position and that has belts designed to restrain the child, shall, with the test dummy specified in S7 positioned in the system in accordance with S10 provide: </t>
  </si>
  <si>
    <t>S5.4.3.4 Harnesses. Each child harness shall:</t>
  </si>
  <si>
    <t>See FMVSS S5.4.3.4(a)</t>
  </si>
  <si>
    <t>(a) Provide upper torso restraint, including belts passing over each shoulder of the child;</t>
  </si>
  <si>
    <t xml:space="preserve">See FMVSS S5.4.3.4(a) </t>
  </si>
  <si>
    <t>(a) Upper torso restraint in the form of:</t>
  </si>
  <si>
    <t>See FMVSS S5.4.3.4(a) (i)</t>
  </si>
  <si>
    <t>(i) Belts passing over each shoulder of the child, or</t>
  </si>
  <si>
    <t>See FMVSS S5.4.3.4(a) (ii)</t>
  </si>
  <si>
    <t>(ii) A fixed or movable surface that complies with S5.2.2.1(c), and</t>
  </si>
  <si>
    <t>See FMVSS S5.4.3.4(b)</t>
  </si>
  <si>
    <t>(b) Provide lower torso restraint by means of lap and crotch belt; and</t>
  </si>
  <si>
    <t>See FMVSS S5.4.3.4(c)</t>
  </si>
  <si>
    <t>(c) Prevent a child of any height for which the restraint is recommended for use pursuant to S5.5.2(f) from standing upright on the vehicle seat when the child is placed in the device in accordance with the instructions required by S5.6.</t>
  </si>
  <si>
    <t xml:space="preserve">See FMVSS S5.4.3.4b(b) </t>
  </si>
  <si>
    <t>(b) Lower torso restraint in the form of:</t>
  </si>
  <si>
    <t>See FMVSS S5.4.3.4b(b)(i)</t>
  </si>
  <si>
    <t>(i) A lap belt assembly making an angle between 45° and 90° with the child restraint seating surface at the lap belt attachment points, or</t>
  </si>
  <si>
    <t>See FMVSS S5.4.3.4b(b)(ii)</t>
  </si>
  <si>
    <t xml:space="preserve">See FMVSS S5.4.3.4b(c) </t>
  </si>
  <si>
    <t>(c) In the case of each seating system recommended for children whose masses are more than 10 kg, crotch restraint in the form of:</t>
  </si>
  <si>
    <t>See FMVSS S5.4.3.4b(c)(i)</t>
  </si>
  <si>
    <t>(i) A crotch belt connectable to the lap belt or other device used to restrain the lower torso, or</t>
  </si>
  <si>
    <t>See FMVSS S5.4.3.4b(c)(ii)</t>
  </si>
  <si>
    <t>See FMVSS S5.4.3.5</t>
  </si>
  <si>
    <t>Performance</t>
  </si>
  <si>
    <t>S5.4.3.5 Buckle release. Any buckle in a child restraint system belt assembly designed to restrain a child using the system shall:</t>
  </si>
  <si>
    <t>See FMVSS S5.4.3.5(a)</t>
  </si>
  <si>
    <t>(a) When tested in accordance with S6.2.1 prior to the dynamic test of S6.1, not release when a force of less than 40 newton's (N) is applied and shall release when a force of not more than 62 N is applied;</t>
  </si>
  <si>
    <t>See FMVSS S5.4.3.5(b)</t>
  </si>
  <si>
    <t xml:space="preserve">(b) After the dynamic test of S6.1, when tested in accordance with the appropriate sections of S6.2, release when a force of not more than 71 N is applied, provided, however, that the conformance of any child restraint to this requirement is determined using the largest of the test dummies specified in S7 for use in testing that restraint when the restraint is facing forward, rearward, and/or laterally; </t>
  </si>
  <si>
    <t>See FMVSS S5.4.3.5(c)</t>
  </si>
  <si>
    <t>(c) Meet the requirements of S4.3(d)(2) of FMVSS No. 209 (§ 571.209), except that the minimum surface area for child restraint buckles designed for push button application shall be 0.6 square inch;</t>
  </si>
  <si>
    <t>See FMVSS S5.4.3.5(d)</t>
  </si>
  <si>
    <t xml:space="preserve">(d) Meet the requirements of S4.3(g) of FMVSS No. 209 (§ 571.209) when tested in accordance with S5.2(g) of FMVSS No. 209; and </t>
  </si>
  <si>
    <t>See FMVSS S5.4.3.5(e)</t>
  </si>
  <si>
    <t>(e) Not release during the testing specified in S6.1.</t>
  </si>
  <si>
    <t>Labels</t>
  </si>
  <si>
    <t>See FMVSS S5.5</t>
  </si>
  <si>
    <t>S5.5 Labeling. Any labels or written</t>
  </si>
  <si>
    <t>Any labels or written instructions provided in addition to those required by this section shall not obscure or confuse the meaning of the required information or be otherwise misleading to the consumer. Any labels or written instructions other than in the English language shall be an accurate translation of English labels or written instructions.</t>
  </si>
  <si>
    <t>See FMVSS S5.5.1</t>
  </si>
  <si>
    <t>Each add-on child restraint system shall be permanently labeled with the information specified in S5.5.2 (a) through (m).</t>
  </si>
  <si>
    <t>See FMVSS S5.5.2</t>
  </si>
  <si>
    <t>The information specified in paragraphs (a) through (m) of this section shall be stated in the English language and lettered in letters and numbers that are not smaller than 10 point type. Unless otherwise specified, the information shall be labeled on a white background with black text. Unless written in all capitals, the information shall be stated in sentence capitalization.</t>
  </si>
  <si>
    <t>See FMVSS S5.5.2(a)</t>
  </si>
  <si>
    <t>The model name or number of the system.</t>
  </si>
  <si>
    <t>See FMVSS S5.5.2(b)</t>
  </si>
  <si>
    <t>The manufacturer’s name. A distributor’s name may be used instead if the distributor assumes responsibility for all duties and liabilities imposed on the manufacturer with respect to the system by the National Traffic and Motor Vehicle Safety Act, as amended.</t>
  </si>
  <si>
    <t>See FMVSS S5.5.2(c)</t>
  </si>
  <si>
    <t>The statement: "Manufactured in ________," inserting the month and year of manufacture.</t>
  </si>
  <si>
    <t>See FMVSS S5.5.2(d)</t>
  </si>
  <si>
    <t>The place of manufacture (city and State, or foreign country). However, if the manufacturer uses the name of the distributor, then it shall state the location (city and State, or foreign country) of the principal offices of the distributor.</t>
  </si>
  <si>
    <t>See FMVSS S5.5.2(e)</t>
  </si>
  <si>
    <t>The statement: "This child restraint system conforms to all applicable Federal motor vehicle safety standards."</t>
  </si>
  <si>
    <t>See FMVSS S5.5.2(f)</t>
  </si>
  <si>
    <t>One of the following statements, as appropriate, inserting the manufacturer’s recommendations for the maximum mass of children who can safely occupy the system, except that booster seats shall not be recommended for children whose masses are less than 13.6 kg. For seats that can only be used as belt-positioning seats, manufacturers must include the maximum and minimum recommended height, but may delete the reference to weight:</t>
  </si>
  <si>
    <t>See FMVSS S5.5.2(f)(1)</t>
  </si>
  <si>
    <t>Use only with children who weigh ____ pounds (____ kg) or less and whose height is (insert values in English and metric units; use of word ‘‘mass’’ in label is optional) or less; or</t>
  </si>
  <si>
    <t>See FMVSS S5.5.2(f)(2)</t>
  </si>
  <si>
    <t>Use only with children who weigh between ____ and ____ pounds (insert appropriate English and metric values; use of word ‘‘mass’’ is optional) and whose height is (insert appropriate values in English and metric units) or less and who are capable of sitting upright alone; or</t>
  </si>
  <si>
    <t>See FMVSS S5.5.2(f)(3)</t>
  </si>
  <si>
    <t>Use only with children who weigh between ____ and ____ pounds (insert appropriate English and metric values; use of word ‘‘mass’’ is optional) and whose height is (insert appropriate values in English and metric units) or less.</t>
  </si>
  <si>
    <t>See FMVSS S5.5.2(f)(4)</t>
  </si>
  <si>
    <t>Use only with children who weigh between ____ and ____ pounds (insert appropriate English and metric values; use of word “mass” is optional) and whose height is between ____ and ____ (insert appropriate values in English and metric units).</t>
  </si>
  <si>
    <t>See FMVSS S5.5.2(g)(1)</t>
  </si>
  <si>
    <t>A heading as specified in S5.5.2(k)(3)(i), with the statement WARNING! DEATH or SERIOUS INJURY can occur,’’ capitalized as written and followed by bulleted statements in the following order:</t>
  </si>
  <si>
    <t>See FMVSS S5.5.2(g)(1)(i)</t>
  </si>
  <si>
    <t>As appropriate, the statements required by the following sections will be bulleted and placed after the statement required by 5.5.2(g)(1) in the following order: 5.5.2(k)(1) or 5.5.2(k)(2), 5.5.2(f), 5.5.2(h), 5.5.2(j), and 5.5.2(i).</t>
  </si>
  <si>
    <t>See FMVSS S5.5.2(g)(1)(ii)</t>
  </si>
  <si>
    <t>Secure this child restraint with the vehicle's child restraint anchorage system, if available, or with a vehicle belt. [For car beds, harnesses, and belt positioning seats, the first part of the statement regarding attachment by the child restraint anchorage system is optional.] [For belt-positioning seats, the second part of the statement regarding attachment by the vehicle belt does not apply.] [For child restraints manufactured from February 27, 2014 to February 26, 2015, the following statement applies.] Child restraint systems equipped with internal harnesses to restrain the child and with components to attach to a child restraint anchorage system and for which the combined weight of the child restraint system and the maximum recommended child weight for use with internal harnesses exceeds 65 pounds, must be labeled with the following statement: “Do not use the lower anchors of the child restraint anchorage system (LATCH system) to attach this child restraint when restraining a child weighing more than * [*insert a recommended weight value in English and metric units such that the sum of the recommended weight value and the weight of the child restraint system does not exceed 65 pounds (29.5 kg)] with the internal harnesses of the child restraint.”</t>
  </si>
  <si>
    <t>See FMVSS S5.5.2(g)(1)(iii)</t>
  </si>
  <si>
    <t>Follow all instructions on this child restraint and in the written instructions located (insert storage location on the restraint for the manufacturer’s installation instruction booklet or sheet).</t>
  </si>
  <si>
    <t>See FMVSS S5.5.2(g)(1)(iv)</t>
  </si>
  <si>
    <t>Register your child restraint with the manufacturer.</t>
  </si>
  <si>
    <t>See FMVSS S5.5.2(g)(2)</t>
  </si>
  <si>
    <t>At the manufacturer’s option, the phrase ‘‘DEATH or SERIOUS INJURY can occur’’ in the heading can be on either a white or yellow background.</t>
  </si>
  <si>
    <t>See FMVSS S5.5.2(g)(3)</t>
  </si>
  <si>
    <t>More than one label may be used for the required bulleted statements. Multiple labels shall be placed one above the other unless that arrangement is precluded by insufficient space or shape of the child restraint. In that case, multiple labels shall be placed side by side. When using multiple labels, the mandated warnings must be in the correct order when read from top to bottom. If the labels are side-by-side, then the mandated warnings must appear top to bottom of the leftmost label, then top to bottom of the next label to its right, and so on. There shall be no intervening labels and the required heading shall only appear on the first label in the sequence.</t>
  </si>
  <si>
    <t>See FMVSS S5.5.2(h)</t>
  </si>
  <si>
    <t>In the case of each child restraint system that has belts designed to restrain children using them and which do not adjust automatically to fit the child; the statement: Snugly adjust the belts provided with this child restraint around your child.</t>
  </si>
  <si>
    <t>See FMVSS S5.5.2(i)(1)</t>
  </si>
  <si>
    <t>For a booster seat that is recommended for use with either a vehicle’s Type I or Type II seat belt assembly, one of the following statements, as appropriate:</t>
  </si>
  <si>
    <t>See FMVSS S5.5.2(i)(1)(i)</t>
  </si>
  <si>
    <t>Use only the vehicle’s lap and shoulder belt system when restraining the child in this booster seat; or,</t>
  </si>
  <si>
    <t>See FMVSS S5.5.2(i)(1)(ii)</t>
  </si>
  <si>
    <t>Use only the vehicle’s lap belt system, or the lap belt part of a lap/shoulder belt system with the shoulder belt placed behind the child, when restraining the child in this seat.</t>
  </si>
  <si>
    <t>See FMVSS S5.5.2(i)(2)(i)</t>
  </si>
  <si>
    <t>Except as provided in paragraph (i)(2)(ii) of this section, for a booster seat which is recommended for use with both a vehicle’s Type I and Type II seat belt assemblies, the following statement: Use only the vehicle’s lap belt system, or the lap belt part of a lap/shoulder belt system with the shoulder belt placed behind the child, when restraining the child with the (insert description of the system element provided to restrain forward movement of the child’s torso when used with a lap belt (e.g., shield)), and only the vehicle’s lap and shoulder belt system when using the booster without the (insert above description).</t>
  </si>
  <si>
    <t>See FMVSS S5.5.2(i)(2)(ii)</t>
  </si>
  <si>
    <t>A booster seat which is recommended for use with both a vehicle’s Type I and Type II seat belt assemblies is not subject to S5.5.2(i)(2)(i) if, when the booster is used with the shield or similar component, the booster will cause the shoulder belt to be located in a position other than in front of the child when the booster is installed. However, such a booster shall be labeled with a warning to use the booster with the vehicle’s lap and shoulder belt system when using the booster without a shield.</t>
  </si>
  <si>
    <t>See FMVSS S5.5.2(j)</t>
  </si>
  <si>
    <t>In the case of each child restraint system equipped with a top anchorage strap, the statement: Secure the top anchorage strap provided with this child restraint.</t>
  </si>
  <si>
    <t>See FMVSS S5.5.2(k)(1)</t>
  </si>
  <si>
    <t>In the case of each rear-facing child restraint system that is designed for infants only, the statement: Use only in a rear-facing position when using it in the vehicle.</t>
  </si>
  <si>
    <t>See FMVSS S5.5.2(k)(2)</t>
  </si>
  <si>
    <t>In the case of a child restraint system that is designed to be used rearward-facing for infants and forward-facing for older children, the statement: Use only in a rear-facing position when using it with an infant weighing less than (insert a recommended weight that is not less than 20 pounds).</t>
  </si>
  <si>
    <t>See FMVSS S5.5.2(k)(3)</t>
  </si>
  <si>
    <t>Except as provided in (k)(4) of this section, each child restraint system that can be used in a rear-facing position shall have a label that conforms in content to Figure 23 (below) and to the requirements of S5.5.2(k)(3)(i) through S5.5.2(k)(3)(iii) permanently affixed to the outer surface of the cushion or padding in or adjacent to the area where a child’s head would rest, so that the label is plainly visible and easily readable. The text reads: “WARNING. DO NOT place rear-facing child seat on front seat with air bag. DEATH OR SERIOUS INJURY can occur. The back seat is the safest place for children 12 and under.”</t>
  </si>
  <si>
    <t>See FMVSS S5.5.2(k)(3)(i)</t>
  </si>
  <si>
    <t>The heading area shall be yellow with the word ‘‘warning’’ and the alert symbol in black.</t>
  </si>
  <si>
    <t>See FMVSS S5.5.2(k)(3)(ii)</t>
  </si>
  <si>
    <t>The message area shall be white with black text. The message area shall be no less than 30 square cm.</t>
  </si>
  <si>
    <t>See FMVSS S5.5.2(k)(3)(iii)</t>
  </si>
  <si>
    <t>The pictogram shall be black with a red circle and slash on a white background. The pictogram shall be no less than 30 mm in diameter.</t>
  </si>
  <si>
    <t>See FMVSS S5.5.2(k)(4)</t>
  </si>
  <si>
    <t>If a child restraint system is equipped with a device that deactivates the passenger-side air bag in a vehicle when and only when the child restraint is installed in the vehicle and provides a signal, for at least 60 seconds after deactivation, that the air bag is deactivated, the label specified in Figure 23 (above) may include the phrase ‘‘unless air bag is off’’ after ‘‘on front seat with air bag.’’</t>
  </si>
  <si>
    <t>See FMVSS S5.5.2(l)</t>
  </si>
  <si>
    <t>An installation diagram showing the child restraint system installed in :</t>
  </si>
  <si>
    <t>See FMVSS S5.5.2(l)(1)</t>
  </si>
  <si>
    <t>A seating position equipped with a continuous-loop lap/shoulder belt;</t>
  </si>
  <si>
    <t>See FMVSS S5.5.2(l)(2)</t>
  </si>
  <si>
    <t>A seating position equipped with only a lap belt, as specified in the manufacturer’s instructions; and</t>
  </si>
  <si>
    <t>See FMVSS S5.5.2(l)(3)</t>
  </si>
  <si>
    <t>A seating position equipped with a child restraint anchorage system.</t>
  </si>
  <si>
    <t>See FMVSS S5.5.2(l)(3)(A)</t>
  </si>
  <si>
    <t>The CRS is manufactured on or after Feb 27, 2015, the weight of the CRS and maximum child weight recommended is greater than 65 lb., and the diagram includes the statement “Do not install by this method for a child weighing more than *”</t>
  </si>
  <si>
    <t>A maximum child weight is required on an installation diagram when the CRS+ child weight is greater than 65 lb. for CRS that are used with the internal harness and installed with lower anchors. The maximum weight on the label conforms to the limits established in S5.5.2(l)(3)(A)</t>
  </si>
  <si>
    <t>See FMVSS S5.5.2(l)(3)(B)</t>
  </si>
  <si>
    <t>Either: (1) separate diagrams are provided and labeled; or (2) only one diagram is applicable, provided, and labeled; or (3) two diagrams are applicable and the diagram shown contains the lesser of the permitted weights</t>
  </si>
  <si>
    <t>See FMVSS S5.5.3</t>
  </si>
  <si>
    <t>The information specified in S5.5.2(f) through (l) shall be located on the add-on child restraint system so that it is visible when the system is installed as specified in S5.6.1, except that for child restraints with a detachable base, the installation diagrams specified in S5.5.2(l) are required to be visible only when the base alone is installed.</t>
  </si>
  <si>
    <t>See FMVSS S5.6</t>
  </si>
  <si>
    <t>Printed Instructions for Proper Use. Any labels or written instructions provided in addition to those required by this section shall not obscure or confuse the meaning of the required information or be otherwise misleading to the consumer. Any labels or written instructions other than in the English language shall be an accurate translation of English labels or written instructions. Unless written in all capitals, the information required by S5.6.1 through S5.6.3 shall be stated in sentence capitalization.</t>
  </si>
  <si>
    <t>See FMVSS S5.6.1</t>
  </si>
  <si>
    <t>Add-on child restraint systems. Each add-on child restraint system shall be accompanied by printed installation instructions in English that provide a step-by-step procedure, including diagrams, for installing the system in motor vehicles, securing the system in the vehicles, positioning a child in the system, and adjusting the system to fit the child. For each child restraint system that has components for attaching to a tether anchorage or a child restraint anchorage system, the installation instructions shall include a step-by-step procedure, including diagrams, for properly attaching to that anchorage or system.</t>
  </si>
  <si>
    <t>See FMVSS S5.6.1.1</t>
  </si>
  <si>
    <t>In a vehicle with rear designated seating positions, the instructions shall alert vehicle owners that, according to accident statistics, children are safer when properly restrained in the rear seating positions than in the front seating positions.</t>
  </si>
  <si>
    <t>See FMVSS S5.6.1.10(a)</t>
  </si>
  <si>
    <t>For instructions for a booster seat that is recommended for use with either a vehicle's Type I or Type II seat belt assembly, one of the following statements, as appropriate, and the reasons for the statement:</t>
  </si>
  <si>
    <t>See FMVSS S5.6.1.10(a)(1)</t>
  </si>
  <si>
    <t>Warning! Use only the vehicle's lap and shoulder belt system when restraining the child in this booster seat; or,</t>
  </si>
  <si>
    <t>See FMVSS S5.6.1.10(a)(2)</t>
  </si>
  <si>
    <t>Warning! Use only the vehicle's lap belt system, or the lap belt part of a lap/shoulder belt system with the shoulder belt placed behind the child, when restraining the child in this seat.</t>
  </si>
  <si>
    <t>See FMVSS S5.6.1.10(b)(1)</t>
  </si>
  <si>
    <t>Except as provided in S5.6.1.10(b)(2), the instructions for a booster seat that is recommended for use with both a vehicle's Type I and Type II seat belt assemblies shall include the following statement and the reasons therefor: Warning! Use only the vehicle's lap belt system, or the lap belt part of a lap/shoulder belt system with the shoulder belt placed behind the child, when restraining the child with the ( insert description of the system element provided to restrain forward movement of the child's torso when used with a lap belt (e.g., shield )), and only the vehicle's lap and shoulder belt system when using this booster without the ( insert above description ).</t>
  </si>
  <si>
    <t>See FMVSS S5.6.1.10(b)(2)</t>
  </si>
  <si>
    <t>A booster seat which is recommended for use with both a vehicle's Type I and Type II seat belt assemblies is not subject to S5.6.1.10(b)(1) if, when the booster is used with the shield or similar component, the booster will cause the shoulder belt to be located in a position other than in front of the child when the booster is installed. However, the instructions for such a booster shall include a warning to use the booster with the vehicle's lap and shoulder belt system when using the booster without a shield.</t>
  </si>
  <si>
    <t>See FMVSS S5.6.1.10(c)</t>
  </si>
  <si>
    <t>The instructions for belt-positioning seats shall include the statement, “This restraint is not certified for aircraft use,” and the reasons for this statement.</t>
  </si>
  <si>
    <t>See FMVSS S5.6.1.12(a)</t>
  </si>
  <si>
    <t>CRS manufactured from Feb. 27, 2014 to Feb. 26, 2015. The instructions for child restraint systems equipped with an internal harness to restrain the child and with components to attach to a child restraint anchorage system, and for which the combined weight of the child restraint system and the maximum recommended child weight for use with internal harnesses exceeds 65 pounds, must include the following statement: “Do not use the lower anchors of the child restraint anchorage system (LATCH system) to attach this child restraint when restraining a child weighing more than __ *__ [*insert a recommended weight value in English and metric units such that the sum of the recommended weight value and the weight of the child restraint system does not exceed 65 pounds (29.5 kg)] with the internal harnesses of the child restraint.”</t>
  </si>
  <si>
    <t>See FMVSS S5.6.1.12(b)</t>
  </si>
  <si>
    <t>CRS manufactured on or after Feb. 27, 2015. If the child restraint is designed to meet the requirement of this standard when installed by the lower anchors, the installation diagram meets S5.5.2(l)(3).</t>
  </si>
  <si>
    <t>See FMVSS S5.6.1.2</t>
  </si>
  <si>
    <t>The instructions shall specify in general terms the types of vehicles, the types of seating positions, and the types of vehicle safety belts with which the add-on child restraint system can or cannot be used.</t>
  </si>
  <si>
    <t>See FMVSS S5.6.1.3</t>
  </si>
  <si>
    <t>The instructions shall explain the primary consequences of not following the warnings required to be labeled on the child restraint system in accordance with S5.5.2 (g) through</t>
  </si>
  <si>
    <t>See FMVSS S5.6.1.4</t>
  </si>
  <si>
    <t>The instructions for each car bed shall explain that the car bed should position in such a way that the child's head is near the center of the vehicle.</t>
  </si>
  <si>
    <t>See FMVSS S5.6.1.5</t>
  </si>
  <si>
    <t>The instructions shall state that add-on child restraint systems should be securely belted to the vehicle, even when they are not occupied, since in a crash an unsecured child restraint system may injure other occupants.</t>
  </si>
  <si>
    <t>See FMVSS S5.6.1.6</t>
  </si>
  <si>
    <t>Each add-on child restraint system shall have a location on the restraint for storing the manufacturer's instructions.</t>
  </si>
  <si>
    <t>See FMVSS S5.6.1.7</t>
  </si>
  <si>
    <t>One of the following statements, inserting an address and a U.S. telephone number. If a manufacturer opts to provide a Web site on the registration card as permitted in Figure 24, the manufacturer must include the statement in part (ii):</t>
  </si>
  <si>
    <t>See FMVSS S5.6.1.7(i)</t>
  </si>
  <si>
    <t>“Child restraints could be recalled for safety reasons. You must register this restraint to be reached in a recall. Send your name, address, e-mail address if available (preceding four words are optional), and the restraint's model number and manufacturing date to ( insert address ) or call ( insert a U.S. telephone number ). For recall information, call the U.S. Government's Vehicle Safety Hotline at 1-888-327-4236 (TTY: 1-800-424-9153), or go to http://www.NHTSA.gov. ”</t>
  </si>
  <si>
    <t>See FMVSS S5.6.1.7(ii)</t>
  </si>
  <si>
    <t>“Child restraints could be recalled for safety reasons. You must register this restraint to be reached in a recall. Send your name, address, e-mail address if available (preceding four words are optional), and the restraint's model number and manufacturing date to ( insert address ) or call ( insert telephone number ) or register online at ( insert Web site for electronic registration form ). For recall information, call the U.S. Government's Vehicle Safety Hotline at 1-888-327-4236 (TTY: 1-800-424-9153), or go to http://www.NHTSA.gov</t>
  </si>
  <si>
    <t>See FMVSS S5.6.1.8</t>
  </si>
  <si>
    <t>In the case of each child restraint system that can be used in a position so that it is facing the rear of the vehicle, the instructions shall provide a warning against using rear-facing restraints at seating positions equipped with air bags, and shall explain the reasons for, and consequences of not following the warning. The instructions shall also include a statement that owners of vehicles with front passenger side air bags should refer to their vehicle owner's manual for child restraint installation instructions.</t>
  </si>
  <si>
    <t>See FMVSS S5.6.1.9</t>
  </si>
  <si>
    <t>In the case of each rear-facing child restraint system that has a means for repositioning the seating surface of the system that allows the system's occupant to move from a reclined position to an upright position during testing, the instructions shall include a warning against impeding the ability of the restraint to change adjustment position.</t>
  </si>
  <si>
    <t>See FMVSS S5.6.3</t>
  </si>
  <si>
    <t>Add-on and built-in child restraint systems. In the case of each child restraint system that has belts designed to restrain children using them and which do not adjust automatically to fit the child, the printed instructions shall include the following statement: A snug strap should not allow any slack. It lies in a relatively straight line without sagging. It does not press on the child's flesh or push the child's body into an unnatural position.</t>
  </si>
  <si>
    <t>Registration</t>
  </si>
  <si>
    <t>See FMVSS S5.8</t>
  </si>
  <si>
    <t>Information requirements—attached registration form and electronic registration form.</t>
  </si>
  <si>
    <t>See FMVSS S5.8.1</t>
  </si>
  <si>
    <t>Attached registration form</t>
  </si>
  <si>
    <t>See FMVSS S5.8.1(a)</t>
  </si>
  <si>
    <t>Each child restraint system, except a factory-installed built-in restraint system, shall have a registration form attached to any surface of the restraint that contacts the dummy when the dummy is positioned in the system in accordance with S6.1.2 of Standard 213.</t>
  </si>
  <si>
    <t>See FMVSS S5.8.1(b)</t>
  </si>
  <si>
    <t>Each attached form shall:</t>
  </si>
  <si>
    <t>See FMVSS S5.8.1(b)(1)</t>
  </si>
  <si>
    <t>Consist of a postcard that is attached at a perforation to an informational card;</t>
  </si>
  <si>
    <t>See FMVSS S5.8.1(b)(2)</t>
  </si>
  <si>
    <t>Conform in size, content and format to Figure 24; and</t>
  </si>
  <si>
    <t>See FMVSS S5.8.1(b)(3)</t>
  </si>
  <si>
    <t>Have a thickness of at least 0.007 inches and not more than 0.0095 inches.</t>
  </si>
  <si>
    <t>See FMVSS S5.8.1(c)</t>
  </si>
  <si>
    <t>Each postcard shall provide the model name or number and date of manufacture (month, year) of the child restraint system to which the form is attached, shall contain space for the purchaser to record his or her name, mailing address, and at the manufacturer's option, e-mail address, shall be addressed to the manufacturer, and shall be postage paid. No other information shall appear on the postcard, except identifying information that distinguishes a particular child restraint system from other systems of that model name or number may be preprinted in the shaded area of the postcard, as shown in 24.</t>
  </si>
  <si>
    <t>See FMVSS S5.8.1(d)</t>
  </si>
  <si>
    <t>Manufacturers may voluntarily provide a web address on the informational card enabling owners to register child restraints online, provided that the Web address is a direct link to the electronic registration form meeting the requirements of S5.8.2 of this section.</t>
  </si>
  <si>
    <t>See FMVSS S5.8.2</t>
  </si>
  <si>
    <t>Electronic registration form</t>
  </si>
  <si>
    <t>See FMVSS S5.8.2(a)</t>
  </si>
  <si>
    <t>Each electronic registration form must meet the requirements of this S5.8.2. Each form shall:</t>
  </si>
  <si>
    <t>See FMVSS S5.8.2(a)(1)</t>
  </si>
  <si>
    <t>Contain the following statements at the top of the form:</t>
  </si>
  <si>
    <t>See FMVSS S5.8.2(a)(1)(i)</t>
  </si>
  <si>
    <t>“FOR YOUR CHILD'S CONTINUED SAFETY” (Displayed in bold type face, caps, and minimum 12 point type.)</t>
  </si>
  <si>
    <t>See FMVSS S5.8.2(a)(1)(ii)</t>
  </si>
  <si>
    <t>“Although child restraint systems undergo testing and evaluation, it is possible that a child restraint could be recalled.” (Displayed in bold typeface, caps and lower case, and minimum 12 point type.)</t>
  </si>
  <si>
    <t>See FMVSS S5.8.2(a)(1)(iii)</t>
  </si>
  <si>
    <t>“In case of a recall, we can reach you only if we have your name and address, so please fill in the registration form to be on our recall list.” (Displayed in bold typeface, caps and lower case, and minimum 12 point type.)</t>
  </si>
  <si>
    <t>See FMVSS S5.8.2(a)(1)(iv)</t>
  </si>
  <si>
    <t>“In order to properly register your child restraint system, you will need to provide the model number, serial number and date of manufacture. This information is printed on the registration card and can also be found on a white label located on the back of the child restraint system.” (Displayed in bold typeface, caps and lower case, and minimum 12 point type.)</t>
  </si>
  <si>
    <t>See FMVSS S5.8.2(a)(1)(v)</t>
  </si>
  <si>
    <t>See FMVSS S5.8.2(a)(2)</t>
  </si>
  <si>
    <t>Provide as required registration fields, space for the purchaser to record the model name or number and date of manufacture (month, year) of the child restraint system, and space for the purchaser to record his or her name and mailing address. At the manufacturer's option, a space is provided for the purchaser to record his or her e-mail address</t>
  </si>
  <si>
    <t>Attachment</t>
  </si>
  <si>
    <t>See FMVSS S5.9(a)</t>
  </si>
  <si>
    <t>This add-on child restraint system (excluding car beds, harnesses, and belt-positioning seats) has a permanently attached anchorage system having components that enable the restraint to be securely fastened to the lower anchorages. The anchorage system has components which can only be removed with a tool, such as a screwdriver. Note: If this is a rear-facing child restraint system with a detachable base, then only the base is required to have the components.</t>
  </si>
  <si>
    <t>See FMVSS S5.9(b)</t>
  </si>
  <si>
    <t>This child restraint system has components for attaching the system to a tether anchorage, and those components include a tether hook that conforms to the configuration and geometry specified in Figure 22.</t>
  </si>
  <si>
    <t>See FMVSS S5.9(c)</t>
  </si>
  <si>
    <t>This child restraint system has adjustable components for attaching the system to a tether anchorage or to lower anchors to allow the restraint to be tightened to the vehicle.</t>
  </si>
  <si>
    <t>See FMVSS S5.9(d)</t>
  </si>
  <si>
    <t>If the anchorage system on this child restraint system has components, other than hooks, that enable the restraint to be securely fastened to the lower anchorages, it provides either an indication when each attachment to the lower anchorage becomes fully latched or attached, or provides a visual indication that all attachments to the lower anchorages are fully latched or attached. Visual indications are detectable under normal daylight lighting conditions.</t>
  </si>
  <si>
    <t>See FMVSS S6</t>
  </si>
  <si>
    <t>S6. Test conditions and procedures.</t>
  </si>
  <si>
    <t>See FMVSS S6.1</t>
  </si>
  <si>
    <t>S6.1 Dynamic systems test for child restraint systems. The test conditions described in S6.1.1 apply to the dynamic systems test. The test procedure for the dynamic systems test is specified in S6.1.2. The test dummy specified in S7 is placed in the test specimen (child restraint), clothed as described in S9 and positioned according to S10.</t>
  </si>
  <si>
    <t>See FMVSS S6.1.1</t>
  </si>
  <si>
    <t>S6.1.1 Test conditions.</t>
  </si>
  <si>
    <t>See FMVSS S6.1.1(a)</t>
  </si>
  <si>
    <t>(a) Test devices.</t>
  </si>
  <si>
    <t>See FMVSS S6.1.1(a)(1)</t>
  </si>
  <si>
    <t>(1) Add-on child restraints.</t>
  </si>
  <si>
    <t>See FMVSS S6.1.1(a)(1)(i)</t>
  </si>
  <si>
    <t>(i) [Reserved]</t>
  </si>
  <si>
    <t>See FMVSS S6.1.1(a)(1)(ii)</t>
  </si>
  <si>
    <t>Sled Test Bench Drawings</t>
  </si>
  <si>
    <t>(ii) The test device for add-on restraint systems manufactured on or after August 1, 2005 is a standard seat assembly consisting of a simulated vehicle bench seat, with three seating positions, which is depicted in Drawing Package, ‘‘NHTSA Standard Seat Assembly; FMVSS No. 213, No. NHTSA–213–2003,’’ (consisting of drawings and a bill of materials) dated June 3, 2003 (incorporated by reference; see § 571.5). The assembly is mounted on a dynamic test platform so that the center SORL of the seat is parallel to the direction of the test platform travel and so that movement between the base of the assembly and the platform is prevented.</t>
  </si>
  <si>
    <t>See FMVSS S6.1.1(b)(1)</t>
  </si>
  <si>
    <t>Sled Test Speed and Pulse</t>
  </si>
  <si>
    <t>(1) Test Configuration I, are at a velocity change of 48 km/h with the acceleration of the test platform entirely within the curve shown in Figure 2A (for child restraints manufactured on or after August 1, 2005)</t>
  </si>
  <si>
    <t>See FMVSS S6.1.1(c)</t>
  </si>
  <si>
    <t>Car Seat Installation</t>
  </si>
  <si>
    <t>(c) As illustrated in Figures 1A and 1B of this standard, attached to the seat belt anchorage points provided on the standard seat assembly are Type 1 seat belt assemblies in the case of add-on child restraint systems other than belt-positioning seats, or Type 2 seat belt assemblies in the case of belt-positioning seats. These seat belt assemblies meet the requirements of Standard No. 209 (§ 571.209) and have webbing with a width of not more than 2 inches, and are attached to the anchorage points without the use of retractors or reels of any kind. As illustrated in Figures 1A’’ and 1B’’ of this standard, attached to the standard seat assembly is a child restraint anchorage system conforming to the specifications of Standard No. 225 (§ 571.225), in the case of add-on child restraint systems other than belt-positioning booster seats.</t>
  </si>
  <si>
    <t>See FMVSS S6.1.1(d)(1)</t>
  </si>
  <si>
    <t>Laboratory Environment</t>
  </si>
  <si>
    <t>(d)(1) When using the test dummy specified in 49 CFR part 572, subparts I and K, performance tests under S6.1 are conducted at any ambient temperature from 19 °C to 26 °C and at any relative humidity from 10 percent to 70 percent.</t>
  </si>
  <si>
    <t>See FMVSS S6.1.1(d)(2)</t>
  </si>
  <si>
    <t>(2) When using the test dummies specified in 49 CFR part 572, subparts N, P, R or T, performance tests under S6.1 are conducted at any ambient temperature from 20.6 °C to 22.2 °C and at any relative humidity from 10 percent to 70 percent.</t>
  </si>
  <si>
    <t>See FMVSS S6.1.1(e)</t>
  </si>
  <si>
    <t>Dummy Installation</t>
  </si>
  <si>
    <t xml:space="preserve">(e) In the case of add-on child restraint systems, the restraint shall meet the requirements of S5 at each of its seat back angle adjustment positions and restraint belt routing positions, when the restraint is oriented in the direction recommended by the manufacturer (e.g., forward, rearward or laterally) pursuant to S5.6, and tested with the test dummy specified in S7. </t>
  </si>
  <si>
    <t>See FMVSS S6.1.2</t>
  </si>
  <si>
    <t>S6.1.2 Dynamic test procedure.</t>
  </si>
  <si>
    <t>See FMVSS S6.1.2(a)</t>
  </si>
  <si>
    <t>(a) Attach the add-on child restraint to the seat assembly as described below:</t>
  </si>
  <si>
    <t>See FMVSS S6.1.2(a)(1)</t>
  </si>
  <si>
    <t>(1) Test configuration I.</t>
  </si>
  <si>
    <t>See FMVSS S6.1.2(a)(1)(i)</t>
  </si>
  <si>
    <t>(i) Child restraints other than belt-positioning seats. Attach the child restraint in any of the following manners specified in S6.1.2(a)(1)(i)(A) through (D), unless otherwise specified in this standard.</t>
  </si>
  <si>
    <t>See FMVSS S6.1.2(a)(1)(i)(A)</t>
  </si>
  <si>
    <t>S6.1.2(a)(1)(i)(A) ...... Head 813 mm; ..........Knee 915 mm When attached with lap belt; in addition, if a tether is provided, it is attached. Harnesses labeled per S5.3.1(b)(i) through S5.3.1(b)(iii) and Figure 12.</t>
  </si>
  <si>
    <t>S6.1.2(a)(1)(i)(A) ...... Head 813 mm; ..........Knee 915 mm When attached with seat back mount.</t>
  </si>
  <si>
    <t>(A) Install the child restraint system at the center seating position of the standard seat assembly, in accordance with the manufacturer’s instructions provided with the system pursuant to S5.6.1, except that the standard lap belt is used and, if provided, a tether strap may be used. For harnesses that bear the label shown in Figure 12 and that meet S5.3.1(b)(1) through S5.3.1(b)(3), attach the harness in the manufacturer’s instructions provided accordance with with the system pursuant to S5.6.1, i.e., the seat back mount is used.</t>
  </si>
  <si>
    <t xml:space="preserve">See FMVSS S6.1.2(a)(1)(i)(A) </t>
  </si>
  <si>
    <t>S6.1.2(a)(1)(i)(A) ...... Head 720 mm; ..........Knee 915 mm Attached with lap belt; in addition, if a tether is provided, it is attached.</t>
  </si>
  <si>
    <t>See FMVSS S6.1.2(a)(1)(i)(B)</t>
  </si>
  <si>
    <t>S6.1.2(a)(1)(i)(B) ...... Head 813 mm; ..........Knee 915 mm Attached with lap belt; no tether is attached.</t>
  </si>
  <si>
    <t>S6.1.2(a)(1)(i)(B) ...... Head 813 mm; ..........Knee 915 mm Attached to lower anchorages of child restraint anchorage system; no tether is attached.</t>
  </si>
  <si>
    <t>(B) Except for a child harness, a backless child restraint system with a tether strap, and a restraint designed for use by physically handicapped children, install the child restraint system at the center seating position of the standard seat assembly as in S6.1.2(a)(1)(i)(A), except that no tether strap (or any other supplemental device) is used.</t>
  </si>
  <si>
    <t>See FMVSS S6.1.2(a)(1)(i)(C)</t>
  </si>
  <si>
    <t>S6.1.2(a)(1)(i)(C) ...... Head 720 mm; ..........Knee 915 mm Attached to lower anchorages of child restraint anchorage system; in addition, if a tether is provided, it is attached.</t>
  </si>
  <si>
    <t>(C) Install the child restraint system using the child restraint anchorage system at the center seating position of the standard seat assembly in accordance with the manufacturer’s instructions provided with the system pursuant to S5.6.1. The tether strap, if one is provided, is attached to the tether anchorage.</t>
  </si>
  <si>
    <t>See FMVSS S6.1.2(a)(1)(i)(D)</t>
  </si>
  <si>
    <t>(D) Install the child restraint system using only the lower anchorages of the child restraint anchorage system as in S6.1.2(a)(1)(i)(C). No tether strap (or any other supplemental device) is used.</t>
  </si>
  <si>
    <t>See FMVSS S6.1.2(a)(1)(ii)</t>
  </si>
  <si>
    <t>S6.1.2(a)(1)(ii) .......... Head 813 mm; ..........Knee 915 mm Belt-positioning seats when attached with lap and shoulder belt; no tether is attached.</t>
  </si>
  <si>
    <t>(ii) Belt-positioning seats. A belt-positioning seat is attached to either outboard seating position of the standard seat assembly in accordance with the manufacturer’s instructions provided with the system pursuant to S5.6.1 using only the standard vehicle lap and shoulder belt and no tether (or any other supplemental device). Place the belt-positioning seat on the standard seat assembly such that the center plane of the belt-positioning seat is parallel and aligned to the center plane of the outboard seating positions on the standard seat assembly and the base of the belt-positioning seat is flat on the standard seat assembly cushion. Move the belt-positioning seat rearward on the standard seat assembly until some part of the belt-positioning seat touches the  standard seat assembly back. Keep the belt-positioning seat and the seating position center plane aligned as much as possible. Apply 133 N (30 pounds) of force to the front of the belt-positioning seat rearward into the standard seat assembly and release.</t>
  </si>
  <si>
    <t>See FMVSS S6.1.2(a)(2)</t>
  </si>
  <si>
    <t>(2) Test configuration II. (i) In the case of each add-on child restraint system which is equipped with a fixed or movable surface described in S5.2.2.2, or a backless child restraint system with a top anchorage strap, install the add-on child restraint system at the center seating position of the standard seat assembly using only the standard seat lap belt to secure the system to the standard seat.</t>
  </si>
  <si>
    <t>See FMVSS S6.1.2(b)</t>
  </si>
  <si>
    <t>(b) Select any dummy specified in S7 for testing systems for use by children of the heights and weights for which the system is recommended in accordance with S5.5. The dummy is assembled, clothed and prepared as specified in S7 and S9 and Part 572 of this chapter, as appropriate.</t>
  </si>
  <si>
    <t>See FMVSS S6.1.2(c)</t>
  </si>
  <si>
    <t xml:space="preserve">(c) Place the dummy in the child restraint. Position it, and attach the child restraint belts, if appropriate, as specified in S10. </t>
  </si>
  <si>
    <t>See FMVSS S6.1.2(d)</t>
  </si>
  <si>
    <t>(d) Belt adjustment.</t>
  </si>
  <si>
    <t>See FMVSS S6.1.2(d)(1)</t>
  </si>
  <si>
    <t>(1) Add-on systems other than belt-positioning seats.</t>
  </si>
  <si>
    <t>See FMVSS S6.1.2(d)(1)(i)</t>
  </si>
  <si>
    <t>(i) If appropriate, shoulder and pelvic belts that directly restrain the dummy shall be adjusted as follows: Tighten the belts until a 9 N force applied (as illustrated in figure 5) to the webbing at the top of each dummy shoulder and to the pelvic webbing 50 mm on either side of the torso midsagittal plane pulls the webbing 7 mm from the dummy.</t>
  </si>
  <si>
    <t>See FMVSS S6.1.2(d)(1)(ii)</t>
  </si>
  <si>
    <t xml:space="preserve">(ii) All Type I belt systems used to attach an add-on child restraint system to the standard seat assembly, and any provided additional anchorage belt (tether), are tightened to a tension of not less than 53.5 N and not more than 67 N, as measured by a load cell used on the webbing portion of the belt. All belt systems used to attach a harness that bears the label shown in Figure 12 and that meets S5.3.1(b)(i) through S5.3.1(b)(iii) are also tightened to a tension of not less than 53.5 N and not more than 67 N, by measurement means specified in this paragraph. </t>
  </si>
  <si>
    <t>See FMVSS S6.1.2(d)(1)(iii)</t>
  </si>
  <si>
    <t>(iii) When attaching a child restraint system to the tether anchorage and the child restraint anchorage system on the standard seat assembly, tighten all belt systems used to attach the restraint to the standard seat assembly to a tension of not less than 53.5 N and not more than 67 N, as measured by a load cell or other suitable means used on the webbing portion of the belt.</t>
  </si>
  <si>
    <t>See FMVSS S6.1.2(d)(2)</t>
  </si>
  <si>
    <t>(2) Add-on belt-positioning seats.</t>
  </si>
  <si>
    <t>See FMVSS S6.1.2(d)(2)(i)</t>
  </si>
  <si>
    <t>(i) The lap portion of Type II belt systems used to restrain the dummy is tightened to a tension of not less than 9 N (2 pounds) and not more than 18 N (4 pounds).</t>
  </si>
  <si>
    <t>See FMVSS S6.1.2(d)(2)(ii)</t>
  </si>
  <si>
    <t>(ii) The shoulder portion of Type II belt systems used to restrain the dummy is tightened to a tension of not less than 9 N (2 pounds) and not more than 18 N (4 pounds).</t>
  </si>
  <si>
    <t>See FMVSS S6.1.2(e)</t>
  </si>
  <si>
    <t>(e) Accelerate the test platform to simulate frontal impact in accordance with Test Configuration 2A.</t>
  </si>
  <si>
    <t>See FMVSS S6.1.2(f)</t>
  </si>
  <si>
    <t>(f) Determine conformance with the requirements in S5.1.</t>
  </si>
  <si>
    <t>See FMVSS S6.2</t>
  </si>
  <si>
    <t>S6.2 Buckle release test procedure. The belt assembly buckles used in any child restraint system shall be tested in accordance with S6.2.1 through S6.2.4 inclusive.</t>
  </si>
  <si>
    <t>See FMVSS S6.2.1</t>
  </si>
  <si>
    <t>S6.2.1 Before conducting the testing specified in S6.1, place the loaded buckle on a hard, flat, horizontal surface. Each belt end of the buckle shall be pre-loaded in the following manner. The anchor end of the buckle shall be loaded with a 9 N force in the direction away from the buckle. In the case of buckles designed to secure a single latch plate, the belt latch plate end of the buckle shall be pre-loaded with a 9 N force in the direction away from the buckle. In the case of buckles designed to secure two or more latch plates, the belt latch plate ends of the buckle shall be loaded equally so that the total load is 9 N, in the direction away from the buckle. For pushbutton-release buckles, the release force shall be applied by a conical surface (cone angle not exceeding  90 degrees). For pushbutton-release mechanisms with a fixed edge (referred to in Figure 7 as ‘‘hinged button’’), the release force shall be applied at the centerline of the button, 3 mm away from the movable edge directly opposite the fixed edge, and in the direction that produces maximum releasing effect. For pushbutton-release mechanisms with no fixed edge (referred to in Figure 7 as ‘‘floating button’’), the release force shall be applied at the center of the release mechanism in the direction that produces the maximum releasing effect. For all other buckle release mechanisms, the force shall be applied on the centerline of the buckle lever or finger tab in the direction that produces the maximum releasing effect. Measure the force required to release the buckle. Figure 7 illustrates the loading for the different buckles and the point where the release force should be applied, and Figure 8 illustrates the conical surface used to apply the release force to pushbutton release buckles.</t>
  </si>
  <si>
    <t>See FMVSS S6.2.2</t>
  </si>
  <si>
    <t>S6.2.2 After completion of the testing specified in S6.1 and before the buckle is unlatched, tie a self-adjusting sling to each wrist and ankle of the test dummy in the manner illustrated in Figure 4, without disturbing the belted dummy and the child restraint system.</t>
  </si>
  <si>
    <t>See FMVSS S6.2.3</t>
  </si>
  <si>
    <t>S6.2.3 Pull the sling tied to the dummy restrained in the child restraint system and apply the following force: 50 N for a system tested with a newborn dummy (49 CFR part 572, subpart K); 90 N for a system tested with a 12-month-old dummy (49 CFR part 572, subpart R); 200 N for a system tested with a 3-year-old dummy (49 CFR part 572, subpart P); 270 N for a system tested with a 6-year-old dummy (49 CFR part 572, subpart N or I); 350 N for a system tested with a weighted 6-yearold dummy (49 CFR part 572, subpart S); or 437 N for a system tested with a 10-year-old dummy (49 CFR part 572, subpart T). The force is applied in the manner illustrated in Figure 4 and as follows:</t>
  </si>
  <si>
    <t>See FMVSS S6.2.3(a)</t>
  </si>
  <si>
    <t>(a) Add-on Child Restraints. For an add-on child restraint other than a car add-on child restraint other than a car bed, apply the specified force by pulling the sling horizontally and parallel to the SORL of the standard seat assembly. For a car bed, apply the force by pulling the sling vertically.</t>
  </si>
  <si>
    <t>See FMVSS S6.2.4</t>
  </si>
  <si>
    <t xml:space="preserve">S6.2.4 While applying the force specified in S6.2.3, and using the device shown in Figure 8 for pushbutton-release buckles, apply the release force in the manner and location specified in S6.2.1, for that type of buckle. Measure the force required to release the buckle. </t>
  </si>
  <si>
    <t>See FMVSS S6.3</t>
  </si>
  <si>
    <t>S6.3 [Reserved]</t>
  </si>
  <si>
    <t>See FMVSS S7</t>
  </si>
  <si>
    <t>S7 Test dummies. (Subparts referenced in this section are of part 572 of this chapter.) S7.1 Dummy selection. Select any dummy specified in S7.1.1, S7.1.2 or S7.1.3, as appropriate, for testing systems for use by children of the height and mass for which the system is recommended in accordance with S5.5. A child restraint that meets the criteria in two or more of the following paragraphs in S7 may be tested with any of the test dummies specified in those paragraphs.</t>
  </si>
  <si>
    <t>See FMVSS S7.1.1</t>
  </si>
  <si>
    <t>S7.1.1 [Reserved]</t>
  </si>
  <si>
    <t>See FMVSS S7.1.2</t>
  </si>
  <si>
    <t>S7.1.2 Child restraints that are manufactured on or after August 1, 2005, are subject to the following provisions and S7.1.3.</t>
  </si>
  <si>
    <t>(a) A child restraint that is recommended by its manufacturer in accordance with S5.5 for use either by children in a specified mass range that includes any children having a mass of not greater than 5 kg, or by children in a specified height range that includes any children whose height is not greater than 650 mm, is tested with a newborn test dummy conforming to part 572 subpart K.</t>
  </si>
  <si>
    <t>(b) A child restraint that is recommended by its manufacturer in accordance with S5.5 for use either by children in a specified mass range that includes any children having a mass greater than 5 but not greater than 10 kg, or by children in a specified height range that includes any children whose height is greater than 650 mm but not greater than 850 mm, is tested with a newborn test dummy conforming to part 572 subpart K, and a 12-month-old test dummy conforming to part 572 subpart R.</t>
  </si>
  <si>
    <t>See FMVSS S7.1.2(c)</t>
  </si>
  <si>
    <t>(c) A child restraint that is recommended by its manufacturer in accordance with S5.5 for use either by children in a specified mass range that includes any children having a mass greater than 10 kg but not greater than 18 kg, or by children in a specified height range that includes any children whose height is greater than 850 mm but not greater than 1100 mm, is tested with a 12-month-old test dummy conforming to part 572 subpart R, and a 3-year-old test dummy conforming to part 572 subpart P and S7.2, provided, however, that the 12-month-old dummy is not used to test a booster seat.</t>
  </si>
  <si>
    <t>(d) A child restraint that is recommended by its manufacturer in accordance with S5.5 for use either by children in a specified mass range that includes any children having a mass greater than 18 kg (40 lb) but not greater than 22.7 (50 lb), or by children in a specified height range that includes any children whose height is greater than 1100 mm but not greater than 1250 mm is tested with a 49 CFR part 572, subpart N dummy (Hybrid III 6-yearold dummy).</t>
  </si>
  <si>
    <t>(e) A child restraint that is recommended by its manufacturer in accordance with S5.5 for use either by children in a specified mass range that includes any children having a mass greater than 22.7 kg (50 lb) but not greater than 30 kg (65 lb) or by children in a specified height range that includes any children whose height is greater than 1100 mm but not greater than 1250 mm is tested with a 49 CFR part 572, subpart N dummy (Hybrid III 6-year-old dummy) and with a part 572, subpart S dummy (Hybrid III 6-year-old weighted dummy).</t>
  </si>
  <si>
    <t>(f) A child restraint that is recommended by its manufacturer in accordance with S5.5 for use either by children in a specified mass range that includes any children having a mass greater than 30 kg (65 lb) or by children in a specified height range that includes any children whose height is greater than 1250 mm is tested with a 49 CFR part 572, subpart T dummy (Hybrid III 10-year-old dummy).</t>
  </si>
  <si>
    <t>See FMVSS S7.1.3</t>
  </si>
  <si>
    <t>S7.1.3 Voluntary use of alternative dummies. At the manufacturer’s option (with said option irrevocably selected prior to, or at the time of, certification of the restraint), when this section specifies use of the 49 CFR part 572, subpart N (Hybrid III 6-year-old dummy) test dummy, the test dummy specified in 49 CFR part 572, subpart I (Hybrid II 6-year-old dummy) may be used in place of the subpart N test dummy.</t>
  </si>
  <si>
    <t>See FMVSS S8</t>
  </si>
  <si>
    <t>S8 Requirements, test conditions, and procedures for child restraint systems manufactured for use in aircraft. Each child restraint system manufactured for use in both motor vehicles and aircraft must comply with all of the applicable requirements specified in Section S5 and with the additional requirements specified in S8.1 and S8.2.</t>
  </si>
  <si>
    <t>See FMVSS S8.1</t>
  </si>
  <si>
    <t>Aircraft Installation Instructions</t>
  </si>
  <si>
    <t>Each child restraint system manufactured for use in aircraft shall be accompanied by printed instructions in English that provide a step-by-step procedure, including diagrams, for installing the system in aircraft passenger seats, securing a child in the system when it is installed in an aircraft, and adjusting the system to fit the child.</t>
  </si>
  <si>
    <t>S8.1 Installation instructions. Each child restraint system manufactured for use in aircraft shall be accompanied by printed instructions in English that provide a step-by-step procedure, including diagrams, for installing the system in aircraft passenger seats, securing a child in the system when it is installed in aircraft, and adjusting the system to fit the child.</t>
  </si>
  <si>
    <t>See FMVSS S8.2</t>
  </si>
  <si>
    <t xml:space="preserve">S8.2 Inversion test. When tested in accordance with S8.2.1 through S8.2.5, each child restraint system manufactured for use in aircraft shall meet the requirements of S8.2.1 through S8.2.6. The manufacturer may, at its option, use any seat which is a representative aircraft passenger seat within the meaning of S4. Each system shall meet the requirements at each of the restraint’s seat back angle adjustment positions and restraint belt routing positions, when the restraint is oriented in the direction recommended by the manufacturer (e.g., facing forward, rearward or laterally) pursuant to S8.1, and tested with the test dummy specified in S7. If the manufacturer recommendations do not include instructions for orienting the restraint in aircraft when the restraint seat back angle is adjusted to any position, position the restraint on the aircraft seat by following the instructions (provided in accordance with S5.6) for orienting the restraint in motor vehicles. </t>
  </si>
  <si>
    <t>See FMVSS S8.2.1</t>
  </si>
  <si>
    <t>S8.2.1 A standard seat assembly consisting of a representative aircraft passenger seat shall be positioned and adjusted so that its horizontal and vertical orientation and its seat back angle are the same as shown in Figure 6.</t>
  </si>
  <si>
    <t>See FMVSS S8.2.2</t>
  </si>
  <si>
    <t>S8.2.2 The child restraint system shall be attached to the representative aircraft passenger seat using, at the manufacturer’s option, any Federal Aviation Administration approved aircraft safety belt, according to the restraint manufacturer’s instructions for attaching the restraint to an aircraft seat. No supplementary anchorage belts or tether straps may be attached; however, Federal Aviation Administration approved safety belt extensions may be used.</t>
  </si>
  <si>
    <t>See FMVSS S8.2.3</t>
  </si>
  <si>
    <t xml:space="preserve">S8.2.3 In accordance with S10, place in the child restraint any dummy specified in S7 for testing systems for use by children of the heights and weights for which the system is recommended in accordance with S5.5 and S8.1. </t>
  </si>
  <si>
    <t>See FMVSS S8.2.4</t>
  </si>
  <si>
    <t>S8.2.4 If provided, shoulder and pelvic belts that directly restrain the dummy shall be adjusted in accordance with S6.1.2.</t>
  </si>
  <si>
    <t>See FMVSS S8.2.5</t>
  </si>
  <si>
    <t>S8.2.5 The combination of representative aircraft passenger seat, child restraint, and test dummy shall be rotated forward around a horizontal axis which is contained in the median transverse vertical plane of the seating surface portion of the aircraft seat and is located 25 mm below the bottom of the seat frame, at a speed of 35 to 45 degrees per second, to an angle of 180 degrees. The rotation shall be stopped when it reaches that angle and the seat shall be held in this position for three seconds. The child restraint shall not fall out of the aircraft safety belt nor shall the test dummy fall out of the child restraint at any time during the rotation or the three second period. The specified rate of rotation shall be attained in not less than one half second  and not more than one second, and the rotating combination shall be brought to a stop in not less than one half second and not more than one second.</t>
  </si>
  <si>
    <t>See FMVSS S8.2.6</t>
  </si>
  <si>
    <t>S8.2.6 Repeat the procedures set forth in S8.2.1 through S8.2.4. The combination of the representative aircraft passenger seat, child restraint, and test dummy shall be rotated sideways around a horizontal axis which is contained in the median longitudinal vertical plane of the seating surface portion of the aircraft seat and is located 25 mm below the bottom of the seat frame, at a speed of 35 to 45 degrees per second, to an angle of 180 degrees. The rotation shall be stopped when it reaches that angle and the seat shall be held in this position for three seconds. The child restraint shall not fall out of the aircraft safety belt nor shall the test dummy fall out of the child restraint at any time during the rotation or the three second period. The specified rate of rotation shall be attained in not less than one half second and not more than one second, and the rotating combination shall be brought to a stop in not less than one half second and not more than one second.</t>
  </si>
  <si>
    <t>See FMVSS S9</t>
  </si>
  <si>
    <t>Dummy Clothing</t>
  </si>
  <si>
    <t>S9 Dummy clothing and preparation.</t>
  </si>
  <si>
    <t>See FMVSS S9.1</t>
  </si>
  <si>
    <t>S9.1 Type of clothing.</t>
  </si>
  <si>
    <t>See FMVSS S9.1(a)</t>
  </si>
  <si>
    <t>(a) Newborn dummy. When used in testing under this standard, the dummy is unclothed.</t>
  </si>
  <si>
    <t>See FMVSS S9.1(b)</t>
  </si>
  <si>
    <t>(b) [Reserved]</t>
  </si>
  <si>
    <t>See FMVSS S9.1(c)</t>
  </si>
  <si>
    <t>(c) 12-month-old dummy (49 CFR part 572, subpart R). When used in testing under this standard, the dummy specified in 49 CFR part 572, subparts R, is clothed in a cotton-polyester based tight fitting sweat shirt with long sleeves and ankle long pants whose combined weight is not more than 0.25 kg.</t>
  </si>
  <si>
    <t>See FMVSS S9.1(d)</t>
  </si>
  <si>
    <t>(d) Hybrid II three-year-old and Hybrid II six-year-old dummies (49 CFR part 572, subparts C and I). When used in testing under this standard, the dummies specified in 49 CFR part 572, subparts C and I, are clothed in thermal knit, waffleweave polyester and cotton underwear or equivalent, a size 4 long-sleeved shirt (3-year-old dummy) or a size 5 long-sleeved shirt (6-year-old dummy) having a mass of 0.090 kg, a size 4 pair of long pants having a mass of 0.090 kg, and cut off just far enough above the knee to allow the knee target to be visible, and size 7M sneakers (3-yearold dummy) or size 121⁄2M sneakers (6- year-old dummy) with rubber toe caps, uppers of dacron and cotton or nylon and a total mass of 0.453 kg.</t>
  </si>
  <si>
    <t>See FMVSS S9.1(e)</t>
  </si>
  <si>
    <t>(e) Hybrid III 3-year-old dummy (49CFR part 572, subpart P). When used in testing under this standard, the dummy specified in 49 CFR Part 572, Subpart P, is clothed as specified in that subpart, except that the shoes are children’s size 8 canvas oxford style sneakers weighing not more than 0.26 kg each.</t>
  </si>
  <si>
    <t>See FMVSS S9.1(f)</t>
  </si>
  <si>
    <t xml:space="preserve">(f) Hybrid III 6-year-old dummy (49 CFR part 572, subpart N) and Hybrid III 6-year-old weighted dummy (49 CFR part 572, subpart S), and Hybrid III 10-yearold When used in testing under this standard, the dummies specified in 49 CFR part 572, subparts N and S, are clothed as specified in subpart N and with child or youth size 13 M sneakers weighing not more than 0.45 kg each. When used in testing under this standard, the dummy specified in 49 CFR part 572, subpart T, is clothed as specified in subpart T and with youth size 3 sneakers weighing not more than 0.6 kg each. </t>
  </si>
  <si>
    <t>See FMVSS S9.2</t>
  </si>
  <si>
    <t xml:space="preserve">S9.2 Preparing clothing. Clothing other than the shoes is machinedwashed in 71 °C to 82 °C and machinedried at 49 °C to 60 °C for 30 minutes. </t>
  </si>
  <si>
    <t>See FMVSS S9.3</t>
  </si>
  <si>
    <t>Lab Enviroment</t>
  </si>
  <si>
    <t>S9.3 Preparing dummies. (Subparts referenced in this section are of Part 572 of this chapter.)</t>
  </si>
  <si>
    <t>See FMVSS S9.3.1</t>
  </si>
  <si>
    <t>S9.3.1 When using the test dummies conforming to part 572 C, I, or K, prepare the dummies as specified in this paragraph. Before being used in testing under this standard, dummies must be conditioned at any ambient temperature from 19 ° C to 25.5 ° C and at any relative humidity from 10 percent to 70 percent, for at least 4 hours.</t>
  </si>
  <si>
    <t>See FMVSS S9.3.2</t>
  </si>
  <si>
    <t xml:space="preserve">S9.3.2 When using the test dummies conforming to part 572 subparts N, P, R, S or T, prepare the dummies as specified in this paragraph. Before being used in testing under this standard, dummies must be conditioned at any ambient temperature from 20.6° to 22.2°C and at any relative humidity from 10 percent to 70 percent, for at least 4 hours. </t>
  </si>
  <si>
    <t>See FMVSS S10</t>
  </si>
  <si>
    <t>Crash Test Setup</t>
  </si>
  <si>
    <t>S10 Positioning the dummy and attaching the system belts.</t>
  </si>
  <si>
    <t>See FMVSS S10.1</t>
  </si>
  <si>
    <t>S10.1 Car beds. Place the test dummy in the car bed in the supine position with its midsagittal plane perpendicular to the center SORL of the standard seat assembly, in the case of an add-on car bed, or perpendicular to the longitudinal axis of the specific vehicle shell or the specific vehicle, in the case of a built-in car bed. Position the dummy within the car bed in accordance with the instructions for child positioning that the bed manufacturer child positioning that the bed manufacturer provided with the bed in accordance with S5.6.</t>
  </si>
  <si>
    <t>See FMVSS S10.2</t>
  </si>
  <si>
    <t>S10.2 Restraints other than car beds.</t>
  </si>
  <si>
    <t>See FMVSS S10.2.1</t>
  </si>
  <si>
    <t>S10.2.1 Newborn dummy and 12- month-old dummy. Position the test dummy according to the instructions for child positioning that the manufacturer provided with the system under S5.6.1 or S5.6.2, while conforming to the following:</t>
  </si>
  <si>
    <t>See FMVSS S10.2.1(a)</t>
  </si>
  <si>
    <t>(a) [Reserved]</t>
  </si>
  <si>
    <t>See FMVSS S10.2.1(b)(2)</t>
  </si>
  <si>
    <t>(b)(1) [Reserved]</t>
  </si>
  <si>
    <t>(2) When testing rear-facing child restraint systems, place the newborn, or 12-month-old dummy in the child restraint system so that the back of the dummy torso contacts the back support surface of the system. For a child restraint system which is equipped with a fixed or movable surface described in S5.2.2.2 which is being tested under the conditions of test configuration II, do not attach any of the child restraint belts unless they are an integral part of the fixed or movable surface. For all other child restraint systems and for a child restraint system with a fixed or movable surface which is being tested under the conditions of test configuration I, attach all appropriate child restraint belts and tighten them as specified in S6.1.2. Attach all appropriate vehicle belts and tighten them as specified in S6.1.2. Position each movable surface in accordance with the instructions that the manufacturer provided under S5.6.1 or S5.6.2. If the dummy’s head does not remain in the proper position, tape it against the front of the seat back surface of the system by means of a single thickness of 6 mm-wide paper masking tape placed across the center of the dummy’s face.</t>
  </si>
  <si>
    <t>See FMVSS S10.2.1(c)(1)(i)</t>
  </si>
  <si>
    <t xml:space="preserve">(c)(1)(i) When testing forward-facing child restraint systems, extend the arms of the 12-month old test dummy as far as possible in the upward vertical direction. Extend the legs of the 12-month-old test dummy as far as possible in the forward horizontal direction, with the dummy feet perpendicular to the centerline of the lower legs. Using a flat square surface with an area of 2,580 square mm, apply a force of 178 N, perpendicular to: </t>
  </si>
  <si>
    <t>See FMVSS S10.2.1(c)(1)(i)(A)</t>
  </si>
  <si>
    <t xml:space="preserve">(A) The plane of the back of the standard seat assembly, in the case of an add-on system, or </t>
  </si>
  <si>
    <t>See FMVSS S10.2.1(c)(1)(i)(B)</t>
  </si>
  <si>
    <t>(B) The back of the vehicle seat in the specific vehicle shell or the specific vehicle, in the case of a built-in system, first against the dummy crotch and then at the dummy thorax in the midsagittal plane of the dummy. For a child restraint system with a fixed or movable surface described in S5.2.2.2, which is being tested under the conditions of test configuration II, do not attach any of the child restraint belts unless they are an integral part of the fixed or movable surface. For all other child restraint systems and for a child restraint system with a fixed or movable under the conditions of test configuration I, attach all appropriate child restraint belts and tighten them as specified in S6.1.2. Attach all appropriate vehicle belts and tighten them as specified in S6.1.2. Position each movable surface in accordance with the instructions that the manufacturer provided under S5.6.1 or S5.6.2.</t>
  </si>
  <si>
    <t>See FMVSS S10.2.1(c)(1)(ii)</t>
  </si>
  <si>
    <t>(ii) After the steps specified in paragraph (c)(1)(i) of this section, rotate each dummy limb downwards in the plane parallel to the dummy’s midsagittal plane until the limb contacts a surface of the child restraint system or the standard seat assembly, in the case of an add-on system, or the specific vehicle shell or specific vehicle, in the case of a built-in system, as appropriate. Position the limbs, if necessary, so that limb placement does not inhibit torso or head movement in tests conducted under S6.</t>
  </si>
  <si>
    <t>See FMVSS S10.2.1(c)(2)</t>
  </si>
  <si>
    <t xml:space="preserve"> (2) When testing rear-facing child restraint systems, extend the dummy’s arms vertically upwards and then rotate each arm downward toward the dummy’s lower body until the arm contacts a surface of the child restraint system or the standard seat assembly in the case of an add-on child restraint system, or the specific vehicle shell or the specific vehicle, in the case of a built-in child restraint system. Ensure that no arm is restrained from movement in other than the downward direction, by any part of the system or the standard seat assembly, the specific shell, or the specific vehicle.</t>
  </si>
  <si>
    <t>See FMVSS S10.2.2</t>
  </si>
  <si>
    <t xml:space="preserve">S10.2.2 Other dummies generally. When using: (1) the Hybrid III 3-yearold (part 572, subpart P), Hybrid II 6- year-old (part 572, subpart I), and Hybrid III weighted 6-year-old (part 572, subpart S) in child restraint systems including belt-positioning seats; (2) the Hybrid III 6-year-old (part 572, subpart N) and the Hybrid III 10-year-old (part 572, subpart T) in child restraint systems other than belt-positioning seats, position the dummy in accordance with S5.6.1 or S5.6.2, while conforming to the following: </t>
  </si>
  <si>
    <t>See FMVSS S10.2.2(a)</t>
  </si>
  <si>
    <t>(a) Holding the test dummy torso upright until it contacts the system’s design seating surface, place the test dummy in the seated position within the system with the midsagittal plane of the test dummy head—</t>
  </si>
  <si>
    <t>See FMVSS S10.2.2(a)(1)</t>
  </si>
  <si>
    <t xml:space="preserve">(1) Coincident with the center SORL of the standard seating assembly, in the case of the add-on child restraint system, or system. </t>
  </si>
  <si>
    <t>See FMVSS S10.2.2(a)(2)</t>
  </si>
  <si>
    <t xml:space="preserve">(2) Vertical and parallel to the longitudinal center line of the specific vehicle, in the case of a built-in child restraint </t>
  </si>
  <si>
    <t>See FMVSS S10.2.2(b)</t>
  </si>
  <si>
    <t>(b) Extend the arms of the test dummy as far as possible in the upward vertical direction. Extend the legs of the dummy as far as possible in the forward horizontal direction, with the dummy feet perpendicular to the center line of the lower legs.</t>
  </si>
  <si>
    <t>See FMVSS S10.2.2(c)</t>
  </si>
  <si>
    <t>(c) Using a flat square surface with an area of 2580 square millimeters, apply a force of 178 N, perpendicular to:</t>
  </si>
  <si>
    <t>See FMVSS S10.2.2(c)(1)</t>
  </si>
  <si>
    <t>(1) The plane of the back of the standard seat assembly, in the case of an add-on system, or</t>
  </si>
  <si>
    <t>See FMVSS S10.2.2(c)(2)</t>
  </si>
  <si>
    <t>(2) The back of the vehicle seat in the specific vehicle shell or the specific vehicle, in the case of a built-in system, first against the dummy crotch and then at the dummy thorax in the midsagittal plane of the dummy. For a child restraint system with a fixed or movable surface described in S5.2.2.2, which is being tested under the conditions of test configuration II, do not attach any of the child restraint belts unless they are an integral part of the fixed or movable surface. For all other child restraint systems and for a child restraint system with a fixed or movable surface which is being tested under the conditions of test configuration I, attach all appropriate child restraint belts and tighten them as specified in S6.1.2. Attach all appropriate vehicle belts and tighten them as specified in S6.1.2. Position each movable surface in accordance with the instructions that the manufacturer provided under S5.6.1 or S5.6.2.</t>
  </si>
  <si>
    <t>See FMVSS S10.2.2(d)</t>
  </si>
  <si>
    <t>(d) After the steps specified in paragraph (c) of this section, rotate each dummy limb downwards in the plane parallel to the dummy’s midsagittal plane until the limb contacts a surface of the child restraint system or the standard seat assembly, in the case of an add-on system, or the specific vehicle shell or specific vehicle, in the case of a built-in system, as appropriate. Position the limbs, if necessary, so that limb placement does not inhibit torso or head movement in tests conducted under S6.</t>
  </si>
  <si>
    <t>See FMVSS S10.2.3</t>
  </si>
  <si>
    <t>S10.2.3 Hybrid III 6-year-old in beltpositioning seats and Hybrid III 10-yearold in belt-positioning seats. When using the Hybrid III 6-year-old (part 572, subpart N) or the Hybrid III 10-year-old (part 572, subpart T) in belt-positioning seats, position the dummy in accordance with S5.6.1 or S5.6.2, while conforming to the following:</t>
  </si>
  <si>
    <t>See FMVSS S10.2.3(a)</t>
  </si>
  <si>
    <t>(a) Prepare the dummy.</t>
  </si>
  <si>
    <t>See FMVSS S10.2.3(a)(1)</t>
  </si>
  <si>
    <t>(1) When usingthe Hybrid III 10-year-old dummy, prepare the dummy according to the following:</t>
  </si>
  <si>
    <t>See FMVSS S10.2.3(a)(1)(i)</t>
  </si>
  <si>
    <t>(i) Set the dummy’s neck angle at the SP–16 setting (‘‘SP’’ means standard procedure), see Figure 14a.</t>
  </si>
  <si>
    <t>See FMVSS S10.2.3(a)(1)(ii)</t>
  </si>
  <si>
    <t>(ii) Set the dummy’s lumbar angle at the SP–12 setting, see Figure 14b. This is done by aligning the notch on the lumbar adjustment bracket with the SP–12 notch on the lumbar attachment.</t>
  </si>
  <si>
    <t>See FMVSS S10.2.3(a)(1)(iii)</t>
  </si>
  <si>
    <t>(iii) Adjust the limb joints to 1–2 g while the torso is in the seated position.</t>
  </si>
  <si>
    <t>See FMVSS S10.2.3(a)(1)(iv)</t>
  </si>
  <si>
    <t>(iv) Apply double-sided tape to the surface of a lap shield, which is a piece of translucent silicone rubber 3 mm ±0.5 mm thick (50A durometer) cut to the dimensions specified in Figure 13. Place the lap shield on the pelvis of the dummy. Align the top of the lap shield with the superior anterior edge of the pelvis skin. Attach the lap shield to the dummy.</t>
  </si>
  <si>
    <t>See FMVSS S10.2.3(a)(1)(v)</t>
  </si>
  <si>
    <t xml:space="preserve">(v) Apply double-sided tape to one side of a pelvis positioning pad, which in each of the three dimensions) piece of closed cell (Type 2 according to ASTM D–1056–07) (incorporated by reference; see § 571.5) foam or rubber cut from material having the following specifications: compression resistance between 9 to 17 psi in a compression-deflection test specified in ASTM D–1056–07 (incorporated by reference; see § 571.5), and a density of 7 to 12.5 lb/ft3. Center the long axis of the pad on the posterior of the pelvis with the top edge of the foam aligned with the superior edge of the pelvis skin. Attach the pelvis positioning pad to the dummy. </t>
  </si>
  <si>
    <t>See FMVSS S10.2.3(a)(1)(vi)</t>
  </si>
  <si>
    <t>(vi) Dress and prepare the dummy according to S9.</t>
  </si>
  <si>
    <t>See FMVSS S10.2.3(a)(2)</t>
  </si>
  <si>
    <t>(2) When using the Hybrid III 6-yearold dummy, prepare the dummy according to the following:</t>
  </si>
  <si>
    <t>See FMVSS S10.2.3(a)(2)(i)</t>
  </si>
  <si>
    <t>(i) If necessary, adjust the limb joints to 1–2 g while the torso is in the seated position.</t>
  </si>
  <si>
    <t>See FMVSS S10.2.3(a)(2)(ii)</t>
  </si>
  <si>
    <t>(ii) Apply double-sided tape to the surface of a lap shield, which is a piece of translucent silicone rubber 3 mm thick ±0.5 mm thick (50A durometer) cut to the dimensions specified in Figure 13. Place the lap shield on the pelvis of the dummy. Align the top of the lap shield with the superior anterior edge of the pelvis skin. Attach the lap shield to the dummy.</t>
  </si>
  <si>
    <t>See FMVSS S10.2.3(a)(2)(iii)</t>
  </si>
  <si>
    <t>(iii) Dress and prepare the dummy according to S9.</t>
  </si>
  <si>
    <t>See FMVSS S10.2.3(b)</t>
  </si>
  <si>
    <t>(b) Position the belt-positioning seat according to S6.1.2(a)(1)(ii).</t>
  </si>
  <si>
    <t>See FMVSS S10.2.3(c)</t>
  </si>
  <si>
    <t>(c) Position the dummy in the beltpositioning seat.</t>
  </si>
  <si>
    <t>See FMVSS S10.2.3(c)(1)</t>
  </si>
  <si>
    <t>(1) Place the dummy on the seat cushion of the belt-positioning seat such that the plane of the posterior pelvis is parallel to the plane of the seat back of the belt-positioning seat, standard seat assembly or vehicle seat back, but not touching. Pick up and move the dummy rearward, maintaining the parallel planes, until the pelvis positioning pad, if used, or the pelvis or back of the dummy and the back of the belt-positioning seat or the back of the standard seat assembly, are in minimal contact.</t>
  </si>
  <si>
    <t>See FMVSS S10.2.3(c)(2)</t>
  </si>
  <si>
    <t>(2) Straighten and align the arm segments horizontally, then rotate the arms upward at the shoulder as far as possible without contacting the beltpositioning seat. Straighten and align the legs horizontally and extend the lower legs as far as possible in the forward horizontal direction, with the feet perpendicular to the centerline of the lower legs.</t>
  </si>
  <si>
    <t>See FMVSS S10.2.3(c)(3)</t>
  </si>
  <si>
    <t>(3) Using a flat square surface with an area of 2580 square millimeters, apply a force of 178 N (40 lb) first against the dummy crotch and then against the dummy thorax on the midsagittal plane of the dummy, perpendicular to:</t>
  </si>
  <si>
    <t>See FMVSS S10.2.3(c)(3)(i)</t>
  </si>
  <si>
    <t>(i) The plane of the back of the beltpositioning seat, in the case of a beltpositioning seat with a back, or,</t>
  </si>
  <si>
    <t>See FMVSS S10.2.3(c)(3)(ii)</t>
  </si>
  <si>
    <t xml:space="preserve">(ii) The plane of the back of the standard seat assembly or vehicle seat, in the case of a backless belt-positioning seat or built-in booster. </t>
  </si>
  <si>
    <t>See FMVSS S10.2.3(c)(4)</t>
  </si>
  <si>
    <t>(4) Rotate the arms of the dummy down so that they are perpendicular to the torso.</t>
  </si>
  <si>
    <t>See FMVSS S10.2.3(c)(5)</t>
  </si>
  <si>
    <t>(5) Bend the knees until the back of the lower legs are in minimal contact with the belt-positioning seat, standard seat assembly or vehicle seat. Position the legs such that the outer edges of the knees are 180 ±10 mm apart for the Hybrid III 6-year-old dummy and 220 ±10 mm apart for the Hybrid III 10-year-old dummy. Position the feet such that the soles are perpendicular to the centerline of the lower legs. In the case of a belt-positioning seat with a back, adjust the dummy so that the shoulders are parallel to a line connecting the shoulder belt guides. This can be accomplished by leaning the torso such that the dummy’s head and neck are centered on the backrest components of the belt-positioning seat. In case of a backless child restraint, adjust the dummy’s torso so that the head is as close to laterally level as possible.</t>
  </si>
  <si>
    <t>See FMVSS S10.2.3(d)</t>
  </si>
  <si>
    <t>(d) Apply the belt. Attach the vehicle belts and tighten them as specified in S6.1.2.</t>
  </si>
  <si>
    <t>See FMVSS S10.2.3(e)</t>
  </si>
  <si>
    <t xml:space="preserve">(e) Dummy final positioning. </t>
  </si>
  <si>
    <t>See FMVSS S10.2.3(e)(1)</t>
  </si>
  <si>
    <t>(1) Check the leg, feet, thorax and head positions and make any necessary adjustments to achieve the positions described in S10.2.3(c)(5). Position the legs, if necessary, so that the leg placement does not inhibit thorax movement in tests conducted under S6.</t>
  </si>
  <si>
    <t>See FMVSS S10.2.3(e)(2)</t>
  </si>
  <si>
    <t>(2) Rotate each dummy arm downwards in the plane parallel to the dummy’s midsagittal plane until the arm contacts a surface of the child restraint system or the standard seat assembly, in the case of an add-on system, or the specific vehicle shell or specific vehicle, in the case of a built in system, as appropriate. Position the arms, if necessary, so that the arm placement does not inhibit torso or head movement in tests conducted under S6.</t>
  </si>
  <si>
    <t>CMVSS 213 SORS/DORS 2010-90  215(4),315(5)</t>
  </si>
  <si>
    <t>Back Support Width- With support of the side of the torso</t>
  </si>
  <si>
    <t>If the CRS has  surfaces for the support of the sides of the torso, and those surfaces extend at least 100mm forward from the padded surface of the portion of the restraint system provided for the support of the head of the ATD, the system may have a continuous seat back width of not less than 150mm measured in the horizontal plane at the height specified.</t>
  </si>
  <si>
    <t>CMVSS 213 SOR/DORS/2010-90 213</t>
  </si>
  <si>
    <t>Surfaces Contactable by Head</t>
  </si>
  <si>
    <t>Every surface of a CRS that is contactable by the heard of an ATD must be covered by energy -CMVSS 213 absobing materials that meet the requirements specified. A thickness of not less than 12mm with resistance of not less than 12kPa but not more than 70kPa or a thickness of not less than 19mm with a resistance of not less than 4kPa but less than 12kPa.</t>
  </si>
  <si>
    <t>QTM 3, ASTM F963-16 8.9</t>
  </si>
  <si>
    <t>Any surface that a child can attempt to bite that meets the size requirements specified in the QTM (an external dimension of 1.25 inches ±0.05 inch (3.18 centimeters) or less and a design configuration that would permit a child to insert a portion into the mouth in any orientation up to a biting thickness of 1.25 inches ±0.05 inch (3.18 centimeters), for a penetration of at least 0.25 inch (0.635 centimeter), shall be subject to this test) shall have no Critical or Major occurrences.</t>
  </si>
  <si>
    <t>The product shall be able to meet all requirements per the QTM with no Critical occurrences.</t>
  </si>
  <si>
    <t>Head must be contained within the shell of the CRS. Criteria: “Contained” is the absence of contact with the test fixture door and requires that energy CMVSS 213 absorbing section of the side wing remains between the head and the test fixture door.</t>
  </si>
  <si>
    <t>When tested in accordance with Proposed NHTSA Side Impact Procedure,  there shall be no complete separation of any portion of the restraint system.</t>
  </si>
  <si>
    <t>ISO 11469:2016</t>
  </si>
  <si>
    <t>Plastic materials will be indentified utilizing the ANSI and European Commission RIC denotation with the ISO recycle symbol as well.</t>
  </si>
  <si>
    <t>FMVSS-213 S5.2.1(a), TP-213 12 C.4, SOR/DORS 2010-90  215(2)(a)(i), 315(3)(a)</t>
  </si>
  <si>
    <t>Back Support Height - 40lbs and Under</t>
  </si>
  <si>
    <t>FMVSS-213 S5.2.1(a), SOR/DORS 2010-90  205</t>
  </si>
  <si>
    <t>For Rear Facing CRS's Back Height Must Be 1.0 inch above the tallest height of the child recommended.</t>
  </si>
  <si>
    <t>SORS/DORS 2010-90  215(2)(b), 315(3)(b)</t>
  </si>
  <si>
    <t>A width of at least 200mm, measured at the height specified.</t>
  </si>
  <si>
    <t>SORS/DORS 2010-90  215(4),315(5)</t>
  </si>
  <si>
    <t>FMVSS-213 S5.2.2(a), TP-213 C6.1, SOR/DORS 2010-90  209 (a)</t>
  </si>
  <si>
    <t>SOR/DORS 2010-90  209 (b)</t>
  </si>
  <si>
    <t>Side Torso Support Surface- Canada Only</t>
  </si>
  <si>
    <t xml:space="preserve"> Flat or Concave Continuous Surface Area of 305 sq. cm  or Greater for Children Weighing 9 kg (20 lbs) or less.</t>
  </si>
  <si>
    <t>Dorel Internal</t>
  </si>
  <si>
    <t>Side Impact Restraining Surfaces</t>
  </si>
  <si>
    <t>Wing Depth and Height Shall be sufficient to keep the head of the largest specified ATD within the confines of the shell.</t>
  </si>
  <si>
    <t>SOR/DORS/2010-90 213</t>
  </si>
  <si>
    <t>Every surface of a CRS that is contactable by the head of an ATD must be covered by energy -absorbing materials that meet the requirements specified. A thickness of not less than 12mm with resistance of not less than 12kPa but not more than 70kPa or a thickness of not less than 19mm with a resistance of not less than 4kPa but less than 12kPa.</t>
  </si>
  <si>
    <t xml:space="preserve">As a guideline, vehicle belt path should be capable of allowing a 40 x 80 mm block pass through and be positioned min. of 8.0" away from vehicle seat bight.  </t>
  </si>
  <si>
    <t>Headrest</t>
  </si>
  <si>
    <t>The back and the headrest shall not interfere with the vehicle headrest, as specified in 202.</t>
  </si>
  <si>
    <t>Shall accommodate the size and weight of children specified in labeling, instructions, carton graphics, POP and other documentation.  This should include seasonal clothing as applicable.</t>
  </si>
  <si>
    <t>Base Back Angle Adjustments</t>
  </si>
  <si>
    <t>When adjusted to the proper back angle as appropriate for the child size and weight, there shall be no additional materials needed to install it properly on the testing bench.</t>
  </si>
  <si>
    <t xml:space="preserve">The recline must be engaged/released per the lever travel- Ti = TBD mm, Te = TBD mm,  </t>
  </si>
  <si>
    <t xml:space="preserve">The recline must be engaged/released per the lever click sound, TBD db.  </t>
  </si>
  <si>
    <t xml:space="preserve">The recline must be engaged/released per the lever force- Fi = TBD lbs, Fe = TBD lbs,  </t>
  </si>
  <si>
    <t>QTM 2, 16 CFR 1500.52 (e)</t>
  </si>
  <si>
    <t>QTM 3, 16 CFR 1500.52 (f)</t>
  </si>
  <si>
    <t>QTM 4, 16 CFR 1500.52 (g)</t>
  </si>
  <si>
    <t>QTM 5, 16 CFR 1500.51,52,53</t>
  </si>
  <si>
    <t>Any surface that a child can attempt to bit that meets the size requirements specified in the QTM (an external dimension of 1.25 inches ±0.05 inch (3.18 centimeters) or less and a design configuration that would permit a child to insert a portion into the mouth in any orientation up to a biting thickness of 1.25 inches ±0.05 inch (3.18 centimeters), for a penetration of at least 0.25 inch (0.635 centimeter), shall be subject to this test) shall have no Critical or Major occurrences.</t>
  </si>
  <si>
    <t>QTM 9; 16 CFR 1500.49</t>
  </si>
  <si>
    <t>QTM 10, 16 CFR 1500.48</t>
  </si>
  <si>
    <t>ASTM F963-11 4.8</t>
  </si>
  <si>
    <t>ASTM F963-11, 4.13.2</t>
  </si>
  <si>
    <t>16 CFR 1223, ASTM F2050, 5.6</t>
  </si>
  <si>
    <t>Scissoring, Shearing, Pinching</t>
  </si>
  <si>
    <t>A product, when in a manufacturer’s recommended use position, shall be designed and constructed so as to prevent injury to the occupant from any scissoring, shearing, or pinching when members or components rotate about a common axis or fastening point, slide, pivot, fold, or otherwise move relative to one another. Scissoring, shearing, or pinching that may cause injury shall not be permissible when the edges of any rigid parts admit a probe greater than 0.210 in. (5.33 mm) and less than 0.375 in. (9.53 mm) in diameter at any accessible point throughout the range of motion of such parts.</t>
  </si>
  <si>
    <t>ASTM F963-11 4.18.4</t>
  </si>
  <si>
    <t>16 CFR 1223, ASTM F2050, 5.5</t>
  </si>
  <si>
    <t>Openings</t>
  </si>
  <si>
    <t>Openings—Holes or slots that exist in the product in any manufacturer’s recommended use position, that are accessible to the toes and fingers of the occupant, and that extend entirely through a wall section of any rigid material less than 0.375-in. (9.53-mm) thick and admit a 0.187-in. (4.75-mm) diameter rod, shall also admit a 0.500-in. (12.7-mm) diameter rod. Holes or slots that are between 0.187 in. (4.75 mm) and 0.375 in. (9.53 mm) and have a wall thickness less than 0.375 in. (9.53 mm) but are limited in depth to 0.375 in. (9.53 mm) maximum by another rigid surface shall be permissible.</t>
  </si>
  <si>
    <t>SOR/DORS/2010-09 215(d), 315(d), 407(d)</t>
  </si>
  <si>
    <t>Head Acceleration- Canada Only</t>
  </si>
  <si>
    <t>SOR/DORS 2010-90  217(a),315(1)(e)</t>
  </si>
  <si>
    <t>Torso and Head Containment- Canada Only</t>
  </si>
  <si>
    <t>Head must be contained within the shell of the CRS. Criteria: “Contained” is the absence of contact with the test fixture door and requires that energy CMVSS 213 absorbing section of the side wing remains between the head and the test fixture door.  Head / Door contact is evidenced by video and/or chalk transfer.</t>
  </si>
  <si>
    <t>There shall be no fracturing of the CRS which might compromise the performance of the side wing of the CRS, and there shall be no complete separation of any portion of the restraint system, furthermore no cracks are allowed.</t>
  </si>
  <si>
    <t>SOR/DORS 2010-90 214,314</t>
  </si>
  <si>
    <t>CP-QR-00016, FMVSS 213 S5.5.1, TP-213 C.1, SOR/DORS 2010-90 101</t>
  </si>
  <si>
    <t>Requirements US and Canadian</t>
  </si>
  <si>
    <t>Each label shall meet the requirements included in the sections in the QR.</t>
  </si>
  <si>
    <t>In addition to the English wording, Canadian French and Spanish Languages will be used on all molded in features.</t>
  </si>
  <si>
    <t>Marketing Brief</t>
  </si>
  <si>
    <t>Internal Requirement</t>
  </si>
  <si>
    <t>ISTA 3A</t>
  </si>
  <si>
    <t>Field returns Experiences</t>
  </si>
  <si>
    <t>Chemical Requirements</t>
  </si>
  <si>
    <t>Infant Roll Velcro Holding Strength</t>
  </si>
  <si>
    <t>Product Components shall meet all requirements specified in QTM 20</t>
  </si>
  <si>
    <t>Car Seat Requirements - Harness and Crotch Webbing</t>
  </si>
  <si>
    <t>Car Seat Requirements - LATCH Assembly - Universal</t>
  </si>
  <si>
    <t>CP-QR-00008, FMVSS 213 S5.4</t>
  </si>
  <si>
    <t>Car Seat Requirements - Infant Buckle</t>
  </si>
  <si>
    <t>All</t>
  </si>
  <si>
    <t>Corrosion Test</t>
  </si>
  <si>
    <t>QTM 87, FMVSS 209 S5.2(a),  ASTM B117</t>
  </si>
  <si>
    <t>Impact Integrity – Drop Test from 3 ft.</t>
  </si>
  <si>
    <t>Drop test from 3 ft. onto a 1/8" thick tile over concrete surface.  Drop onto all corners and surfaces (14 drops minimum).  Test shell assembly and base assembly separately.  Following drop testing, samples must be free of breakage and must function normally.</t>
  </si>
  <si>
    <t>FMVSS 213 S5.7 FMVSS 302, TP-213 12 A.1, SOR/DORS 2010-90  205,307</t>
  </si>
  <si>
    <t>Each material used in a CRS shall conform to the requirements in S4 of FMVSS 302, except that the burn rate shall not exceed 3 inches / minute.</t>
  </si>
  <si>
    <t>QTM 97</t>
  </si>
  <si>
    <t>Product and components must withstand temperature conditioning specified in QTM 97 without warpage, damage or loss of function.</t>
  </si>
  <si>
    <t>Recall History</t>
  </si>
  <si>
    <t>SOR/DORS/2010-09 204, 306</t>
  </si>
  <si>
    <t>Carry Handle Cyclic Durability Test</t>
  </si>
  <si>
    <t>Dorel Internal Test Procedure</t>
  </si>
  <si>
    <t>Cycle handle 4500 cycles (releasing and engaging lock at each detent position, starting from carry position and returning to carry position as one cycle.)  Must pass 60 lb handle break over and function normally after life test.</t>
  </si>
  <si>
    <t>Carry Handle Compression Test</t>
  </si>
  <si>
    <t xml:space="preserve">  Apply up to 120 lbs of compression force to center of handle placed in carry position.  Handle must not break.</t>
  </si>
  <si>
    <t>Carry Handle Lift /Flex Cycle Test</t>
  </si>
  <si>
    <t>Utilizing a fixed assembly apply 10,000 lift / flex cycles, enough force to flex.  Criteria for Pass/Failure.  Passing considered at completion of all cycles. The carry handle must function normally and be free of damage or structural decay.  Wear or rub abrasion marks allowed, as long as no material is removed.</t>
  </si>
  <si>
    <t>Car Seat - Base Install Testing</t>
  </si>
  <si>
    <t>Utilize the seat with the lightest specified occupant weight in it.  The CRS shall align itself and lock into the base with only this weight.  There shall be an audible sound when it is latched, no false latching is allowed.  Attachment mechanism shall withstand 4500 attach / release cycles and still function normally.</t>
  </si>
  <si>
    <t>Car Seat Stroller Test</t>
  </si>
  <si>
    <t>QTM 81 Section 5.3.23,24,26.1,26.2,26.3,27</t>
  </si>
  <si>
    <t>Test per each of these sections of the QTM.  The shall be no occurrences of failure per the definition of the standard.  Test in each stroller specified in the FRD.</t>
  </si>
  <si>
    <t>Surface Coating Adhesion</t>
  </si>
  <si>
    <t>QTM 33 &amp; QTM 97</t>
  </si>
  <si>
    <t>Surface coatings other than labels must meet the adhesion requirements of QTM 33 following QTM 97 conditioning.</t>
  </si>
  <si>
    <t>Clearance Between Base &amp; Shell in LATCH Belt Path</t>
  </si>
  <si>
    <t>Dorel Internal Requirement</t>
  </si>
  <si>
    <t>Clearance between the base and shell in the LATCH belt path shall be a minimum of 1" to assure compatability with airline restraint buckles</t>
  </si>
  <si>
    <t>Clearance Between Base &amp; Shell in CFA Path.</t>
  </si>
  <si>
    <t>Clearance between the base and shell in the CFA path shall be a minimum of 3/4" and provide splitter plate clearance all the way to the CFA mount.</t>
  </si>
  <si>
    <t>Air Bag Adhesion to Substrate (As Applicable)</t>
  </si>
  <si>
    <t>Air bag must withstand 10 lbs of pull force without completely separating from substrate when tested immediately upon removal from enivronmental conditioning as specified in QTM 97.</t>
  </si>
  <si>
    <t>Clearance Between Hook in Shell and Rod in Base (As Applicable)</t>
  </si>
  <si>
    <t>When shell assembly is attached to base, there must be a minimum of .060" clearance between top, locking surface of hook, and underside of rod. (This requirement is intended to assure freedom of movement of hook to lock onto the rod.)</t>
  </si>
  <si>
    <t>Screw Driving Torque</t>
  </si>
  <si>
    <t>To assure proper seating of screws and to prevent stripping, screw driving torque must be 10 - 13 in lbs.</t>
  </si>
  <si>
    <t>Belt Paths</t>
  </si>
  <si>
    <t>No sharped edged trimming instruments are to be used for trimming operations in vehicle or harness belt paths; to avoid notching.</t>
  </si>
  <si>
    <t>Label Application</t>
  </si>
  <si>
    <t>Label Legibility</t>
  </si>
  <si>
    <t>Labels are to be applied to clean and cooled surfaces to avoid bubbling.</t>
  </si>
  <si>
    <t>Legibility</t>
  </si>
  <si>
    <t>ASTM F-2050-16</t>
  </si>
  <si>
    <t>Definitions</t>
  </si>
  <si>
    <t>3.1.1 conspicuous, adj—a label that is visible, when the infant carrier is in a manufacturer’s recommended use position, infant carrier is in a manufacturer’s recommended use position, to a person standing near the infant carrier at any one position to a person standing near the infant carrier at any one position around the infant carrier but not necessarily visible from all-around the infant carrier but not necessarily visible from all positions.</t>
  </si>
  <si>
    <t>3.1.2 hand-held bassinet/cradle, n—a freestanding product,3.1.2 hand-held bassinet/cradle, n—a freestanding product, with a rest/support surface to facilitate sleep (intended to be flat with a rest/support surface to facilitate sleep (intended to be flat or up to 10° from horizontal), that sits directly on the floor, or up to 10° from horizontal), that sits directly on the floor, without legs or a stand, and has hand-holds or handle(s)without legs or a stand, and has hand-holds or handle(s)intended to allow carrying an occupant whose torso is completely intended to allow carrying an occupant whose torso is completely supported by the product.</t>
  </si>
  <si>
    <t>3.1.3 hand-held infant carrier, n—a freestanding, rigidsided3.1.3 hand-held infant carrier, n—a freestanding, rigid sided product intended to carry an occupant whose torso is product intended to carry an occupant whose torso is completely supported by the product to facilitate transportation completely supported by the product to facilitate transportation by a caregiver by means of hand-holds or handles.</t>
  </si>
  <si>
    <t>3.1.4 hand-held infant carrier seat, n—a hand-held infant carrier having a seat back that is intended to be in a reclined position (more than 10° from horizontal).</t>
  </si>
  <si>
    <t>3.1.5 manufacturer’s recommended use position(s), n—any position that is presented as a normal, allowable, or acceptable configuration for the use of the product by the manufacturer in any descriptive or instructional literature. This specifically excludes positions that the manufacturer shows in a like manner in its literature to be unacceptable, unsafe or not recommended.</t>
  </si>
  <si>
    <t>3.1.8 paper label, n—any label material which tears without the aid of tools and leaves a fibrous edge.</t>
  </si>
  <si>
    <t>Test Calibratons</t>
  </si>
  <si>
    <t>4. Calibration and Standardization</t>
  </si>
  <si>
    <t>4.1 All testing shall be conducted on a concrete floor, which may be covered with 1⁄8-in. (3-mm) thick vinyl flooring covering, unless test instructs differently.</t>
  </si>
  <si>
    <t>4.2 The product shall be completely assembled, unless otherwise noted, in accordance with the manufacturer’s instructions.</t>
  </si>
  <si>
    <t>4.3 No testing shall be conducted within 48 h of manufacturing.</t>
  </si>
  <si>
    <t>4.5 All testing required by this specification shall be conducted on the same unit.</t>
  </si>
  <si>
    <t>Hazards</t>
  </si>
  <si>
    <t>Sharp Edges Test</t>
  </si>
  <si>
    <t>5.1 There shall be no hazardous sharp edges or points as defined by 16 CFR 1500.48 and 16 CFR 1500.49 before and after testing to this consumer safety specification.</t>
  </si>
  <si>
    <t>Small Parts Test</t>
  </si>
  <si>
    <t>5.2 There shall be no small parts as defined by 16 CFR 1501before testing or liberated as a result of testing to this specification.</t>
  </si>
  <si>
    <t>Lead Free Test</t>
  </si>
  <si>
    <t>Lead Poisoning</t>
  </si>
  <si>
    <t>5.3 Product must comply with 16 CFR 1303.</t>
  </si>
  <si>
    <t>Splinter Test</t>
  </si>
  <si>
    <t>5.4 Wood Parts—Prior to testing, any exposed wood parts shall be smooth and free from splinters.</t>
  </si>
  <si>
    <t>Finger Entrapmants Test</t>
  </si>
  <si>
    <t>5.5 Openings—Holes or slots that exist in the product in any manufacturer's recommended use position, that are accessible to the toes and fingers of the occupant, and that extend entirely through a wall section of any rigid material less than 0.375-in.(9.53-mm) thick and admit a 0.210-in. (5.33-mm) diameter rod, shall also admit a 0.375-in. (9.53-mm) diameter rod. Holes or slots that are between 0.210 in. (5.33 mm) and 0.375 in.(9.53 mm) and have a wall thickness less than 0.375 in. (9.53mm) but are limited in depth to 0.375 in. (9.53 mm) maximum by another rigid surface shall be permissible (see Fig. 3).</t>
  </si>
  <si>
    <t>Finger cut off or pinching</t>
  </si>
  <si>
    <t>5.6 Scissoring, Shearing, Pinching—A product, when in a manufacturer's recommended use position, shall be designed and constructed so as to prevent injury to the occupant from any scissoring, shearing, or pinching when members or components rotate about a common axis or fastening point, slide, pivot, fold, or otherwise move relative to one another. Scissoring, shearing, or pinching that may cause injury shall not be permissible when the edges of any rigid parts admit a probe greater than 0.210 in. (5.33 mm) and less than 0.375 in.(9.53 mm) in diameter at any accessible point throughout the range of motion of such parts.</t>
  </si>
  <si>
    <t>Finger pinched in springs</t>
  </si>
  <si>
    <t>5.7 Exposed Coil Springs—Any exposed coil spring that is accessible to the occupant, having or capable of generating as pace between coils of 0.210 in. (5.33 mm) or greater during testing in any manufacturer’s recommended use position(s) and tested in accordance with 7.2.2 and 7.2.3 shall be covered or otherwise designed to prevent injury from entrapment.</t>
  </si>
  <si>
    <t>Label Permency</t>
  </si>
  <si>
    <t>User Understanding</t>
  </si>
  <si>
    <t>5.8 Labeling:</t>
  </si>
  <si>
    <t>Label Comes Off</t>
  </si>
  <si>
    <t>5.8.1 Warning Labels, whether paper or non-paper, shall be permanent when tested in accordance with 7.5.1 – 7.5.3.</t>
  </si>
  <si>
    <t>5.8.2 Warning statements applied directly onto the surface of the product by hot stamping, heat transfer, printing, wood burning, etc., shall be permanent when tested in accordance with 7.5.4.</t>
  </si>
  <si>
    <t>5.8.3 Non-paper labels shall not liberate small parts when tested in accordance with 7.5.5.</t>
  </si>
  <si>
    <t>Toy Test</t>
  </si>
  <si>
    <t>5.9 Toys—Toy accessories attached to, removable from, or sold with an infant carrier, as well as their means of attachment, must meet applicable requirements of Consumer Safety SpecificationF963.</t>
  </si>
  <si>
    <t>Protective Components</t>
  </si>
  <si>
    <t>Protection of Child</t>
  </si>
  <si>
    <t>5.10 Protective Components—If a child can grasp components between the thumb and forefinger, or teeth, such as caps, sleeves or plugs used for protection from sharp edges, points, or entrapment of fingers or toes or if there is at least a 0.040-in.(1.00-mm) gap between the component and its adjacent parent component, such component shall not be removed when tested in accordance with 7.4.</t>
  </si>
  <si>
    <t>6. Performance Requirements NOTE 1—The forces that are to be applied to the sample in the tests described in Section 7 of this specification are readily applied by means of a calibrated force gage.</t>
  </si>
  <si>
    <t>Handle Durability</t>
  </si>
  <si>
    <t>Child Ejection</t>
  </si>
  <si>
    <t>6.1 Carry Handle Auto-locking—This requirement applies only to products having a rigid, adjustable carry handle that rotates about a singular axis and locks in the manufacturer's designated carry position. The carry handle shall comply with</t>
  </si>
  <si>
    <t>6.1.1, 6.1.2, or 6.1.3 when tested in accordance with 7.1.</t>
  </si>
  <si>
    <t>6.1.1 The carry handle shall move unaided and lock into the manufacturer's designated carry position or move unaided into a position that is obvious to the caregiver that the carry handle is not in the manufacturer’s designated carry position. The unaided movement shall occur within 5 s of the carry handle being placed into an unlocked position in 7.1.2 and 7.1.4,before attempting to lift the carrier in 7.1.3. The manufacturer's designated carry position shall be clearly depicted in the instructional literature. A position obvious to the caregiver that is not the manufacturer’s designated carry position is defined as any position that is not suitable for carrying the occupant. For example, the carry handle comes to rest at the position adjacent to the top of the occupants head.</t>
  </si>
  <si>
    <t>6.1.2 The carry handle shall lock in the manufacturer's designated carry position when tested in accordance with 7.1.2– 7.1.4.</t>
  </si>
  <si>
    <t>6.1.3 The carry handle shall lock or be prevented from further movement by means of a mechanical stop in a position forward or rearward of the manufacturer’s designated carry position such that an unrestrained dummy does not fall out of the carrier when tested in accordance with 7.1.2 – 7.1.4.</t>
  </si>
  <si>
    <t>6.2 Carrying Handle Integrity—All tests of 7.2 are to be performed on the same product, sequentially and without refurbishing or repositioning of adjustment. The carrier handle shall not break or unlatch on either one or both sides of the carrier when tested in accordance to 7.2.2 and 7.2.3. This requirement applies only to products having a rigid carry handle that rotates in head-to-foot and foot-to-head directions, and is capable of being adjusted from the manufacturer's recommended carry position to any additional adjustment position.</t>
  </si>
  <si>
    <t>Child Restrained</t>
  </si>
  <si>
    <t>6.3 Restraint System—A restraint system shall be provided to secure a child in the seated positions in any of the manufacturer's recommended use positions except as outlined in 6.3.3.</t>
  </si>
  <si>
    <t>6.3.1 For infant carriers that are not for use in motor vehicles, the restraint system shall include a waist restraint and crotch restraint. The crotch restraint’s use shall be mandatory when the waist restraint is in use.</t>
  </si>
  <si>
    <t>6.3.2 The system and its closing means shall not slip more than 1 in. (25 mm), break, separate, or permit the removal of the test dummy when tested in accordance with 7.6.</t>
  </si>
  <si>
    <t>6.3.3 Hand held bassinets/cradles that are not for use in motor vehicles shall meet either 6.3.3.1 or 6.3.3.2.</t>
  </si>
  <si>
    <t>6.3.3.1 Hand-held bassinets/cradles shall not contain a restraint system.</t>
  </si>
  <si>
    <t>6.3.3.2 Hand-held infant carrier seats that can be converted to a hand-held bassinet/cradle shall not be capable of being converted to a hand-held bassinet/cradle without the harness first being made inaccessible to the occupant when in the bassinet/cradle mode.</t>
  </si>
  <si>
    <t>Slip Sope Test</t>
  </si>
  <si>
    <t>6.3.3.3 Rationale for 6.3.3—Hand-held bassinets/cradles as defined in 3.1.2 have been added to this standard because bassinet/cradle products that do not have legs and sit directly on the floor are excluded from the ASTM bassinet/cradle standard. The restraint system requirements were added to extend the no allowance of restraints from the bassinet/cradle standard to hand-held bassinet/cradles, while at the same time allowing restraints for hand-held bassinet/cradle products that also have adjustment positions to hand-held infant carrier seats as defined in 3.1.4 that have a semi-reclined seating position. The subcommittee determined that the risk associated with strangulation in products configured for use in a bassinet mode(where the occupant is horizontal) far exceeded the potential for children falling out of the product during transportation.</t>
  </si>
  <si>
    <t>6.4 Slip Resistance—An infant carrier shall not slip more than 0.12 in. (3.0 mm) within one minute when tested in accordance with 7.3.</t>
  </si>
  <si>
    <t>7. Test Methods</t>
  </si>
  <si>
    <t>7.1 Carry Handle Auto-Locking Test:</t>
  </si>
  <si>
    <t>7.1.1 Without a dummy in the carrier, secure the harness and adjust the soft goods to accommodate an infant weighing17 lb. (development stage corresponding to the CAMI infant dummy Mark II) according to the manufacturer’s instructions. Adjust the harness such that it contacts the seating surface along its entire exposed length. Place the CAMI Infant dummy Mark II in the carrier on top of the buckled harness. Ensure that the dummy is firmly seated in the carrier against the harness with the rump in the seat bight and body fully seated against the seat back and bottom. Position the hands of the CAMI Infant dummy Mark II in front of the dummy at the head-to-toe centerline and attach the dummy’s hands together using duct tape or a similar means, such that the dummy’s arms are prevented from interfering with the carrier soft goods during the test. NOTE 2—Positioning of the CAMI Infant dummy in the carrier is critical to ensure testing consistency and to eliminate test result variability that might be associated with the age/stiffness of the dummy. The dummy's crotch should be pressed back against the buckled harness. The dummy's taped hands should rest on its lap. The carrier padding should not prevent the dummy from movement during rotation of the seat during the test.</t>
  </si>
  <si>
    <t>7.1.2 Starting with the carry handle locked in the manufacturer's designated carry position, unlock the carry handle, and rotate the carry handle slightly rearward (toward the occupant's head end of the carrier) into a position that is as close to the designated carry position as possible without the carry handle being locked in the designated carry position.</t>
  </si>
  <si>
    <t>7.1.3 If the carry handle remains in the unlocked position, conduct the test in this section. Mounted support (Fig. 4) shall be used to apply the vertical lifting force in this test. The vertical lifting force shall be applied using a pneumatically powered cylinder. The pneumatic cylinder shall be capable of producing a gradual lifting speed within the range of 1.5 to 2.0 s over 12 in. (30.5 cm).</t>
  </si>
  <si>
    <t>7.1.3.2 The vertical lifting force shall be applied using an 186 0.25 in. (46 6 0.6 cm) length of child restraint webbing having a width of 1.5 6 0.06 in. (38 6 1.5 mm) (Fig. 5). The fixture shall be fitted with a suitable clamping device that will prevent slippage of the webbing during the lift test. The webbing length shall allow a 4 to 6 in. distance between the top of the carrier handle and the clamping device when the webbing is in contact with the underside of the handle grip surface (Fig. 4).</t>
  </si>
  <si>
    <t>7.1.3.3 Align the lengthwise centerline of the webbing at the horizontal mid-point of the carrier hand grip. Clamp the ends of the webbing in the fixture.</t>
  </si>
  <si>
    <t>7.1.3.4 Raise the sliding support until the webbing contacts the underside of the grip surface and is taut. Apply a vertical force gradually over 1.5 to 2 s to lift the carrier 12 in. (30.5 cm)from the at rest position. If the carry handle remains in the unlocked position after completion of lifting process, gradually apply a downward force to the occupant’s feet end of the carrier at the side-to-side midpoint. The force shall be manually applied and shall be the minimum amount needed to cause rotation of the carrier seat.</t>
  </si>
  <si>
    <t>7.1.4 If the product design allows, repeat 7.1.2 and 7.1.3,rotating the carry handle slightly forward (toward occupant's feet end of the carrier) into a position that is as close to the designated carry position as possible without the carry handle being locked in the manufacturer’s designated carry position. If the carry handle remains in the unlocked position after completion of lifting process, gradually apply a downward force to the occupant's head end of the carrier at the side-to-side midpoint. The force shall be manually applied and shall be the minimum amount needed to cause rotation of the carrier seat.</t>
  </si>
  <si>
    <t>7.2 Carrying Handle Integrity—For the tests in 7.2.2 and</t>
  </si>
  <si>
    <t>7.2.3 the product shall be loaded to the manufacturer’s maximum rated load or with CAMI dummy, whichever is greater. Weighted vest (see Fig. 6) with the CAMI dummy shall be used to achieve manufacturer’s maximum rated load.</t>
  </si>
  <si>
    <t>7.2.1 Handle/Latch Preconditioning Cycling:</t>
  </si>
  <si>
    <t>7.2.1.1 Secure the infant carrier onto a test platform with the handle in the manufacturer’s recommended carry position and so that the base of the carrier cannot move in the direction of the force being applied.</t>
  </si>
  <si>
    <t>7.2.1.2 Apply an oscillating force to the handle in the forward and rearward direction normal to a plane established by the center line of the rotating axis of the handle and the center of the grip area of the handle as shown in Fig. 7. The oscillating force shall have a peak force of 20 6 1 lbf (89 6 4N) for 1000 cycles at a rate of 30 to 60 cycles per minute.</t>
  </si>
  <si>
    <t>7.2.2 Forward Facing Handle Endurance Test:</t>
  </si>
  <si>
    <t>7.2.2.1 Place the CAMI Infant Dummy, Mark II (see Fig. 1),with weighted vest as needed, into the infant carrier and secure the harness straps in accordance with the manufacturer's instructions. Pull the CAMI infant dummy’s legs forward so that the dummy is tight against the crotch end of the harness.</t>
  </si>
  <si>
    <t>7.2.2.2 With the carry handle in the manufacturer’s recommended carry position, hang the carrier from the handle and determine the inclination of any convenient rigid surface on the carrier. This value of inclination will be used in the initial placement of the carrier in these endurance tests.</t>
  </si>
  <si>
    <t>7.2.2.3 Place the conditioned infant carrier with the headend of the carrier against a pivot point on a vertical surface as shown in Fig. 8. The inclination of the carrier should be the same as measured while hanging freely.</t>
  </si>
  <si>
    <t>7.2.2.4 Attach a chain, from the same vertical surface such that the chain angle is 20° 6 2° to the horizontal. Adjust the chain length if necessary.</t>
  </si>
  <si>
    <t>7.2.2.5 Allow the product to hang in this position for 15min.</t>
  </si>
  <si>
    <t>7.2.2.6 Pull loose padding back from end of carrier and hang a test fixture with a drop weight of 1.2 lb (.54 kg) from end of infant carrier as shown in Fig. 8 at infant carrier major axis center line with the drop weight 1 6 0.5 in. (25 6 13 mm)in from the end of the carrier. The fixture shall rest on the surface of the carrier and hang vertically (62°). See Fig. 9 for FIG. 4 Lifting Fixture an example of an appropriate test fixture. Total weight of the test fixture without the drop weight shall be 0.3 6 0.1 lb (0.146 0.05 kg). For carriers that do not have a suitable surface for hanging the drop weight fixture, a clamp, or other suitable means may be used to attach to the carrier, provided the test weight drops vertically.</t>
  </si>
  <si>
    <t>7.2.2.7 Lift and allow drop weight to free fall from a height of 8 in. (20.3 cm) onto stop at end of rod. Repeat for a total of50 cycles at a rate not exceeding 1 cycle per 5 s. Allow motion of the carrier to subside between drops. The test fixture can be repositioned during testing in order to maintain position within specification of 7.2.2.6.NOTE 3—The padding that is intended to be pulled back from the end of the carrier in 7.2.2.6 and 7.2.3.6 should be loose padding and comfort foam only, not EPS, EPP, or other foams which may constitute some portion of the structure of the carrier.</t>
  </si>
  <si>
    <t>7.2.3 Rearward Facing Handle Endurance Test:</t>
  </si>
  <si>
    <t>7.2.3.1 Place the CAMI Infant Dummy, Mark II, with weighted vest as needed, into the infant carrier and secure the harness straps in accordance with the manufacturer’s instructions. Push the CAMI infant dummy’s head and torso rearward so that the dummy is tight against the seat back.</t>
  </si>
  <si>
    <t>7.2.3.2 With the carry handle in the manufacturer’s recommended carry position, hang the carrier from the handle and determine the inclination of any convenient rigid surface on the carrier. This value of inclination will be used in the initial placement of the carrier in these endurance tests.</t>
  </si>
  <si>
    <t>7.2.3.3 Place the conditioned infant carrier with the foot end of the carrier against a pivot point on a vertical surface as shown in Fig. 10. The inclination of the carrier should be the same as measured while hanging freely.</t>
  </si>
  <si>
    <t>7.2.3.4 Attach a chain, from the same vertical surface such that the chain angle is between 20 6 2° to the horizontal. Adjust the chain length, if necessary.</t>
  </si>
  <si>
    <t>7.2.3.5 Allow the product to hang in this position for 15min.</t>
  </si>
  <si>
    <t>7.2.3.6 Pull loose padding back from end of carrier and hang a test fixture with a drop weight of 1.2 lb (0.54 kg) from end of infant carrier as shown in Fig. 10 at infant carrier major axis centerline with the drop weight 1 6 0.5 in. (25 6 13 mm)in from the end of the carrier. The fixture shall rest on the surface of the carrier and hang vertically (62°). See Fig. 9 for an example of an appropriate test fixture. Total weight of the test fixture without the drop weight shall be 0.3 6 0.1 lb (0.146 0.05 kg). For carriers that do not have a suitable surface for hanging the drop weight fixture, a clamp, or other suitable means may be used to attach to the carrier, provided the test weight drops vertically.</t>
  </si>
  <si>
    <t>7.2.3.7 Lift and allow drop weight to free fall from a height of 8 in. (20.3 cm) onto stop at end of rod. Repeat for a total of50 cycles at a rate not exceeding 1 cycle per 5 s. All motion of the carrier to subside between drops. The test fixture can be repositioned during testing in order to maintain position within specification of 7.2.3.6.</t>
  </si>
  <si>
    <t>7.3 Slip Resistance:</t>
  </si>
  <si>
    <t>Slip Slope Test</t>
  </si>
  <si>
    <t>7.3.1.1 The surface used to test slippage shall be an impregnated high-pressure laminate6 of unspecified color with a smooth matte finish.</t>
  </si>
  <si>
    <t>7.3.1.2 The laminate shall be mounted on a flat surface, with a thickness no less than 3⁄4 in. (19 mm), in accordance with the laminate manufacturer’s instruction.</t>
  </si>
  <si>
    <t>7.3.1.3 Use of any products that will interfere with the performance of the laminate, that is, solvents or cleaners that leave residue or alter the surface finish is unacceptable.</t>
  </si>
  <si>
    <t>7.3.1.4 Precautions should be taken to prevent the contamination of the testing surface. Graduation or pencil marks are unacceptable unless located in a position that never interferes with the performance of the test product, that is, along the edge of the surface.</t>
  </si>
  <si>
    <t>7.3.2 Procedure:</t>
  </si>
  <si>
    <t>7.3.2.1 Clean laminate surface of any dust or debris with a dry cloth.</t>
  </si>
  <si>
    <t>7.3.2.2 Incline the prepared laminate surface to 10°.</t>
  </si>
  <si>
    <t>7.3.2.3 Clean slip resistant pads, feet, or any other objects on the infant carrier that come in contact with the inclined surface.</t>
  </si>
  <si>
    <t>7.3.2.4 Place the CAMI newborn dummy (see Fig. 2) into the infant carrier and secure with the harness straps in accordance with the manufacturer’s instructions. If applicable, position the carry handle in the most upright or carry position.</t>
  </si>
  <si>
    <t>7.3.2.5 Forward Slip Resistance—Place weighted carrier onto inclined surface with the front of carrier facing directly down the incline. Then, allow the product to remain in this position for one minute.</t>
  </si>
  <si>
    <t>7.3.2.6 Side Slip Resistance—Rotate weighted carrier 90°clockwise and place on inclined surface. Then, allow the product to remain in this position for one minute.</t>
  </si>
  <si>
    <t>7.3.2.7 Backward Slip Resistance—Place weighted carrier on inclined surface so that the carrier is facing directly up the incline. Then, allow the product to remain in this position for one minute.</t>
  </si>
  <si>
    <t>7.4 Removal of Protective Components: NOTE 4—Protective components shall be tested in accordance with each of the following methods in the sequence listed.</t>
  </si>
  <si>
    <t>7.4.1 Torque Test—A torque of 3 lbf-in. (0.3 N-m) shall be applied evenly within a period of 5 s in a clockwise direction until a rotation of 180° from the original position has been attained or 3 lbf-in. (0.3 N-m) has been reached. The torque or maximum rotation shall be maintained for an additional 10 s. The torque shall then be removed and the protective components permitted to return to a relaxed condition. This procedure shall then be repeated in a counterclockwise direction.</t>
  </si>
  <si>
    <t>Tension Test</t>
  </si>
  <si>
    <t>7.4.2 Tension Test:</t>
  </si>
  <si>
    <t>7.4.2.1 Attach a force gage to the cap, sleeve, or plug by means of any suitable device. For protective components that cannot reasonably be expected to be grasped between thumb and forefinger or teeth on their outer diameter but have a gap of at least 0.040 in. (1 mm) between the rear surface of the protective component and the structural member of the infant carrier to which they are attached, a clamp, such as the one shown in Fig. 11, may be a suitable device.</t>
  </si>
  <si>
    <t>7.4.2.2 Assure that the attachment device does not compressor expand the protective component so that it hinders any possible removal.</t>
  </si>
  <si>
    <t>7.4.2.3 Gradually apply a 15-lbf (67-N) force in the direction that would normally be associated with the removal of the protective component over a 5-s period and hold for an additional 10 s.</t>
  </si>
  <si>
    <t>7.5.1 A paper label (excluding labels attached by a seam)shall be considered permanent if, during an attempt to remove it without the aid of tools or solvents, it cannot be removed, it tears into pieces upon removal, or such action damages the surface to which it is attached.</t>
  </si>
  <si>
    <t>7.5.2 A non-paper label (excluding labels attached by a seam) shall be considered permanent if, during an attempt to remove it without the aid of tools or solvents, it cannot be removed or such action damages the surface to which it is attached.</t>
  </si>
  <si>
    <t>7.5.3 A warning label attached by a seam shall be considered permanent if it does not detach when subjected to a 15-lb(67-N) pull force applied in any direction using a 3⁄4-in.(19-mm)-diameter clamp surface.</t>
  </si>
  <si>
    <t>7.5.4 Adhesion Test for Warnings Applied Directly onto the Surface of the Product:</t>
  </si>
  <si>
    <t>7.5.4.1 Apply the tape test defined in Test Method</t>
  </si>
  <si>
    <t>7.5.4.2 Perform this test once in each different location</t>
  </si>
  <si>
    <t>7.5.4.3 The warning statements will be considered permanent if the printing in the area tested is still legible and attached after being subjected to this test.</t>
  </si>
  <si>
    <t>7.5.5 A non-paper label, during an attempt to remove it without the aid of tools or solvents, shall not be removed or shall not fit entirely within the small parts cylinder defined in16 CFR 1501 if it can be removed.</t>
  </si>
  <si>
    <t>Child Slipping out of harness</t>
  </si>
  <si>
    <t>7.6 Restraint System Test:</t>
  </si>
  <si>
    <t>7.6.1 Secure the infant carrier so that it cannot move. Apply a force of 35 lbf (156 N) to a single attachment point of the restraint system in the normal use direction(s) in which stress would be applied to that attachment. Gradually apply the force within 5 s, and maintain for an additional 10 s. Repeat a total of five times with a maximum interval of 2 s between tests. Repeat for each attachment point of the restraint system and each fastening device.</t>
  </si>
  <si>
    <t>7.6.2 Place the CAMI Infant Dummy, Mark II in the infant carrier with the restraining system engaged according to the manufacturer's instructions. Tighten the restraint system in such a manner that you can comfortably slide your little finger between the strap and the test dummy. Perform the following test without readjusting the restraining system. Gradually apply a pull force of 35 lbf (156 N) horizontally to either leg of the test dummy. Gradually apply the force within 5 s and maintain for an additional 10 s. Repeat this procedure a total of five times with a maximum of 2 s between test.</t>
  </si>
  <si>
    <t>Marking and Labeling</t>
  </si>
  <si>
    <t>Identification</t>
  </si>
  <si>
    <t>8.1 Each product and the shipping container must have a permanent label or marking that identifies the name and address (city, state, and zip code) of the manufacturer, distributor, or seller.</t>
  </si>
  <si>
    <t>8.2 A permanent code mark or other product identification shall be provided on the infant carrier and its package or shipping container, if multiple packaging is used. The code will identify the date (month and year) of manufacture and permit future identification of any given model.</t>
  </si>
  <si>
    <t>8.2.1 The manufacturer shall change the model number whenever the infant carrier undergoes a significant structural or design modification or a change that affects its conformance to this consumer safety specification.</t>
  </si>
  <si>
    <t>Warnings</t>
  </si>
  <si>
    <t>8.3 Each infant carrier shall be labeled with warning statements. The warning statements shall be in contrasting color(s),permanent, conspicuous, and in sans serif style font.</t>
  </si>
  <si>
    <t>8.3.1 In warning statements, the symbol and the word "WARNING shall be at least 0.2 in. (5 mm) high and shall appear at the top of the warning label. The remainder of the text shall be characters whose upper case shall be at least 0.1 in.(2.5 mm) high.</t>
  </si>
  <si>
    <t>Exact Language</t>
  </si>
  <si>
    <t>8.3.2 The warning statements shall address the following unless exact wording and content is specifically required:</t>
  </si>
  <si>
    <t>Fall Hazard</t>
  </si>
  <si>
    <t>8.3.2.1 Hand-held bassinets/cradles are exempt from this requirement. NEVER leave child unattended.</t>
  </si>
  <si>
    <t>Suffocation Hazard</t>
  </si>
  <si>
    <t>8.3.2.2 Suffocation Hazard: Infant carrier can roll over on soft surfaces and suffocate child. NEVER place carrier on beds, sofas, or other soft surfaces.</t>
  </si>
  <si>
    <t>Strangulation Hazard</t>
  </si>
  <si>
    <t>8.3.2.3 Strangulation Hazard: Carriers intended for use as infant restraint devices in motor vehicles shall contain the following warning label. This label requires exact language, including capitalized and bold text, and a specific location:</t>
  </si>
  <si>
    <t>8.3.2.3  (1) The area of the pictogram is to be at least 1.09 in.2 (706mm2) while not exceeding the size of the airbag warning pictogram in the label required under 49 CFR 571.213. The message area in the label shall be no less than 4.65 in.2 (30cm2), while not exceeding the size of the airbag warning message area in the label required under 49 CFR 571.213.</t>
  </si>
  <si>
    <t>8.3.2.3 (2) The harness in the pictogram shall be black on a white background and shall include a red circle and slash and green check mark, as shown in the illustration above.</t>
  </si>
  <si>
    <t>8.3.2.3 (3) The heading area shall be yellow with the word "warning” and the alert symbol in black.</t>
  </si>
  <si>
    <t>8.3.2.3 (4) The warning label shall be a separate and independent label from the airbag warning label required in 49 CFR571.213.</t>
  </si>
  <si>
    <t>8.3.2.3 (5) The warning label shall be permanently affixed to the outer surface of the cushion or padding in or adjacent to the area where a child’s head would rest, so that the label is plainly visible and easily readable.</t>
  </si>
  <si>
    <t>8.3.2.3 (5)(a) The pictogram can be customized to more accurately reflect the manufacturer’s product, but shall conform to the content shown in the pictogram.</t>
  </si>
  <si>
    <t>8.3.2.4 Strangulation Hazard: The following warning is required only for carriers not intended for use in a motor vehicle. Hand-held bassinets/cradles are exempt from this requirement. This warning requires exact language: Children have STRANGLED in loose or partially buckled harness straps. Fully restrain the child at all times.</t>
  </si>
  <si>
    <t>8.3.2.5 Fall Hazard: Child’s activity can move carrier. NEVER place carrier on counter tops, tables, or any other elevated surface.</t>
  </si>
  <si>
    <t>8.3.3 Infant carriers not intended for use as infant restraint devices in motor vehicles.</t>
  </si>
  <si>
    <t>8.3.3.1 NEVER use this carrier as a means to transport an infant in a motor vehicle.</t>
  </si>
  <si>
    <t>8.4 Any upholstery label required by law shall not be used to meet the requirements in Section 8.</t>
  </si>
  <si>
    <t>Proper Use</t>
  </si>
  <si>
    <t>9. Instructional Literature</t>
  </si>
  <si>
    <t>9.1 Instructions must be provided with the infant carrier and shall be easy to read and understand. Assembly, maintenance, cleaning, operating, and adjustment instructions and warnings, where applicable, must be included.</t>
  </si>
  <si>
    <t>9.1.1 The instructions shall contain warning statements in accordance with 8.3.2. For carriers intended for use as infant restraint devices in motor vehicles, the warning statement contained in the warning label depicted in 8.3.2.3 must also be included. In addition, the instructions shall include the following statements:</t>
  </si>
  <si>
    <t>9.1.1.1 Read all instructions before use of the infant carrier.</t>
  </si>
  <si>
    <t>9.1.1.2 Keep instructions for future use.</t>
  </si>
  <si>
    <t>9.1.1.3 Do not use the infant carrier if it is damaged or broken.</t>
  </si>
  <si>
    <t>9.2 Warning Statements Within the Instructional Literature:</t>
  </si>
  <si>
    <t>9.2.1 In warning statements, the symbol and the word "WARNING shall be at least 0.2 in. (5 mm) high. The remainder of the text shall be characters whose upper case shall be at least0.1 in. (2.5 mm) high.</t>
  </si>
  <si>
    <t>9.2.2 The instructions must advise how the restraint system shall be used.</t>
  </si>
  <si>
    <t>9.2.3 The instructions must indicate the manufacturer's recommended maximum height, age, or combination thereof of the occupant for which the infant carrier is intended.</t>
  </si>
  <si>
    <t>Region Standard</t>
  </si>
  <si>
    <t>Line Counts</t>
  </si>
  <si>
    <t>total</t>
  </si>
  <si>
    <t>NPD Project Launch</t>
  </si>
  <si>
    <t>Phase 0-1-2</t>
  </si>
  <si>
    <t>TDR 1</t>
  </si>
  <si>
    <t>TDR 2</t>
  </si>
  <si>
    <t>TDR 3</t>
  </si>
  <si>
    <t>Phase 5</t>
  </si>
  <si>
    <t>Phase 6</t>
  </si>
  <si>
    <t>Project Close</t>
  </si>
  <si>
    <t>Time Line &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t>
  </si>
  <si>
    <t>Review</t>
  </si>
  <si>
    <t>FRD (Template)</t>
  </si>
  <si>
    <t>Product Spec</t>
  </si>
  <si>
    <t>DFMEA</t>
  </si>
  <si>
    <t>Final QR</t>
  </si>
  <si>
    <t>Final DVP&amp;R</t>
  </si>
  <si>
    <t>CV</t>
  </si>
  <si>
    <t>EP1</t>
  </si>
  <si>
    <t>EP2</t>
  </si>
  <si>
    <t>EP3</t>
  </si>
  <si>
    <t>FEP</t>
  </si>
  <si>
    <t>Ship</t>
  </si>
  <si>
    <t>Intensive</t>
  </si>
  <si>
    <t>Marketing</t>
  </si>
  <si>
    <t>RTP</t>
  </si>
  <si>
    <t>Field</t>
  </si>
  <si>
    <t>GPS</t>
  </si>
  <si>
    <t>QFD (Template)</t>
  </si>
  <si>
    <t>Template DVP&amp;R</t>
  </si>
  <si>
    <t>DVP&amp;R Check</t>
  </si>
  <si>
    <t>Monitoring</t>
  </si>
  <si>
    <t>Engineering</t>
  </si>
  <si>
    <t>Rapid</t>
  </si>
  <si>
    <t>PIE's</t>
  </si>
  <si>
    <t>UX (Template)</t>
  </si>
  <si>
    <t>Template DFMEA</t>
  </si>
  <si>
    <t>UX Refinement</t>
  </si>
  <si>
    <t>PFMEA / Supplier PPAP / Dimensional's / Line Work Instructions / Process Validation</t>
  </si>
  <si>
    <t>Response</t>
  </si>
  <si>
    <t>Quality</t>
  </si>
  <si>
    <t>Factory</t>
  </si>
  <si>
    <t>Regulatory (Template)</t>
  </si>
  <si>
    <t>Factory Planning, Volumes, Equipment Planning, Capital Expenditures Authorization (CEA), Factory Layouts, Process Refinements, Line Pilot Runs</t>
  </si>
  <si>
    <t>Distribution</t>
  </si>
  <si>
    <t>Approved Rational</t>
  </si>
  <si>
    <t>QP's (doc)</t>
  </si>
  <si>
    <t>PLAYERS</t>
  </si>
  <si>
    <t>Phase 0</t>
  </si>
  <si>
    <t>Phase 1-2</t>
  </si>
  <si>
    <t>Phase 3</t>
  </si>
  <si>
    <t>Phase 4</t>
  </si>
  <si>
    <t>Product Brief</t>
  </si>
  <si>
    <t>Concept Models</t>
  </si>
  <si>
    <t>Usability Assessment</t>
  </si>
  <si>
    <t>Outstanding TDR1 Issues</t>
  </si>
  <si>
    <t>Outstanding TDR2 Issues</t>
  </si>
  <si>
    <t>Beta Testing Review</t>
  </si>
  <si>
    <t>Commercialization Plan</t>
  </si>
  <si>
    <t>Phase 0 Exit Presentation</t>
  </si>
  <si>
    <t>Initial Surface for CAD (Rhino)</t>
  </si>
  <si>
    <t xml:space="preserve">Aesthetic / Visual Acceptance </t>
  </si>
  <si>
    <t>Usability Assessment Plan</t>
  </si>
  <si>
    <t>Risk Register</t>
  </si>
  <si>
    <t>Customer Feedback</t>
  </si>
  <si>
    <t>Project Charter (ABC Classifications)</t>
  </si>
  <si>
    <t>Preliminary Packaging Ideas</t>
  </si>
  <si>
    <t>Usability Analysis Acceptance Summary</t>
  </si>
  <si>
    <t>Usability Assessment Results Summary</t>
  </si>
  <si>
    <t>2D Drawings (Part, Assembly, Sub-assembly) Released in System</t>
  </si>
  <si>
    <t>PLM</t>
  </si>
  <si>
    <t>Lessons Learned</t>
  </si>
  <si>
    <t>SKU Authorization Form (D Classification)</t>
  </si>
  <si>
    <t>User Experience (Internal / External)</t>
  </si>
  <si>
    <t>Review Technical Benchmark Matrix</t>
  </si>
  <si>
    <t>Fashion/Softgoods Review on Prototypes/Functional Models</t>
  </si>
  <si>
    <t>Structural Analysis Results (FEA. Physical Testing)</t>
  </si>
  <si>
    <t>Outstanding TDR3 Issues</t>
  </si>
  <si>
    <t>Project Mangement Plan</t>
  </si>
  <si>
    <t>Assign Working Name</t>
  </si>
  <si>
    <t>Preliminary Softgoods Execution</t>
  </si>
  <si>
    <t>Concept Selection Matrix</t>
  </si>
  <si>
    <t>Fabric Pattern Creation</t>
  </si>
  <si>
    <t>Product off of Production Tooling for Review(VSP, EPP1, EPP2)</t>
  </si>
  <si>
    <t>Project Budget</t>
  </si>
  <si>
    <t>Final Project Performance Report</t>
  </si>
  <si>
    <t xml:space="preserve">Obain Platform Number(s) </t>
  </si>
  <si>
    <t>1st cut Fashion Specification</t>
  </si>
  <si>
    <t>Engineering Critique</t>
  </si>
  <si>
    <t>Fashion Specification Package</t>
  </si>
  <si>
    <t>Engineering Pilots Completed(FEP)</t>
  </si>
  <si>
    <t>Detailed Schedule</t>
  </si>
  <si>
    <t>Resource Plan</t>
  </si>
  <si>
    <t>Phase 1 Exit Presentation</t>
  </si>
  <si>
    <t>Concept Validation Report</t>
  </si>
  <si>
    <t>Initiation of Legal Review</t>
  </si>
  <si>
    <t>Initial Quotes from Mills &amp; Softgoods suppliers</t>
  </si>
  <si>
    <t>Product Engineering Summary</t>
  </si>
  <si>
    <t>Procurement Plan</t>
  </si>
  <si>
    <t>Project Number</t>
  </si>
  <si>
    <t>Free Body Diagram</t>
  </si>
  <si>
    <t>Consumer Testing</t>
  </si>
  <si>
    <t>Packaging Requirements &amp; Control Document</t>
  </si>
  <si>
    <t>Phase 6 Exit Presentation</t>
  </si>
  <si>
    <t>Project Classification (ABC)</t>
  </si>
  <si>
    <t>Consumer Test Report</t>
  </si>
  <si>
    <t>Electronics Requirements</t>
  </si>
  <si>
    <t>Phase 5 Exit Presentation</t>
  </si>
  <si>
    <t>Quality Plan Update</t>
  </si>
  <si>
    <t>Project Priority (Gold, Silver, Bronze)</t>
  </si>
  <si>
    <t>Competitive Line Up Review</t>
  </si>
  <si>
    <t>Software Requirements</t>
  </si>
  <si>
    <t>Deviations (if Applicable)</t>
  </si>
  <si>
    <t>Knockout Search</t>
  </si>
  <si>
    <t>Distribute Account Feedback/Notes</t>
  </si>
  <si>
    <t>DVP&amp;R (Prepare Production Validation Test Plan/Compliance Testing)</t>
  </si>
  <si>
    <t>Corrective Action Requirements (if Applicable)</t>
  </si>
  <si>
    <t>Patent Search</t>
  </si>
  <si>
    <t>Sell sheets</t>
  </si>
  <si>
    <t>DVP&amp;R (Design Validation Test Results Summary)</t>
  </si>
  <si>
    <t>Material Specifications Released in System</t>
  </si>
  <si>
    <t>LRR Tracking Sheet</t>
  </si>
  <si>
    <t>Legal Lines</t>
  </si>
  <si>
    <t>Packaging Review</t>
  </si>
  <si>
    <t>Update PLM with latest information from Sales team</t>
  </si>
  <si>
    <t>DFMEA Released in System</t>
  </si>
  <si>
    <t>Ramp-Up Plan in Place</t>
  </si>
  <si>
    <t>Manufacturing Processes Report</t>
  </si>
  <si>
    <t>Add/Drop</t>
  </si>
  <si>
    <t>Capabilities Studies</t>
  </si>
  <si>
    <t>Marketing Specification</t>
  </si>
  <si>
    <t>Assembly Processes Report</t>
  </si>
  <si>
    <t>Packaging Kickoff Form</t>
  </si>
  <si>
    <t>Marketing Specification Refinement</t>
  </si>
  <si>
    <t>Tooling Strategy &amp; Tooling Plan</t>
  </si>
  <si>
    <t>Production Validation Report (VP&amp;R)</t>
  </si>
  <si>
    <t>Samples Plan / Matrix</t>
  </si>
  <si>
    <t>Preliminary QR</t>
  </si>
  <si>
    <t>Product Specification Refinement</t>
  </si>
  <si>
    <t>Packaging Kickoff Form - Updates</t>
  </si>
  <si>
    <t>Assembly Method Summary</t>
  </si>
  <si>
    <t>Quality Functional Deployment (QFD)</t>
  </si>
  <si>
    <t>Product Artwork, Deco, Logos, etc</t>
  </si>
  <si>
    <t>Artwork Files</t>
  </si>
  <si>
    <t>MRTP Package</t>
  </si>
  <si>
    <t>Design portion of VP&amp;R established</t>
  </si>
  <si>
    <t>Product &amp; Package</t>
  </si>
  <si>
    <t>Build Request/Work Order for Compliance Testing &amp; MRTP</t>
  </si>
  <si>
    <t>Master Product Sample</t>
  </si>
  <si>
    <t>Initial Compliance Review</t>
  </si>
  <si>
    <t>POP/Inserts</t>
  </si>
  <si>
    <t>Design Validation Report</t>
  </si>
  <si>
    <t>Tooling Release to Production</t>
  </si>
  <si>
    <t>Materials Report/Review (System, Mechanism, Structural, Compliance)</t>
  </si>
  <si>
    <t>Consumer Communication</t>
  </si>
  <si>
    <t>Production portion of VP&amp;R established</t>
  </si>
  <si>
    <t>Tooling Plan Update</t>
  </si>
  <si>
    <t>Revisit Initial Compliance Review</t>
  </si>
  <si>
    <t>Marketing Specification Package</t>
  </si>
  <si>
    <t>Revisit Materials Report/Review (System, Mechanism, Structural, Compliance)</t>
  </si>
  <si>
    <t>Process Flow Released in system</t>
  </si>
  <si>
    <t>Line Layout Released in system</t>
  </si>
  <si>
    <t>Work Instructions Released in system</t>
  </si>
  <si>
    <t>PFMEA Released in system</t>
  </si>
  <si>
    <t>Capital Expenditures Authorization (CEA)</t>
  </si>
  <si>
    <t>Control Plan Released in system</t>
  </si>
  <si>
    <t xml:space="preserve"> Assembly Processes Report</t>
  </si>
  <si>
    <t>Gage/Fixture Plan</t>
  </si>
  <si>
    <t>Costed E-BOM</t>
  </si>
  <si>
    <t>Ramp-Up Plan Update</t>
  </si>
  <si>
    <t>Product Specification Package for Release (PSR)</t>
  </si>
  <si>
    <t>Component RTP/PPAP for items not approved in Phase 4</t>
  </si>
  <si>
    <t>Approved Technical Design Review 1</t>
  </si>
  <si>
    <t>Make vs Buy Analysis</t>
  </si>
  <si>
    <t>Corrective Action Plan Updates</t>
  </si>
  <si>
    <t>Award Letter</t>
  </si>
  <si>
    <t>Update Plan for Every Part(PFEP)</t>
  </si>
  <si>
    <t>Phase 3 Exit Presentation</t>
  </si>
  <si>
    <t>Project Summary 1 Pager</t>
  </si>
  <si>
    <t>VA/VE Improvement Matrix</t>
  </si>
  <si>
    <t>3D Model (Full Assembly)</t>
  </si>
  <si>
    <t>Part Design Review Checklists</t>
  </si>
  <si>
    <t>2D Drawings (Part, Assembly, Sub-assembly)</t>
  </si>
  <si>
    <t>Phase 1 &amp; 2 Exit Presentation</t>
  </si>
  <si>
    <t>Clearance/Interference Check, Tolerance Stack Up Summary</t>
  </si>
  <si>
    <t>Quality Plan</t>
  </si>
  <si>
    <t>Structural/Performance  Analysis Results (FEA. Physical Testing)</t>
  </si>
  <si>
    <t>Finalized Design Validation Models</t>
  </si>
  <si>
    <t>Design VP&amp;R (Initial Design Test Results)</t>
  </si>
  <si>
    <t>Production VP&amp;R (Planned Testing)</t>
  </si>
  <si>
    <t>Preliminary Equipment Plan</t>
  </si>
  <si>
    <t>Compliance Report</t>
  </si>
  <si>
    <t>Preliminary Costed EBOM</t>
  </si>
  <si>
    <t>Materials Report</t>
  </si>
  <si>
    <t>PFMEA</t>
  </si>
  <si>
    <t>DFM/DFA Issue Tracker</t>
  </si>
  <si>
    <t>Moldflow Summary</t>
  </si>
  <si>
    <t>Packaging Requirments &amp; Control Document</t>
  </si>
  <si>
    <t>Package Kickoff Form - Update</t>
  </si>
  <si>
    <t>Preliminary Package Specification</t>
  </si>
  <si>
    <t>Bill of Materials</t>
  </si>
  <si>
    <t>Trademark Application / If Applicable</t>
  </si>
  <si>
    <t>Patent Application / If Applicable</t>
  </si>
  <si>
    <t>Risks &amp; Concerns Summary</t>
  </si>
  <si>
    <t>Approved Technical Design Review 2</t>
  </si>
  <si>
    <t>Engineering Specification Package</t>
  </si>
  <si>
    <t>Quality Plan Updates</t>
  </si>
  <si>
    <t>Preliminary Control Plan</t>
  </si>
  <si>
    <t>Preliminary Line Layout showing required Laborers</t>
  </si>
  <si>
    <t>Preliminary Process Flow</t>
  </si>
  <si>
    <t>Preliminary PFMEA</t>
  </si>
  <si>
    <t>Gage/Fixture Plan to address identified S&amp;C Characteristics</t>
  </si>
  <si>
    <t>Preliminary Ramp Up Plan</t>
  </si>
  <si>
    <t>Costed Bill of Materials</t>
  </si>
  <si>
    <t>Container Qty</t>
  </si>
  <si>
    <t>Preliminary Ramp Up Plan - PFG</t>
  </si>
  <si>
    <t>Plan for Every Part (PFEP)</t>
  </si>
  <si>
    <t>GPS TOOLS</t>
  </si>
  <si>
    <t>GPS Data Base Ready (Continuously Improved and Refined) Version Controlled SharePoint Documents</t>
  </si>
  <si>
    <t>GPS SharePoint Documents</t>
  </si>
  <si>
    <t>For Optimal On Time Delivery, Phases are Pliable, Compressible, Stretchable, Overlapable &lt;Sequence is Not&gt;</t>
  </si>
  <si>
    <t>Tool</t>
  </si>
  <si>
    <t>DJG-GPS-028</t>
  </si>
  <si>
    <t>Template GPS</t>
  </si>
  <si>
    <t>GPS Car Seat Master Content Source Creator</t>
  </si>
  <si>
    <t>F1 Mminimum Abdominal Depth cm 5th%ile</t>
  </si>
  <si>
    <t>F2 Mminimum Abdominal Depth cm 95th%ile</t>
  </si>
  <si>
    <t>G1 Upper Leg Thickness cm 5%tile</t>
  </si>
  <si>
    <t>NOT ALLOWED FOR ECRS IMPACT SHIELD SYSTEMS</t>
  </si>
  <si>
    <t>R129 ECRS IMPACT SHIELDS</t>
  </si>
  <si>
    <t>Plot Data</t>
  </si>
  <si>
    <t>Conditional Thigh Plot Min</t>
  </si>
  <si>
    <t>Conditional Thigh Plot Max</t>
  </si>
  <si>
    <t>Thigh Plotting Source</t>
  </si>
  <si>
    <t>R129 Annex 18 95th Shoulders</t>
  </si>
  <si>
    <t xml:space="preserve"> Abdominal Depth 5th</t>
  </si>
  <si>
    <t xml:space="preserve"> Abdominal Depth Mean</t>
  </si>
  <si>
    <t xml:space="preserve"> Abdominal Depth 95th</t>
  </si>
  <si>
    <t>$B$29</t>
  </si>
  <si>
    <t>$B$36</t>
  </si>
  <si>
    <t>$B$17</t>
  </si>
  <si>
    <t>Show Harness Strap (1/0)</t>
  </si>
  <si>
    <t>Restraint / Harness System</t>
  </si>
  <si>
    <t>Pads Thickness &amp; Shell Perimeter</t>
  </si>
  <si>
    <t>Crash Test Dummies (ATD)</t>
  </si>
  <si>
    <t>Regulatory Child Fit</t>
  </si>
  <si>
    <t>Plot Back Pad Thickness</t>
  </si>
  <si>
    <t>Show Inside Shell Surface / Show Pad Thicknesses</t>
  </si>
  <si>
    <t>Side Pad Thickness (0 - 10)</t>
  </si>
  <si>
    <t>Back Pad Thickness (0-5)</t>
  </si>
  <si>
    <t>Seat Pad Thickness (0-5)</t>
  </si>
  <si>
    <t>cm/kg</t>
  </si>
  <si>
    <t>in/lb</t>
  </si>
  <si>
    <t>G2 Upper Leg Thickness cm 95%tile</t>
  </si>
  <si>
    <t>RF Infant Carrier RF (Group 0)</t>
  </si>
  <si>
    <t>RF Infant Carrier RF Plus (Group 0, 0+)</t>
  </si>
  <si>
    <t>Quick n Easy Status</t>
  </si>
  <si>
    <t>RESET TOOL everything ON</t>
  </si>
  <si>
    <t>RESET TOOL everything OFF</t>
  </si>
  <si>
    <t>Quick n Easy Starter</t>
  </si>
  <si>
    <t>Refresh                     Content From Tool</t>
  </si>
  <si>
    <t>Convertible FF/RF (Group 0, 0+,I, II, III) with Pad ON</t>
  </si>
  <si>
    <t>FF Transitional (Group I, II, III)  with Pad ON</t>
  </si>
  <si>
    <t>FF Booster (Group II, III)  with Pad ON</t>
  </si>
  <si>
    <t>EU Shield CRS (Group II,III)  with Pad ON</t>
  </si>
  <si>
    <t>Load My Custom SAVED Tool Settings</t>
  </si>
  <si>
    <t>Home Button</t>
  </si>
  <si>
    <t>Thigh Height Min</t>
  </si>
  <si>
    <t>Thigh Height Max</t>
  </si>
  <si>
    <t>Detect Changes</t>
  </si>
  <si>
    <t>FF Trans (Group I, II, III) with Pad ON</t>
  </si>
  <si>
    <t>Tool is RESET everything OFF</t>
  </si>
  <si>
    <t>Tool is RESET everything ON</t>
  </si>
  <si>
    <r>
      <t xml:space="preserve">Not More than 18kg, shall have a minimum back height of not less than 500mm. More than 18kg, shall have a minimum back height of not less than 560mm. </t>
    </r>
    <r>
      <rPr>
        <i/>
        <sz val="12"/>
        <rFont val="Arial"/>
        <family val="2"/>
      </rPr>
      <t>Maximum back height to be defined by the product brief.</t>
    </r>
  </si>
  <si>
    <r>
      <t>QTM 87, FMVSS 209 S5.2(a),</t>
    </r>
    <r>
      <rPr>
        <sz val="12"/>
        <color indexed="18"/>
        <rFont val="Arial"/>
        <family val="2"/>
      </rPr>
      <t xml:space="preserve">  </t>
    </r>
    <r>
      <rPr>
        <sz val="12"/>
        <rFont val="Arial"/>
        <family val="2"/>
      </rPr>
      <t>ASTM B117</t>
    </r>
  </si>
  <si>
    <r>
      <t xml:space="preserve">Each material used in a CRS shall conform to the requirements in S4 of FMVSS 302, except that Dorel specifies the materials will have a burn rate of no greater than </t>
    </r>
    <r>
      <rPr>
        <sz val="12"/>
        <color rgb="FFC00000"/>
        <rFont val="Arial"/>
        <family val="2"/>
      </rPr>
      <t xml:space="preserve">4.0 </t>
    </r>
    <r>
      <rPr>
        <sz val="12"/>
        <rFont val="Arial"/>
        <family val="2"/>
      </rPr>
      <t>in-min</t>
    </r>
  </si>
  <si>
    <r>
      <t>1. No lateral impact test</t>
    </r>
    <r>
      <rPr>
        <b/>
        <sz val="12"/>
        <rFont val="Arial"/>
        <family val="2"/>
      </rPr>
      <t xml:space="preserve"> </t>
    </r>
    <r>
      <rPr>
        <sz val="12"/>
        <rFont val="Arial"/>
        <family val="2"/>
      </rPr>
      <t>using the Q10 dummy</t>
    </r>
    <r>
      <rPr>
        <b/>
        <sz val="12"/>
        <rFont val="Arial"/>
        <family val="2"/>
      </rPr>
      <t xml:space="preserve"> </t>
    </r>
    <r>
      <rPr>
        <sz val="12"/>
        <rFont val="Arial"/>
        <family val="2"/>
      </rPr>
      <t>is required for i-Size booster seats with a size range upper limit between 125 cm and 135 cm.  2. ECRS shall not be approved only on the base of Q3 test results in non-integral configuration</t>
    </r>
  </si>
  <si>
    <r>
      <t>6.3.5.3.(a)Minimum support-leg contact surface shall be 2,500 mm</t>
    </r>
    <r>
      <rPr>
        <vertAlign val="superscript"/>
        <sz val="12"/>
        <color theme="1"/>
        <rFont val="Arial"/>
        <family val="2"/>
      </rPr>
      <t>2</t>
    </r>
    <r>
      <rPr>
        <sz val="12"/>
        <color theme="1"/>
        <rFont val="Arial"/>
        <family val="2"/>
      </rPr>
      <t>(3.9 in</t>
    </r>
    <r>
      <rPr>
        <vertAlign val="superscript"/>
        <sz val="12"/>
        <color theme="1"/>
        <rFont val="Arial"/>
        <family val="2"/>
      </rPr>
      <t>2</t>
    </r>
    <r>
      <rPr>
        <sz val="12"/>
        <color theme="1"/>
        <rFont val="Arial"/>
        <family val="2"/>
      </rPr>
      <t>), measured as a projected surface 10 mm(0.4 in) above the lower edge of the support-leg foot (see Figure 0(d));</t>
    </r>
  </si>
  <si>
    <r>
      <t xml:space="preserve">A jig shall be used to check that the support-leg foot meets the requirements defined in paragraph 6.3.5.2. above (see Figure 0(e)). </t>
    </r>
    <r>
      <rPr>
        <b/>
        <sz val="12"/>
        <color theme="1"/>
        <rFont val="Arial"/>
        <family val="2"/>
      </rPr>
      <t>As an alternative a computer simulation shall also be considered satisfactory.</t>
    </r>
  </si>
  <si>
    <r>
      <t>S5.2.2.1(a) The system surface provided for the support of the child’s back shall be flat or concave and have a continuous surface area of not less than 548cm</t>
    </r>
    <r>
      <rPr>
        <vertAlign val="superscript"/>
        <sz val="12"/>
        <rFont val="Arial"/>
        <family val="2"/>
      </rPr>
      <t>2</t>
    </r>
    <r>
      <rPr>
        <sz val="12"/>
        <rFont val="Arial"/>
        <family val="2"/>
      </rPr>
      <t>(85 in</t>
    </r>
    <r>
      <rPr>
        <vertAlign val="superscript"/>
        <sz val="12"/>
        <rFont val="Arial"/>
        <family val="2"/>
      </rPr>
      <t>2</t>
    </r>
    <r>
      <rPr>
        <sz val="12"/>
        <rFont val="Arial"/>
        <family val="2"/>
      </rPr>
      <t>).</t>
    </r>
  </si>
  <si>
    <r>
      <t>S5.2.2.1(b) Each system surface provided for support of the side of the child’s torso shall be flat or concave and have a continuous surface of not less than 155cm</t>
    </r>
    <r>
      <rPr>
        <vertAlign val="superscript"/>
        <sz val="12"/>
        <rFont val="Arial"/>
        <family val="2"/>
      </rPr>
      <t>2</t>
    </r>
    <r>
      <rPr>
        <sz val="12"/>
        <rFont val="Arial"/>
        <family val="2"/>
      </rPr>
      <t>(24 in</t>
    </r>
    <r>
      <rPr>
        <vertAlign val="superscript"/>
        <sz val="12"/>
        <rFont val="Arial"/>
        <family val="2"/>
      </rPr>
      <t>2</t>
    </r>
    <r>
      <rPr>
        <sz val="12"/>
        <rFont val="Arial"/>
        <family val="2"/>
      </rPr>
      <t>) for systems recommended for children weighing 9.1kg(20 lb) or more, or 310cm</t>
    </r>
    <r>
      <rPr>
        <vertAlign val="superscript"/>
        <sz val="12"/>
        <rFont val="Arial"/>
        <family val="2"/>
      </rPr>
      <t>2</t>
    </r>
    <r>
      <rPr>
        <sz val="12"/>
        <rFont val="Arial"/>
        <family val="2"/>
      </rPr>
      <t>(48 in</t>
    </r>
    <r>
      <rPr>
        <vertAlign val="superscript"/>
        <sz val="12"/>
        <rFont val="Arial"/>
        <family val="2"/>
      </rPr>
      <t>2</t>
    </r>
    <r>
      <rPr>
        <sz val="12"/>
        <rFont val="Arial"/>
        <family val="2"/>
      </rPr>
      <t>) for systems recommended for children weighing less than 9.1kg(20 lb).</t>
    </r>
  </si>
  <si>
    <r>
      <t>S5.2.3.2(a) A 25 percent compression-deflection resistance of not less than 3.5kg/mm</t>
    </r>
    <r>
      <rPr>
        <vertAlign val="superscript"/>
        <sz val="12"/>
        <rFont val="Arial"/>
        <family val="2"/>
      </rPr>
      <t>2</t>
    </r>
    <r>
      <rPr>
        <sz val="12"/>
        <rFont val="Arial"/>
        <family val="2"/>
      </rPr>
      <t>(0.5 lb/in</t>
    </r>
    <r>
      <rPr>
        <vertAlign val="superscript"/>
        <sz val="12"/>
        <rFont val="Arial"/>
        <family val="2"/>
      </rPr>
      <t>2</t>
    </r>
    <r>
      <rPr>
        <sz val="12"/>
        <rFont val="Arial"/>
        <family val="2"/>
      </rPr>
      <t>) and not more than 70kg/mm2(10 lb/in</t>
    </r>
    <r>
      <rPr>
        <vertAlign val="superscript"/>
        <sz val="12"/>
        <rFont val="Arial"/>
        <family val="2"/>
      </rPr>
      <t>2</t>
    </r>
    <r>
      <rPr>
        <sz val="12"/>
        <rFont val="Arial"/>
        <family val="2"/>
      </rPr>
      <t>) when tested in accordance with S6.3.</t>
    </r>
  </si>
  <si>
    <r>
      <t>S5.2.3.2(b) A thickness of not less than 12.7mm(1/2 in) for materials having a 25 percent compression-deflection resistance of not less than 12.6kg/mm</t>
    </r>
    <r>
      <rPr>
        <vertAlign val="superscript"/>
        <sz val="12"/>
        <rFont val="Arial"/>
        <family val="2"/>
      </rPr>
      <t>2</t>
    </r>
    <r>
      <rPr>
        <sz val="12"/>
        <rFont val="Arial"/>
        <family val="2"/>
      </rPr>
      <t>(1.8 lb/in</t>
    </r>
    <r>
      <rPr>
        <vertAlign val="superscript"/>
        <sz val="12"/>
        <rFont val="Arial"/>
        <family val="2"/>
      </rPr>
      <t>2</t>
    </r>
    <r>
      <rPr>
        <sz val="12"/>
        <rFont val="Arial"/>
        <family val="2"/>
      </rPr>
      <t>) and not more than 70kg/mm</t>
    </r>
    <r>
      <rPr>
        <vertAlign val="superscript"/>
        <sz val="12"/>
        <rFont val="Arial"/>
        <family val="2"/>
      </rPr>
      <t>2</t>
    </r>
    <r>
      <rPr>
        <sz val="12"/>
        <rFont val="Arial"/>
        <family val="2"/>
      </rPr>
      <t>(10 lb/in</t>
    </r>
    <r>
      <rPr>
        <vertAlign val="superscript"/>
        <sz val="12"/>
        <rFont val="Arial"/>
        <family val="2"/>
      </rPr>
      <t>2</t>
    </r>
    <r>
      <rPr>
        <sz val="12"/>
        <rFont val="Arial"/>
        <family val="2"/>
      </rPr>
      <t>) when tested in accordance with S6.3. Materials having a 25 percent compression-deflection resistance of less than 12.6kg/mm</t>
    </r>
    <r>
      <rPr>
        <vertAlign val="superscript"/>
        <sz val="12"/>
        <rFont val="Arial"/>
        <family val="2"/>
      </rPr>
      <t>2</t>
    </r>
    <r>
      <rPr>
        <sz val="12"/>
        <rFont val="Arial"/>
        <family val="2"/>
      </rPr>
      <t>(1.8 lb/in</t>
    </r>
    <r>
      <rPr>
        <vertAlign val="superscript"/>
        <sz val="12"/>
        <rFont val="Arial"/>
        <family val="2"/>
      </rPr>
      <t>2</t>
    </r>
    <r>
      <rPr>
        <sz val="12"/>
        <rFont val="Arial"/>
        <family val="2"/>
      </rPr>
      <t>) shall have a thickness of not less than 19mm(3⁄4 in).</t>
    </r>
  </si>
  <si>
    <r>
      <t>S5.3.1(b)(2) The message area must be white with black text. The message area must be no less than 20cm</t>
    </r>
    <r>
      <rPr>
        <vertAlign val="superscript"/>
        <sz val="12"/>
        <rFont val="Arial"/>
        <family val="2"/>
      </rPr>
      <t>2</t>
    </r>
    <r>
      <rPr>
        <sz val="12"/>
        <rFont val="Arial"/>
        <family val="2"/>
      </rPr>
      <t>(3.1 in</t>
    </r>
    <r>
      <rPr>
        <vertAlign val="superscript"/>
        <sz val="12"/>
        <rFont val="Arial"/>
        <family val="2"/>
      </rPr>
      <t>2</t>
    </r>
    <r>
      <rPr>
        <sz val="12"/>
        <rFont val="Arial"/>
        <family val="2"/>
      </rPr>
      <t xml:space="preserve">). </t>
    </r>
  </si>
  <si>
    <r>
      <t>5.2.1.2  The buckle, even when not under tension, shall remain closed whatever its position. It shall be easy to operate and to grasp. It shall be possible to open it by pressure on a button or on a similar device. The surface to which this pressure must be applied must have in the position of actual unlocking and when projected into a plane perpendicular to the button's initial direction of motion: for enclosed devices, an area of not less than 4.5 cm</t>
    </r>
    <r>
      <rPr>
        <vertAlign val="superscript"/>
        <sz val="12"/>
        <color theme="1"/>
        <rFont val="Arial"/>
        <family val="2"/>
      </rPr>
      <t>2</t>
    </r>
    <r>
      <rPr>
        <sz val="12"/>
        <color theme="1"/>
        <rFont val="Arial"/>
        <family val="2"/>
      </rPr>
      <t>(0.7 in</t>
    </r>
    <r>
      <rPr>
        <vertAlign val="superscript"/>
        <sz val="12"/>
        <color theme="1"/>
        <rFont val="Arial"/>
        <family val="2"/>
      </rPr>
      <t>2</t>
    </r>
    <r>
      <rPr>
        <sz val="12"/>
        <color theme="1"/>
        <rFont val="Arial"/>
        <family val="2"/>
      </rPr>
      <t>) with a width of not less than 15 mm(0.6 in); for non-enclosed devices, an area of 2.5 cm</t>
    </r>
    <r>
      <rPr>
        <vertAlign val="superscript"/>
        <sz val="12"/>
        <color theme="1"/>
        <rFont val="Arial"/>
        <family val="2"/>
      </rPr>
      <t>2</t>
    </r>
    <r>
      <rPr>
        <sz val="12"/>
        <color theme="1"/>
        <rFont val="Arial"/>
        <family val="2"/>
      </rPr>
      <t>(0.4 in</t>
    </r>
    <r>
      <rPr>
        <vertAlign val="superscript"/>
        <sz val="12"/>
        <color theme="1"/>
        <rFont val="Arial"/>
        <family val="2"/>
      </rPr>
      <t>2</t>
    </r>
    <r>
      <rPr>
        <sz val="12"/>
        <color theme="1"/>
        <rFont val="Arial"/>
        <family val="2"/>
      </rPr>
      <t>) and a width of not less than 10 mm(0.4 in). The width shall be the smaller of the two dimensions forming the prescribed area and shall be measured rectangular to the direction of movement of the release button.</t>
    </r>
  </si>
  <si>
    <r>
      <t>6.7.1.2.(a)For enclosed devices, an area of not less than 4.5 cm</t>
    </r>
    <r>
      <rPr>
        <vertAlign val="superscript"/>
        <sz val="12"/>
        <color theme="1"/>
        <rFont val="Arial"/>
        <family val="2"/>
      </rPr>
      <t>2</t>
    </r>
    <r>
      <rPr>
        <sz val="12"/>
        <color theme="1"/>
        <rFont val="Arial"/>
        <family val="2"/>
      </rPr>
      <t>(0.7 in</t>
    </r>
    <r>
      <rPr>
        <vertAlign val="superscript"/>
        <sz val="12"/>
        <color theme="1"/>
        <rFont val="Arial"/>
        <family val="2"/>
      </rPr>
      <t>2</t>
    </r>
    <r>
      <rPr>
        <sz val="12"/>
        <color theme="1"/>
        <rFont val="Arial"/>
        <family val="2"/>
      </rPr>
      <t>) with a width of not less than 15 mm(0.6 in);</t>
    </r>
  </si>
  <si>
    <r>
      <t>6.7.1.2.(b)For non-enclosed devices, an area of 2.5 cm</t>
    </r>
    <r>
      <rPr>
        <vertAlign val="superscript"/>
        <sz val="12"/>
        <color theme="1"/>
        <rFont val="Arial"/>
        <family val="2"/>
      </rPr>
      <t>2</t>
    </r>
    <r>
      <rPr>
        <sz val="12"/>
        <color theme="1"/>
        <rFont val="Arial"/>
        <family val="2"/>
      </rPr>
      <t>(0.4 in</t>
    </r>
    <r>
      <rPr>
        <vertAlign val="superscript"/>
        <sz val="12"/>
        <color theme="1"/>
        <rFont val="Arial"/>
        <family val="2"/>
      </rPr>
      <t>2</t>
    </r>
    <r>
      <rPr>
        <sz val="12"/>
        <color theme="1"/>
        <rFont val="Arial"/>
        <family val="2"/>
      </rPr>
      <t>) and a width of not less than 10 mm(0.4 in). The width shall be the smaller of the two dimensions forming the prescribed area and shall be measured rectangular to the direction of movement of the release button.</t>
    </r>
  </si>
  <si>
    <r>
      <t>S5.4.3.5(c) Meet the requirements of S4.3(d)(2) of FMVSS No. 209 (§ 571.209), except that the minimum surface area for child restraint buckles designed for push button application shall be 3.9cm</t>
    </r>
    <r>
      <rPr>
        <vertAlign val="superscript"/>
        <sz val="12"/>
        <rFont val="Arial"/>
        <family val="2"/>
      </rPr>
      <t>2</t>
    </r>
    <r>
      <rPr>
        <sz val="12"/>
        <rFont val="Arial"/>
        <family val="2"/>
      </rPr>
      <t>(0.6 in</t>
    </r>
    <r>
      <rPr>
        <vertAlign val="superscript"/>
        <sz val="12"/>
        <rFont val="Arial"/>
        <family val="2"/>
      </rPr>
      <t>2</t>
    </r>
    <r>
      <rPr>
        <sz val="12"/>
        <rFont val="Arial"/>
        <family val="2"/>
      </rPr>
      <t>);</t>
    </r>
  </si>
  <si>
    <t xml:space="preserve">5.2.5.4  The amount of slip of the strap shall not exceed 25 mm after the test for class A device prescribed in 6.2.6.1. When using group Ⅰ child restraint system, the device shall meet the requirements of 4.3.9. </t>
  </si>
  <si>
    <r>
      <t>S5.5.2(k)(3)(ii) The message area shall be white with black text. The message area shall be no less than 30 cm</t>
    </r>
    <r>
      <rPr>
        <vertAlign val="superscript"/>
        <sz val="12"/>
        <rFont val="Arial"/>
        <family val="2"/>
      </rPr>
      <t>2</t>
    </r>
    <r>
      <rPr>
        <sz val="12"/>
        <rFont val="Arial"/>
        <family val="2"/>
      </rPr>
      <t>(4.65in</t>
    </r>
    <r>
      <rPr>
        <vertAlign val="superscript"/>
        <sz val="12"/>
        <rFont val="Arial"/>
        <family val="2"/>
      </rPr>
      <t>2</t>
    </r>
    <r>
      <rPr>
        <sz val="12"/>
        <rFont val="Arial"/>
        <family val="2"/>
      </rPr>
      <t>).</t>
    </r>
  </si>
  <si>
    <r>
      <rPr>
        <u/>
        <sz val="12"/>
        <color theme="1"/>
        <rFont val="Arial"/>
        <family val="2"/>
      </rPr>
      <t>Car</t>
    </r>
    <r>
      <rPr>
        <sz val="12"/>
        <color theme="1"/>
        <rFont val="Arial"/>
        <family val="2"/>
      </rPr>
      <t xml:space="preserve">                     </t>
    </r>
    <r>
      <rPr>
        <u/>
        <sz val="12"/>
        <color theme="1"/>
        <rFont val="Arial"/>
        <family val="2"/>
      </rPr>
      <t xml:space="preserve">  Front </t>
    </r>
    <r>
      <rPr>
        <sz val="12"/>
        <color theme="1"/>
        <rFont val="Arial"/>
        <family val="2"/>
      </rPr>
      <t xml:space="preserve">                    </t>
    </r>
    <r>
      <rPr>
        <u/>
        <sz val="12"/>
        <color theme="1"/>
        <rFont val="Arial"/>
        <family val="2"/>
      </rPr>
      <t xml:space="preserve">  Rear</t>
    </r>
  </si>
  <si>
    <r>
      <t xml:space="preserve">                                                                             </t>
    </r>
    <r>
      <rPr>
        <u/>
        <sz val="12"/>
        <color theme="1"/>
        <rFont val="Arial"/>
        <family val="2"/>
      </rPr>
      <t xml:space="preserve"> Outer</t>
    </r>
    <r>
      <rPr>
        <sz val="12"/>
        <color theme="1"/>
        <rFont val="Arial"/>
        <family val="2"/>
      </rPr>
      <t xml:space="preserve">     </t>
    </r>
    <r>
      <rPr>
        <u/>
        <sz val="12"/>
        <color theme="1"/>
        <rFont val="Arial"/>
        <family val="2"/>
      </rPr>
      <t>Centre</t>
    </r>
  </si>
  <si>
    <t>Before and after Testing : : F ≤ 50 N</t>
  </si>
  <si>
    <t>After Dynamic Testing : F ≤ 50 N</t>
  </si>
  <si>
    <t>RF</t>
  </si>
  <si>
    <t>BF</t>
  </si>
  <si>
    <t>Convertible F/R (Group 0, 0+,I, II, III) with Pad ON</t>
  </si>
  <si>
    <t>group 0, the children mass: &lt;10 kg(22 lb);</t>
  </si>
  <si>
    <t xml:space="preserve">group 0+,the children mass: &lt;13 kg(28.7 lb); </t>
  </si>
  <si>
    <t>group I,the children mass: 9 ~18kg(20~40 lb);</t>
  </si>
  <si>
    <t>group II,the children mass:15~25kg(33~55 lb);</t>
  </si>
  <si>
    <t xml:space="preserve">group III,the children mass:22~36kg(48.5~79 lb). </t>
  </si>
  <si>
    <t>RF Infant Carrier RF Plus (Group 0)</t>
  </si>
  <si>
    <t>RF Infant Carrier RF Plus (Group 0+)</t>
  </si>
  <si>
    <t>104.2 - Force to slide the headrest to the lowest position</t>
  </si>
  <si>
    <t>104.3 - Force to slide the headrest to the highest position</t>
  </si>
  <si>
    <t>104.6 - Headrest lifting resistance</t>
  </si>
  <si>
    <t>107.7 - Strength test of the rotating locking mechanism</t>
  </si>
  <si>
    <t>108.4 - Force to unlock the Top Tether without stress</t>
  </si>
  <si>
    <t xml:space="preserve">116.1 - Endurance modularity </t>
  </si>
  <si>
    <t xml:space="preserve">116.2 - Force to open the modularity </t>
  </si>
  <si>
    <t>116.3 - Force to close the modularity</t>
  </si>
  <si>
    <t>18.11 - Full harness adjuster efficiency</t>
  </si>
  <si>
    <t>Component</t>
  </si>
  <si>
    <t>na</t>
  </si>
  <si>
    <t>Child remains inside car seat during side crash</t>
  </si>
  <si>
    <t>Force Distribution</t>
  </si>
  <si>
    <t>Dynamic performance</t>
  </si>
  <si>
    <t>Fire</t>
  </si>
  <si>
    <t>Canadian Bilingual</t>
  </si>
  <si>
    <t>amazon Packaging Integrity requirement</t>
  </si>
  <si>
    <t>Materials will be identified utilizing the ANSI denotation and if space allows the ISO recycle symbol as well.</t>
  </si>
  <si>
    <t>Car Seat Requirements - Child Restraint Webbing</t>
  </si>
  <si>
    <t xml:space="preserve">Following the QTM procedure, expect for the drop height to be 36 inches.  No critical occurrences are allowed.  </t>
  </si>
  <si>
    <t>Consumer not satisfied with aesthetic, poor quality perception</t>
  </si>
  <si>
    <t>Child ejects in roll over crash</t>
  </si>
  <si>
    <t>See FMVSS S5.2.2(a), TP-213 C6.1, CMVSS FMVSS FMVSS S 213 See FMVSS SOR/DORS FMVSS S 2010-90  209 (a)</t>
  </si>
  <si>
    <t xml:space="preserve"> Subpart K Newborn</t>
  </si>
  <si>
    <t>Subpart R CRABI 12</t>
  </si>
  <si>
    <t>Subpart P HIII-3yr</t>
  </si>
  <si>
    <t>Subpart S HIII-6yr wtd</t>
  </si>
  <si>
    <t>Subpart T HIII-10yr</t>
  </si>
  <si>
    <t>Subpart N HIII-6yr or Sub Part I HII 6yr</t>
  </si>
  <si>
    <t>F</t>
  </si>
  <si>
    <t>B4</t>
  </si>
  <si>
    <t>B5</t>
  </si>
  <si>
    <t>B6</t>
  </si>
  <si>
    <t>B14</t>
  </si>
  <si>
    <t>B15</t>
  </si>
  <si>
    <t>B16</t>
  </si>
  <si>
    <t>B17</t>
  </si>
  <si>
    <t>Dummy Flag</t>
  </si>
  <si>
    <t>Preset Configuratons (Push One!)</t>
  </si>
  <si>
    <t>http://cybex-online.com/us/safetycenter/protection-with-impact-shields.html</t>
  </si>
  <si>
    <t>Car seats with impact shield have regularly received top results in the test of leading independent European consumer organisations like Germany's "Stiftung Warentest", British "Which? Magazine", the French "que choisir", the number one European motoring organisation, the German "ADAC" and the Dutch "ANWB".</t>
  </si>
  <si>
    <t>6W</t>
  </si>
  <si>
    <t>Harness Hybrid Restraint w/ Booster</t>
  </si>
  <si>
    <t>Type</t>
  </si>
  <si>
    <t>ATD Applicability Tables</t>
  </si>
  <si>
    <t>GoTo GPS</t>
  </si>
  <si>
    <t xml:space="preserve">   Go Easy             Go</t>
  </si>
  <si>
    <t>Home          You are in GPS</t>
  </si>
  <si>
    <t>Forward Booster (Group II, III)  with Pad ON</t>
  </si>
  <si>
    <t>Forward Trans (Group I, II, III) with Pad ON</t>
  </si>
  <si>
    <t>Rear Facing Infant (Group 0, 0+)</t>
  </si>
  <si>
    <t>Rear Facing Infant (Group 0)</t>
  </si>
  <si>
    <t xml:space="preserve">Handle carrying  </t>
  </si>
  <si>
    <t xml:space="preserve">Carseat on the base </t>
  </si>
  <si>
    <t>Temperature Test</t>
  </si>
  <si>
    <t>Recline Adjustment</t>
  </si>
  <si>
    <t>Harness &amp; Buckles Dimension</t>
  </si>
  <si>
    <t>Harness &amp; Buckles
System</t>
  </si>
  <si>
    <t xml:space="preserve">Isofix System </t>
  </si>
  <si>
    <t xml:space="preserve">Rotation of the seat </t>
  </si>
  <si>
    <t>Top Tether System</t>
  </si>
  <si>
    <t xml:space="preserve">Support Leg </t>
  </si>
  <si>
    <t>Specific Test on the Base or the CRS</t>
  </si>
  <si>
    <t>User Manual</t>
  </si>
  <si>
    <t>Accessory</t>
  </si>
  <si>
    <t>Manual</t>
  </si>
  <si>
    <t>Installation in the vehicule</t>
  </si>
  <si>
    <t xml:space="preserve"> Support leg Installation
/ Top Tether</t>
  </si>
  <si>
    <t>Various tests</t>
  </si>
  <si>
    <t>Electronics</t>
  </si>
  <si>
    <t>Dynamic Matrix</t>
  </si>
  <si>
    <t xml:space="preserve">Legal and internal standards
</t>
  </si>
  <si>
    <t>Transport</t>
  </si>
  <si>
    <t>Modularity</t>
  </si>
  <si>
    <t>Backrest</t>
  </si>
  <si>
    <t>Button effort to unlock the handle</t>
  </si>
  <si>
    <t>Endurance Handle</t>
  </si>
  <si>
    <t>Locking resistance of handle positions</t>
  </si>
  <si>
    <t>Force to move up/down and lock on the Handle</t>
  </si>
  <si>
    <t>Pushing and Pulling handle testing</t>
  </si>
  <si>
    <t>Locking effort on the base</t>
  </si>
  <si>
    <t>Effort to unlock the seat from the base</t>
  </si>
  <si>
    <t>Car seat unit removal force from the base</t>
  </si>
  <si>
    <t>Car seat locking resistance from the base</t>
  </si>
  <si>
    <t>Endurance on the base</t>
  </si>
  <si>
    <t>Internal vibration endurance testing</t>
  </si>
  <si>
    <t>Ageing Temperature Test Vehicle Type</t>
  </si>
  <si>
    <t>Temperature Test  Long Time</t>
  </si>
  <si>
    <t>Recline unlock Force</t>
  </si>
  <si>
    <t>Recline Force; sitting to sleeping position</t>
  </si>
  <si>
    <t>Recline Force; sleeping to sitting position</t>
  </si>
  <si>
    <t>Recline resistance in sleeping position</t>
  </si>
  <si>
    <t>Recline resistance in sitting position</t>
  </si>
  <si>
    <t>Recline Endurance test</t>
  </si>
  <si>
    <t>Force to unlock the headrest</t>
  </si>
  <si>
    <t>Force to slide the headrest to the lowest position</t>
  </si>
  <si>
    <t>Force to slide the headrest to the highest position</t>
  </si>
  <si>
    <t>Headrest adjustment endurance</t>
  </si>
  <si>
    <t>Headrest resistance to transportation.</t>
  </si>
  <si>
    <t>Headrest lifting resistance</t>
  </si>
  <si>
    <t>Headrest loading test</t>
  </si>
  <si>
    <t>Headrest BSR</t>
  </si>
  <si>
    <t>Headrest strength test</t>
  </si>
  <si>
    <t>Headrest intigrity test</t>
  </si>
  <si>
    <t xml:space="preserve">Check the headrest play </t>
  </si>
  <si>
    <t>Lenght maxi available</t>
  </si>
  <si>
    <t>Lenght mini available</t>
  </si>
  <si>
    <t>Harness Position</t>
  </si>
  <si>
    <t>Confort</t>
  </si>
  <si>
    <t>Distance maxi available : mini 220 mm  ( For information: ISEOS 240 mm)</t>
  </si>
  <si>
    <t>Height Position of buckle (Check with dummy)</t>
  </si>
  <si>
    <t>Harness Buckle insert force</t>
  </si>
  <si>
    <t>Endurance on the adjuster webbing</t>
  </si>
  <si>
    <t>Buckle Endurance test</t>
  </si>
  <si>
    <t>Buckle load strength</t>
  </si>
  <si>
    <t>Click noise for the locking</t>
  </si>
  <si>
    <t>Hook play when locked</t>
  </si>
  <si>
    <t>Button stroke before unlock</t>
  </si>
  <si>
    <t>Buckles safe locking</t>
  </si>
  <si>
    <t>Buckle droptest</t>
  </si>
  <si>
    <t>Pendulum Impact</t>
  </si>
  <si>
    <t>Gardner impact</t>
  </si>
  <si>
    <t>Buckle contamination</t>
  </si>
  <si>
    <t>Webbing release pull force</t>
  </si>
  <si>
    <t>Twisting of harness in shoulder pads</t>
  </si>
  <si>
    <t>Wear of the webbing after 5000 cycles</t>
  </si>
  <si>
    <t xml:space="preserve">Impossible that the child can easily acess to adjuster </t>
  </si>
  <si>
    <t>Avoid involuntary unlock on central adjuster during the crash</t>
  </si>
  <si>
    <t>Effort to twist the webbing in the thongs</t>
  </si>
  <si>
    <t xml:space="preserve">Damage of IML label on base by webbing Pebble
(Check when the webbing pass on the label we have a risk of damage due to the friction)
</t>
  </si>
  <si>
    <t xml:space="preserve">Webbing through guide installation   </t>
  </si>
  <si>
    <t xml:space="preserve">Webbing guide strength </t>
  </si>
  <si>
    <t xml:space="preserve">Webbing guide endurance </t>
  </si>
  <si>
    <t>Force to tighten the harness</t>
  </si>
  <si>
    <t>Isofix Release Button Force Left and Right. First Lock.</t>
  </si>
  <si>
    <t>Isofix Release Button Force Left and Right. Second Lock</t>
  </si>
  <si>
    <t>Force to slide the connector</t>
  </si>
  <si>
    <t>Force to hold the connector in outside position</t>
  </si>
  <si>
    <t>Force to lock the Isofix connector</t>
  </si>
  <si>
    <t>Force to hold the anchorage in locking position on the bench</t>
  </si>
  <si>
    <t>Isofix Endurance test</t>
  </si>
  <si>
    <t>Isofix strength test</t>
  </si>
  <si>
    <t>Locking button strength test</t>
  </si>
  <si>
    <t>Child lock strength test</t>
  </si>
  <si>
    <t>Effort to move the direction selector</t>
  </si>
  <si>
    <t>Effort to move the rotating handle</t>
  </si>
  <si>
    <t>Effort to turn the seat</t>
  </si>
  <si>
    <t>Endurance testing Forward facing</t>
  </si>
  <si>
    <t>Endurance testing Rearward facing</t>
  </si>
  <si>
    <t>Endurance testing direction selector</t>
  </si>
  <si>
    <t>Strength test of the rotating locking mechanism</t>
  </si>
  <si>
    <t>Check the headrest play</t>
  </si>
  <si>
    <t>Endurance Top Tether</t>
  </si>
  <si>
    <t>Belt sliding force</t>
  </si>
  <si>
    <t>Force to unlock the Top Tether under stress</t>
  </si>
  <si>
    <t>Force to unlock the Top Tether without stress</t>
  </si>
  <si>
    <t>Endurance hook</t>
  </si>
  <si>
    <t>Force to engage the hook</t>
  </si>
  <si>
    <t>Strength of the hook</t>
  </si>
  <si>
    <t>Support Leg Adjustment Endurance</t>
  </si>
  <si>
    <t>Force to unlock adjustment release button</t>
  </si>
  <si>
    <t>Support leg folding endurance test</t>
  </si>
  <si>
    <t>Force to lock the support leg in folded position</t>
  </si>
  <si>
    <t>Force to unlock the support leg from folded position</t>
  </si>
  <si>
    <t xml:space="preserve"> Force to adjust support leg height (extracting) </t>
  </si>
  <si>
    <t xml:space="preserve"> Force to adjust support leg height (retracting) </t>
  </si>
  <si>
    <t>Belt guide strength test</t>
  </si>
  <si>
    <t>Strength of the bumper bar</t>
  </si>
  <si>
    <t>Strength of the small parts</t>
  </si>
  <si>
    <t>Moving parts</t>
  </si>
  <si>
    <t>Storage compartment for the manual (On the Regulation)</t>
  </si>
  <si>
    <t>Installation tips and online use (website BBC &amp; MC) 
Check the good link of the QR Code</t>
  </si>
  <si>
    <t>User Manual Test (on the real sample)</t>
  </si>
  <si>
    <t>Textile accessory to be validated according the Qualification Plan Cover</t>
  </si>
  <si>
    <t>Usage of the summer cover (housse éponge)</t>
  </si>
  <si>
    <t>Usage of the Rain cover (habillage pluie)</t>
  </si>
  <si>
    <t>Raincover Endurance</t>
  </si>
  <si>
    <t>Raincover Effectiveness</t>
  </si>
  <si>
    <t>Usage of the Towelling cover (housse protection)</t>
  </si>
  <si>
    <t>Usage of the Canopy</t>
  </si>
  <si>
    <t>Canopy in low position</t>
  </si>
  <si>
    <t>Suncanopy Endurance test</t>
  </si>
  <si>
    <t>Suncanopy Operation Forces</t>
  </si>
  <si>
    <t>Suncanopy Strength in all directions</t>
  </si>
  <si>
    <t>Suncanopy installation force</t>
  </si>
  <si>
    <t xml:space="preserve">Suncanopy removal force </t>
  </si>
  <si>
    <t>Suncanopy installation Endurance</t>
  </si>
  <si>
    <t>Suncanopy click sound</t>
  </si>
  <si>
    <t>Operation force to unlock the folding mechanism  of the sun canopy.</t>
  </si>
  <si>
    <t>Memory function of the mechanism for the Suncanopy</t>
  </si>
  <si>
    <t>Safe unclipping of sun shade and accessories not intended for carrying the carry cot.</t>
  </si>
  <si>
    <t>Usage of the Boot (tablier) for carry cot and infant car seat</t>
  </si>
  <si>
    <t>Usage of the harness hook</t>
  </si>
  <si>
    <t>Usage of the Reducer</t>
  </si>
  <si>
    <t>Check the presence of the User labels (WARNING AIRBAG)</t>
  </si>
  <si>
    <t xml:space="preserve">Position homologation labels and Homologation Number  </t>
  </si>
  <si>
    <t>Warning label on the visible inner surface</t>
  </si>
  <si>
    <t xml:space="preserve">R44 and R129 markings </t>
  </si>
  <si>
    <t>Marketing label (specific to the product)</t>
  </si>
  <si>
    <t xml:space="preserve"> R129/R44 information for the customer (affichette)</t>
  </si>
  <si>
    <t>Car fitting list for version R129 and R44</t>
  </si>
  <si>
    <t>Address of manufacter on a packing box</t>
  </si>
  <si>
    <t>Space with other seat or passager</t>
  </si>
  <si>
    <t>Compatibility seat vehicule</t>
  </si>
  <si>
    <t>Installation in the middle vehicle bench</t>
  </si>
  <si>
    <t>Installation on the base "sliding device" (specific product)</t>
  </si>
  <si>
    <t>Accessibility to fix and to set the support leg / Top Tether (seeing green)</t>
  </si>
  <si>
    <t>Where incremental adjustment is provided, the step between two locked positions shall not exceed 20 mm.(support Leg)</t>
  </si>
  <si>
    <t>Storage of the support leg or Top Tether</t>
  </si>
  <si>
    <t xml:space="preserve">No inadvertent unlocking </t>
  </si>
  <si>
    <t>During the dynamic test</t>
  </si>
  <si>
    <t>On vibration in the vehicule</t>
  </si>
  <si>
    <t>Shaking the seat</t>
  </si>
  <si>
    <t>New Overturning 
 (no unlocking of the system during overturning)</t>
  </si>
  <si>
    <t>Qualitative perception of gap in locked position = limit XX mm</t>
  </si>
  <si>
    <t>Perception of radial gap</t>
  </si>
  <si>
    <t>Ergonomics and easy use</t>
  </si>
  <si>
    <t>No agressivity during the use</t>
  </si>
  <si>
    <t>Buzz, Rattle and Squeak (BSR) test</t>
  </si>
  <si>
    <t>External Vibrations tests  (6 axles directions)</t>
  </si>
  <si>
    <t>Power consumption (standby)</t>
  </si>
  <si>
    <t>Power consumption (LED and Buzzer active)</t>
  </si>
  <si>
    <t>Battery low detection</t>
  </si>
  <si>
    <t>Battery high detection</t>
  </si>
  <si>
    <t>Workes in voltage range</t>
  </si>
  <si>
    <t>Reverse pole protection (electric)</t>
  </si>
  <si>
    <t>Wave length red LED</t>
  </si>
  <si>
    <t>Wave length green LED</t>
  </si>
  <si>
    <t>Color temperature white LED</t>
  </si>
  <si>
    <t>Brightness red LED (@20mA)</t>
  </si>
  <si>
    <t>Brightness green LED (@20mA)</t>
  </si>
  <si>
    <t>Brightness white LED (@20mA)</t>
  </si>
  <si>
    <t>Viewing angle</t>
  </si>
  <si>
    <t>Sound pressure Buzzer</t>
  </si>
  <si>
    <t>Check the Test plan done by Quality Engineer and R&amp;D</t>
  </si>
  <si>
    <t>Frontal impact / rear impact and side impact</t>
  </si>
  <si>
    <t>stiwa rating</t>
  </si>
  <si>
    <t xml:space="preserve">Frontal impact </t>
  </si>
  <si>
    <t>(Un)packing test</t>
  </si>
  <si>
    <t>Box drop test</t>
  </si>
  <si>
    <t>Box load test</t>
  </si>
  <si>
    <t>Box vibration test</t>
  </si>
  <si>
    <t>Europallet fitting test</t>
  </si>
  <si>
    <t>Endurance side adjustment</t>
  </si>
  <si>
    <t>Force to open the sides</t>
  </si>
  <si>
    <t>Force to close the slides</t>
  </si>
  <si>
    <t xml:space="preserve">Base assembly force connect to upper and lower </t>
  </si>
  <si>
    <t xml:space="preserve">Base disassembly force Separate the upper and lower </t>
  </si>
  <si>
    <t>Backrest hooks endurance</t>
  </si>
  <si>
    <t>Force to lock the backrest hooks</t>
  </si>
  <si>
    <t xml:space="preserve">Force to unlock the backrest hooks </t>
  </si>
  <si>
    <t>Seat and backrest hooks resistance</t>
  </si>
  <si>
    <t>m</t>
  </si>
  <si>
    <t>100.1</t>
  </si>
  <si>
    <t>100.2</t>
  </si>
  <si>
    <t>100.3</t>
  </si>
  <si>
    <t>100.4</t>
  </si>
  <si>
    <t>100.5</t>
  </si>
  <si>
    <t>101.1</t>
  </si>
  <si>
    <t>101.2</t>
  </si>
  <si>
    <t>101.3</t>
  </si>
  <si>
    <t>101.4</t>
  </si>
  <si>
    <t>101.5</t>
  </si>
  <si>
    <t>101.6</t>
  </si>
  <si>
    <t>102.1</t>
  </si>
  <si>
    <t>102.2</t>
  </si>
  <si>
    <t>103.1</t>
  </si>
  <si>
    <t>103.2</t>
  </si>
  <si>
    <t>103.3</t>
  </si>
  <si>
    <t>103.4</t>
  </si>
  <si>
    <t>103.5</t>
  </si>
  <si>
    <t>103.6</t>
  </si>
  <si>
    <t>104.1</t>
  </si>
  <si>
    <t>104.2</t>
  </si>
  <si>
    <t>104.3</t>
  </si>
  <si>
    <t>104.4</t>
  </si>
  <si>
    <t>104.5</t>
  </si>
  <si>
    <t>104.6</t>
  </si>
  <si>
    <t>104.7</t>
  </si>
  <si>
    <t>104.8</t>
  </si>
  <si>
    <t>104.9</t>
  </si>
  <si>
    <t>104.10</t>
  </si>
  <si>
    <t>Create TMC</t>
  </si>
  <si>
    <t>105.1</t>
  </si>
  <si>
    <t>105.2</t>
  </si>
  <si>
    <t>105.3</t>
  </si>
  <si>
    <t>105.4</t>
  </si>
  <si>
    <t>105.5</t>
  </si>
  <si>
    <t>105.6</t>
  </si>
  <si>
    <t>105.7</t>
  </si>
  <si>
    <t>105.8</t>
  </si>
  <si>
    <t>105.9</t>
  </si>
  <si>
    <t>105.10</t>
  </si>
  <si>
    <t>105.11</t>
  </si>
  <si>
    <t>105.12</t>
  </si>
  <si>
    <t>105.13</t>
  </si>
  <si>
    <t>Put on the TMC 105.2</t>
  </si>
  <si>
    <t>C105.22</t>
  </si>
  <si>
    <t>105.28</t>
  </si>
  <si>
    <t>105.29</t>
  </si>
  <si>
    <t>105.30</t>
  </si>
  <si>
    <t>105.14</t>
  </si>
  <si>
    <t xml:space="preserve">106.1 </t>
  </si>
  <si>
    <t>106.2</t>
  </si>
  <si>
    <t>106.3</t>
  </si>
  <si>
    <t>106.4</t>
  </si>
  <si>
    <t>106.5</t>
  </si>
  <si>
    <t>106.6</t>
  </si>
  <si>
    <t>106.7</t>
  </si>
  <si>
    <t>106.8</t>
  </si>
  <si>
    <t>106.9</t>
  </si>
  <si>
    <t>106.10</t>
  </si>
  <si>
    <t>107.1</t>
  </si>
  <si>
    <t>107.2</t>
  </si>
  <si>
    <t>107.3</t>
  </si>
  <si>
    <t>107.4</t>
  </si>
  <si>
    <t>107.5</t>
  </si>
  <si>
    <t>107.6</t>
  </si>
  <si>
    <t>107.7</t>
  </si>
  <si>
    <t>create TMC</t>
  </si>
  <si>
    <t>108.1</t>
  </si>
  <si>
    <t>108.2</t>
  </si>
  <si>
    <t>108.3</t>
  </si>
  <si>
    <t>108.4</t>
  </si>
  <si>
    <t>108.5</t>
  </si>
  <si>
    <t>108.6</t>
  </si>
  <si>
    <t>108.7</t>
  </si>
  <si>
    <t>109.1</t>
  </si>
  <si>
    <t>109.2</t>
  </si>
  <si>
    <t>109.3</t>
  </si>
  <si>
    <t>109.4</t>
  </si>
  <si>
    <t>109.5</t>
  </si>
  <si>
    <t>109.8</t>
  </si>
  <si>
    <t>109.9</t>
  </si>
  <si>
    <t>111.1</t>
  </si>
  <si>
    <t>111.2</t>
  </si>
  <si>
    <t>111.3</t>
  </si>
  <si>
    <t>111.4</t>
  </si>
  <si>
    <t>R129 / R44</t>
  </si>
  <si>
    <t>No TMC</t>
  </si>
  <si>
    <t>205.1</t>
  </si>
  <si>
    <t>205.2</t>
  </si>
  <si>
    <t>201.11</t>
  </si>
  <si>
    <t>204.1</t>
  </si>
  <si>
    <t>204.2</t>
  </si>
  <si>
    <t>204.3</t>
  </si>
  <si>
    <t>204.4</t>
  </si>
  <si>
    <t>204.5</t>
  </si>
  <si>
    <t>204.6</t>
  </si>
  <si>
    <t>204.7</t>
  </si>
  <si>
    <t>204.8</t>
  </si>
  <si>
    <t>204.9</t>
  </si>
  <si>
    <t>204.10</t>
  </si>
  <si>
    <t>113.1</t>
  </si>
  <si>
    <t>113.2</t>
  </si>
  <si>
    <t>113.3</t>
  </si>
  <si>
    <t>113.4</t>
  </si>
  <si>
    <t>113.5</t>
  </si>
  <si>
    <t>113.6</t>
  </si>
  <si>
    <t>113.7</t>
  </si>
  <si>
    <t>113.8</t>
  </si>
  <si>
    <t>113.9</t>
  </si>
  <si>
    <t>113.10</t>
  </si>
  <si>
    <t>113.11</t>
  </si>
  <si>
    <t>113.12</t>
  </si>
  <si>
    <t>113.13</t>
  </si>
  <si>
    <t>113.14</t>
  </si>
  <si>
    <t xml:space="preserve">ADAC frontal impact </t>
  </si>
  <si>
    <t xml:space="preserve">HARD PULSE frontal impact </t>
  </si>
  <si>
    <t>DEU-QA-0324</t>
  </si>
  <si>
    <t>116.1</t>
  </si>
  <si>
    <t>116.2</t>
  </si>
  <si>
    <t>116.3</t>
  </si>
  <si>
    <t>119.1</t>
  </si>
  <si>
    <t>119.2</t>
  </si>
  <si>
    <t>119.3</t>
  </si>
  <si>
    <t>119.4</t>
  </si>
  <si>
    <t>119.5</t>
  </si>
  <si>
    <t>119.6</t>
  </si>
  <si>
    <t xml:space="preserve"> 25 N &lt; F &lt; 50N</t>
  </si>
  <si>
    <t>The handle must work,
the handle should not be unclip (Check area surrounded)</t>
  </si>
  <si>
    <t>No breakage / the product shall still fulfill its original functions</t>
  </si>
  <si>
    <t>≤ 20N</t>
  </si>
  <si>
    <t>No breakage / the product shall still fulfill its original functions.</t>
  </si>
  <si>
    <t>The car seat shall lock with no additional effort under 10 sec</t>
  </si>
  <si>
    <t xml:space="preserve"> 25 N &lt; F &lt; 70 N</t>
  </si>
  <si>
    <t>≤ 30N</t>
  </si>
  <si>
    <t>&gt; 250 N</t>
  </si>
  <si>
    <t>The product shall not disassemble, break or partially disassemble. The product shall still fulfill its original functions</t>
  </si>
  <si>
    <t>25 N &lt; F &lt; 70 N for hand operated type
25 N &lt; F &lt; 50 N finger operated type</t>
  </si>
  <si>
    <t>25 N &lt; F &lt; 50 N
Torque = ???</t>
  </si>
  <si>
    <t>The recline locking mechanism shall not break and remain in position without (partly) unlocking the carseat.</t>
  </si>
  <si>
    <t>35 N &lt; F &lt; 55 N</t>
  </si>
  <si>
    <t>break or partially disassemble until a load of 200 N is reached. The product shall still fulfill its original functions</t>
  </si>
  <si>
    <t>No BSR</t>
  </si>
  <si>
    <t>The headrest shall not break and shall still operate correctly</t>
  </si>
  <si>
    <t>The headrest shall not break or disassemble or disengage from one position to another and shall still fulfill its original function.</t>
  </si>
  <si>
    <t>10 N &lt; F &lt; 60 N</t>
  </si>
  <si>
    <t>The product shall not be disassembled, break or partially disassembled. The product shall still fulfill its original functions</t>
  </si>
  <si>
    <t xml:space="preserve">The buckle shall not unclip, The product shall still fulfill its original functions. </t>
  </si>
  <si>
    <t>60 dB &lt; noise &lt; 80 dB</t>
  </si>
  <si>
    <t>The 2 mm round gauge shall not enter into the space between the parts</t>
  </si>
  <si>
    <t xml:space="preserve">The stroke measure to unclip the buckle shall be higher than the half of the total stroke </t>
  </si>
  <si>
    <t>The buckle shall have no hook position that allows unclipping without pushing on the button</t>
  </si>
  <si>
    <t>xx N &lt; F &lt; xx N</t>
  </si>
  <si>
    <t>No damage or premature</t>
  </si>
  <si>
    <t xml:space="preserve">F ≤ 50 N
</t>
  </si>
  <si>
    <t>F &lt; 5 N</t>
  </si>
  <si>
    <t>10 N &lt; F &lt; 30 N</t>
  </si>
  <si>
    <t>F &lt; 35 N</t>
  </si>
  <si>
    <t>No movement  allowed of the Isofix connector</t>
  </si>
  <si>
    <t>15 N &lt; F &lt;  35 N</t>
  </si>
  <si>
    <t>The product shall not be disassembled, break or partially disassembled and  there shall be no movement. The product shall still fulfill its original functions</t>
  </si>
  <si>
    <t xml:space="preserve"> 5 N &lt; F &lt; 20 N</t>
  </si>
  <si>
    <t>20 N &lt; F &lt; 50 N</t>
  </si>
  <si>
    <t>30 N &lt; F &lt; 80 N</t>
  </si>
  <si>
    <t>The product shall not be disassembled, break or partially disassembled. The product shall still fulfill its original functions.</t>
  </si>
  <si>
    <t>Not premature belt wear 
The product shall not be disassembled, break or partially disassembled. The product shall still fulfill its original functions</t>
  </si>
  <si>
    <t>5 N  &lt; F &lt; 20 N</t>
  </si>
  <si>
    <t>50 N &lt; F &lt; 80 N</t>
  </si>
  <si>
    <t>30 N &lt; F &lt;  60 N</t>
  </si>
  <si>
    <t>???</t>
  </si>
  <si>
    <t xml:space="preserve">No breakage and the deformation shall not impair the use of the belt guide. </t>
  </si>
  <si>
    <t xml:space="preserve">No breakage and the deformation shall not impair the use of the seat base. </t>
  </si>
  <si>
    <t>After testing any component or part of a component that is removed, whether intended to be removed without the use of a tool or not, shall not fit entirely within the small parts cylinder (5.6 of EN 1888:2012) in any orientation without compression.</t>
  </si>
  <si>
    <t>During testing there shall be no potentially hazardous shear and compression points between rigid parts moving relative to each other that can close to less than 12 mm, except during adjustments made by the carer.</t>
  </si>
  <si>
    <t>The product shall not be damaged and the raincover must still fulfill its original function.</t>
  </si>
  <si>
    <t xml:space="preserve">No water stains on the test-clothes </t>
  </si>
  <si>
    <t>Canopy musn't fall on the face of the baby</t>
  </si>
  <si>
    <t>The product shall not disassemble, break or partially disassemble. The product shall still fulfill its original functions.</t>
  </si>
  <si>
    <t>10N &lt; F &lt; 50N</t>
  </si>
  <si>
    <t>F&lt; 50N</t>
  </si>
  <si>
    <t>40 N &lt; F &lt; 70 N</t>
  </si>
  <si>
    <t>Max peak  &lt; 90 dB (A)
50 dB (A) &lt; Average Value &lt; 80dB(A</t>
  </si>
  <si>
    <t>When tested the buttons shall stay in unlocked position until the suncanopy folding operation has been started</t>
  </si>
  <si>
    <t>The sun shade or accessory shall unclip before lifting the carry cot</t>
  </si>
  <si>
    <t>NA</t>
  </si>
  <si>
    <t>Box may be damaged, Product may not be damaged and have full
function</t>
  </si>
  <si>
    <t>No tearing /severe wearing of the box</t>
  </si>
  <si>
    <t>Vehicle Attachment</t>
  </si>
  <si>
    <t>Test Dummy</t>
  </si>
  <si>
    <t>Meet Regulation</t>
  </si>
  <si>
    <t>Surfaces</t>
  </si>
  <si>
    <t>Functional</t>
  </si>
  <si>
    <t>Side Crash</t>
  </si>
  <si>
    <t>Inversion</t>
  </si>
  <si>
    <t>Labeling</t>
  </si>
  <si>
    <t>Packaging Performance</t>
  </si>
  <si>
    <t>Chemicals</t>
  </si>
  <si>
    <t>Component Durability and Reliability</t>
  </si>
  <si>
    <t>Movement of Adjustable Features</t>
  </si>
  <si>
    <t>Protrusion Limitation:  Occupant Side of the Shell</t>
  </si>
  <si>
    <t>Buckle Release</t>
  </si>
  <si>
    <t>Frontal Crash Performance- Dorel Internal Targets</t>
  </si>
  <si>
    <t>Carry Handle Auto-Locking Test</t>
  </si>
  <si>
    <t>Carry Handle Integrity- Durability Cyclic</t>
  </si>
  <si>
    <t>Carry Handle Integrity- Endurance Testing Forward Facing</t>
  </si>
  <si>
    <t>Carry Handle Integrity- Endurance Test Rear Facing</t>
  </si>
  <si>
    <t>Product Surface Slip Resistance</t>
  </si>
  <si>
    <t>FMVSS-213 S5.2.1(b)</t>
  </si>
  <si>
    <t>FMVSS-213 S5.2.2.1(b), TP-213 C.6.2</t>
  </si>
  <si>
    <t>FMVSS-213 S5.2.4,  TP-213 12 C.8</t>
  </si>
  <si>
    <t>ASTM F2050, 5.5</t>
  </si>
  <si>
    <t>Dorel Kettering Side Impact Test Procedure</t>
  </si>
  <si>
    <t>QTM-20</t>
  </si>
  <si>
    <t>ASTM F 2050–12  7.3</t>
  </si>
  <si>
    <t>Every surface of a CRS that is contactable by the heard of an ATD must be covered by energy -absorbing materials that meet the requirements specified. A thickness of not less than 12mm with resistance of not less than 12kPa but not more than 70kPa or a thickness of not less than 19mm with a resistance of not less than 4kPa but less than 12kPa.</t>
  </si>
  <si>
    <t>Shall not press on the child's flesh or push the child's body into an unnatural position.</t>
  </si>
  <si>
    <t>See platform specific QR</t>
  </si>
  <si>
    <t>Any portion of a side impact structural component within or underlying a side support surface, with any padding or other flexible overlay material removed, shall have smooth and continuous system surface of not more than 1/8 inch offset and no exposed edge with a radius of less than 1/4 inch.</t>
  </si>
  <si>
    <t>Openings—Holes or slots that exist in the product in any manufacturer’s recommended use position, that are accessible to the toes and fingers of the occupant, and that extend entirely through a wall section of any rigid material less than 0.375-in. (9.53-mm) thick and admit a 0.210-in. (5.33-mm) diameter rod, shall also admit a 0.500-in. (12.7-mm) diameter rod. Holes or slots that are between 0.210 in. (5.33 mm) and 0.375 in. (9.53 mm) and have a wall thickness less than 0.375 in. (9.53 mm) but are limited in depth to 0.375 in. (9.53 mm) maximum by another rigid surface shall be permissible.</t>
  </si>
  <si>
    <t>Before performing any testing follow the requirements specified in S6.2.1 the buckle shall not release when a force of less than 40 newtons (N) is applied and shall release when a force of not more than 62 N is applied;.  Upon completion of testing follow the requirements S6.2.2, S6.2.3 the buckle shall not release when a force of not more than 71 N is applied as per the requirements specified in S5.4.3.5.</t>
  </si>
  <si>
    <t xml:space="preserve">Head must be contained within the shell of the CRS. Criteria: “Contained” requires that energy absorbing section of the side wing remains between the head and a virtual intruding vertical plane, representing the side structure of the vehicle. </t>
  </si>
  <si>
    <t>Head / Door contact must not occur, as evidenced by video and/or chalk transfer.</t>
  </si>
  <si>
    <t>Each item shall meet the requirements included in the sections in the QR.</t>
  </si>
  <si>
    <t>Product Components shall meet all requirements specified in QTM 20, except that vertical minimum pull strength shall be 1.3 lbs (6 N) rather than 2 lbs (9 N).</t>
  </si>
  <si>
    <t>Handle must either: a) automatically move to the carry position and lock, or move to an obvious non-carry position -or- b) move to and  lock in the carry position when lifted as prescribed -or- c) move to and lock in a secondary lock position when lifted and force is applied to end of carry as prescribed, without the unrestrained dummy falling out of the carrier.</t>
  </si>
  <si>
    <t>.  Test per 7.2.1, except apply 30+/-1 lbf for 6000 cycles.  Passing criteria: No change in functional operation.</t>
  </si>
  <si>
    <t>Use the CAMI II infant dummy with weight added to meet maximum load specified for the carrier.  Test per 7.2.2, except hang carrier for  4 hrs..  At end of 4 hrs., perform 50 cycle drop test of 1.2 lb. weight from 8"; handle must not break of shift position.  Remove carrier from fixture &amp; apply 60 lbs of force for 10 sec. toward rear of carrier.  Handle must not break or shift position.</t>
  </si>
  <si>
    <t>Use the CAMI II infant dummy with weight added to meet maximum load specified for the carrier.  Test per 7.2.3 hang carrier for 15 mins., perform 50 cycle drop test of 1.2 lb. weight from 8"; handle must not break or shift position.  Remove from fixture &amp; apply 60 lbs of force for 10 sec. toward front of carrier.  Handle must not break or shift position.</t>
  </si>
  <si>
    <t>Carrier must not slip on test surface when tested in the forward, side, and rearward orientations as presribed.</t>
  </si>
  <si>
    <r>
      <t xml:space="preserve">If Back Width at Back Support Height </t>
    </r>
    <r>
      <rPr>
        <u/>
        <sz val="12"/>
        <rFont val="Arial"/>
        <family val="2"/>
      </rPr>
      <t>&gt;</t>
    </r>
    <r>
      <rPr>
        <sz val="12"/>
        <rFont val="Arial"/>
        <family val="2"/>
      </rPr>
      <t xml:space="preserve"> 8 inches, Wing Depth Must </t>
    </r>
    <r>
      <rPr>
        <u/>
        <sz val="12"/>
        <rFont val="Arial"/>
        <family val="2"/>
      </rPr>
      <t>&gt;</t>
    </r>
    <r>
      <rPr>
        <sz val="12"/>
        <rFont val="Arial"/>
        <family val="2"/>
      </rPr>
      <t xml:space="preserve"> to CG of Appropriate Dummy Measured Perpendicular to the Back Surface.</t>
    </r>
  </si>
  <si>
    <t>S7</t>
  </si>
  <si>
    <t>S7.1.2</t>
  </si>
  <si>
    <t>S7.1.3</t>
  </si>
  <si>
    <t>S5.7</t>
  </si>
  <si>
    <t>S5(b)</t>
  </si>
  <si>
    <t>S5(c)</t>
  </si>
  <si>
    <t>S5(d)</t>
  </si>
  <si>
    <t>S5(e)</t>
  </si>
  <si>
    <t>S5(f)</t>
  </si>
  <si>
    <t>S5.2</t>
  </si>
  <si>
    <t>S5.2.1</t>
  </si>
  <si>
    <t>S5.2.1.1</t>
  </si>
  <si>
    <t>S5.2.1.1(a)</t>
  </si>
  <si>
    <t>S5.2.1.1(a)(1)</t>
  </si>
  <si>
    <t>S5.2.1.1(a)(2)</t>
  </si>
  <si>
    <t>S5.2.1.1(b)</t>
  </si>
  <si>
    <t>S5.2.1.1(c)</t>
  </si>
  <si>
    <t>S5.2.1.2</t>
  </si>
  <si>
    <t>S5.2.1.2(a)</t>
  </si>
  <si>
    <t>S5.2.2</t>
  </si>
  <si>
    <t>S5.2.2.1(a)</t>
  </si>
  <si>
    <t>S5.2.2.1(b)</t>
  </si>
  <si>
    <t>S5.2.2.1(c)</t>
  </si>
  <si>
    <t>S5.2.2.2</t>
  </si>
  <si>
    <t>S5.2.2.2(a)</t>
  </si>
  <si>
    <t>S5.2.2.2(a)(1)</t>
  </si>
  <si>
    <t>S5.2.2.2(a)(2)</t>
  </si>
  <si>
    <t>S5.2.2.2(b)</t>
  </si>
  <si>
    <t>S5.2.3</t>
  </si>
  <si>
    <t>S5.2.3.1</t>
  </si>
  <si>
    <t>S5.2.3.2</t>
  </si>
  <si>
    <t>S5.2.3.2(a)</t>
  </si>
  <si>
    <t>S5.2.3.2(b)</t>
  </si>
  <si>
    <t>S5.2.4</t>
  </si>
  <si>
    <t>S5.3</t>
  </si>
  <si>
    <t>S5.3.1</t>
  </si>
  <si>
    <t>S5.3.1(a)</t>
  </si>
  <si>
    <t>S5.3.1(b)</t>
  </si>
  <si>
    <t>S5.3.1(b)(1)</t>
  </si>
  <si>
    <t>S5.3.1(b)(2)</t>
  </si>
  <si>
    <t>S5.3.1(b)(3)</t>
  </si>
  <si>
    <t>S5.3.2</t>
  </si>
  <si>
    <t>S5.3.3</t>
  </si>
  <si>
    <t>S5.9</t>
  </si>
  <si>
    <t>S5.9(a)</t>
  </si>
  <si>
    <t>S5.9(b)</t>
  </si>
  <si>
    <t>S5.9(c)</t>
  </si>
  <si>
    <t>S5.9(d)</t>
  </si>
  <si>
    <t>S5.1</t>
  </si>
  <si>
    <t>S5.1.1</t>
  </si>
  <si>
    <t>S5.1.1(a)</t>
  </si>
  <si>
    <t>S5.1.1(b)(1)</t>
  </si>
  <si>
    <t>S5.1.1(b)(2)(i)</t>
  </si>
  <si>
    <t>S5.1.1(b)(2)(ii)</t>
  </si>
  <si>
    <t>S5.1.2</t>
  </si>
  <si>
    <t>S5.1.2(a)</t>
  </si>
  <si>
    <t>S5.1.2(b)</t>
  </si>
  <si>
    <t>S5.1.2.1</t>
  </si>
  <si>
    <t>S5.1.2.1(a)</t>
  </si>
  <si>
    <t>S5.1.2.1(b)</t>
  </si>
  <si>
    <t>S5.1.3</t>
  </si>
  <si>
    <t>S5.1.3.1</t>
  </si>
  <si>
    <t>S5.1.3.1(a)</t>
  </si>
  <si>
    <t>S5.1.3.1(a)(1)</t>
  </si>
  <si>
    <t>S5.1.3.1(a)(2)</t>
  </si>
  <si>
    <t>S5.1.3.1(b)</t>
  </si>
  <si>
    <t>S5.1.3.2</t>
  </si>
  <si>
    <t>S5.1.3.3</t>
  </si>
  <si>
    <t>S5.1.4</t>
  </si>
  <si>
    <t>S5.4.3.5</t>
  </si>
  <si>
    <t>S5.4.3.5(a)</t>
  </si>
  <si>
    <t>S5.4.3.5(b)</t>
  </si>
  <si>
    <t>S5.4.3.5(c)</t>
  </si>
  <si>
    <t>S5.4.3.5(d)</t>
  </si>
  <si>
    <t>S5.4.3.5(e)</t>
  </si>
  <si>
    <t>S5.4.2</t>
  </si>
  <si>
    <t>S5.4</t>
  </si>
  <si>
    <t>S5.4.1.2</t>
  </si>
  <si>
    <t>S5.4.1.2(a)</t>
  </si>
  <si>
    <t>S5.4.1.2(b)(1)</t>
  </si>
  <si>
    <t>S5.4.1.2(b)(2)</t>
  </si>
  <si>
    <t>S5.4.1.2(c)(1)</t>
  </si>
  <si>
    <t>S5.4.1.2(c)(2)</t>
  </si>
  <si>
    <t>S5.4.1.2(d)</t>
  </si>
  <si>
    <t>S5.4.1.3</t>
  </si>
  <si>
    <t>S5.4.3</t>
  </si>
  <si>
    <t>S5.4.3.1</t>
  </si>
  <si>
    <t>S5.4.3.2</t>
  </si>
  <si>
    <t>S5.4.3.2(a)</t>
  </si>
  <si>
    <t>S5.4.3.2(b)</t>
  </si>
  <si>
    <t>S5.4.3.3</t>
  </si>
  <si>
    <t>S5.4.3.3(a)</t>
  </si>
  <si>
    <t>S5.4.3.3(a)(i)</t>
  </si>
  <si>
    <t>S5.4.3.3(a)(ii)</t>
  </si>
  <si>
    <t>S5.4.3.3(b)</t>
  </si>
  <si>
    <t>S5.4.3.3(b)(i)</t>
  </si>
  <si>
    <t>S5.4.3.3(b)(ii)</t>
  </si>
  <si>
    <t>S5.4.3.3b(c)</t>
  </si>
  <si>
    <t>S5.4.3.3(c)(i)</t>
  </si>
  <si>
    <t>S5.4.3.3(c)(ii)</t>
  </si>
  <si>
    <t>S5.4.3.4</t>
  </si>
  <si>
    <t>S5.4.3.4(a)</t>
  </si>
  <si>
    <t>S5.4.3.4(b)</t>
  </si>
  <si>
    <t>S5.4.3.4(c)</t>
  </si>
  <si>
    <t>S5.5</t>
  </si>
  <si>
    <t>S5.5.1</t>
  </si>
  <si>
    <t>S5.5.2</t>
  </si>
  <si>
    <t>S5.5.2(a)</t>
  </si>
  <si>
    <t>S5.5.2(b)</t>
  </si>
  <si>
    <t>S5.5.2(c)</t>
  </si>
  <si>
    <t>S5.5.2(d)</t>
  </si>
  <si>
    <t>S5.5.2(e)</t>
  </si>
  <si>
    <t>S5.5.2(f)</t>
  </si>
  <si>
    <t>S5.5.2(f)(1)</t>
  </si>
  <si>
    <t>S5.5.2(f)(2)</t>
  </si>
  <si>
    <t>S5.5.2(f)(3)</t>
  </si>
  <si>
    <t>S5.5.2(f)(4)</t>
  </si>
  <si>
    <t>S5.5.2(g)(1)</t>
  </si>
  <si>
    <t>S5.5.2(g)(1)(i)</t>
  </si>
  <si>
    <t>S5.5.2(g)(1)(ii)</t>
  </si>
  <si>
    <t>S5.5.2(g)(1)(iii)</t>
  </si>
  <si>
    <t>S5.5.2(g)(1)(iv)</t>
  </si>
  <si>
    <t>S5.5.2(g)(2)</t>
  </si>
  <si>
    <t>S5.5.2(g)(3)</t>
  </si>
  <si>
    <t>S5.5.2(h)</t>
  </si>
  <si>
    <t>S5.5.2(i)(1)</t>
  </si>
  <si>
    <t>S5.5.2(i)(1)(i)</t>
  </si>
  <si>
    <t>S5.5.2(i)(1)(ii)</t>
  </si>
  <si>
    <t>S5.5.2(i)(2)(i)</t>
  </si>
  <si>
    <t>S5.5.2(i)(2)(ii)</t>
  </si>
  <si>
    <t>S5.5.2(j)</t>
  </si>
  <si>
    <t>S5.5.2(k)(1)</t>
  </si>
  <si>
    <t>S5.5.2(k)(2)</t>
  </si>
  <si>
    <t>S5.5.2(k)(3)</t>
  </si>
  <si>
    <t>S5.5.2(k)(3)(i)</t>
  </si>
  <si>
    <t>S5.5.2(k)(3)(ii)</t>
  </si>
  <si>
    <t>S5.5.2(k)(3)(iii)</t>
  </si>
  <si>
    <t>S5.5.2(k)(4)</t>
  </si>
  <si>
    <t>S5.5.2(l)</t>
  </si>
  <si>
    <t>S5.5.2(l)(1)</t>
  </si>
  <si>
    <t>S5.5.2(l)(2)</t>
  </si>
  <si>
    <t>S5.5.2(l)(3)</t>
  </si>
  <si>
    <t>S5.5.2(l)(3)(i)</t>
  </si>
  <si>
    <t>S5.5.2(l)(3)(i)(A)</t>
  </si>
  <si>
    <t>S5.5.2(l)(3)(i)(C)</t>
  </si>
  <si>
    <t>S5.5.2(l)(3)(ii)</t>
  </si>
  <si>
    <t>S5.5.2(l)(3)(ii)(a)</t>
  </si>
  <si>
    <t>S5.5.2(l)(3)(ii)(b)</t>
  </si>
  <si>
    <t>S5.5.2(l)(3)(ii)(c)</t>
  </si>
  <si>
    <t>S5.5.2(m)</t>
  </si>
  <si>
    <t>S5.5.2(m)(i)</t>
  </si>
  <si>
    <t>S5.5.2(m)(ii)</t>
  </si>
  <si>
    <t>S5.5.2(n)</t>
  </si>
  <si>
    <t>S5.5.3</t>
  </si>
  <si>
    <t>S5.5.4(a)</t>
  </si>
  <si>
    <t>S5.5.4(b) </t>
  </si>
  <si>
    <t>S5.5.5</t>
  </si>
  <si>
    <t>S5.5.5(a)</t>
  </si>
  <si>
    <t>S5.5.5(b)</t>
  </si>
  <si>
    <t>S5.5.5(c)</t>
  </si>
  <si>
    <t>S5.5.5(d)</t>
  </si>
  <si>
    <t>S5.5.5(e)</t>
  </si>
  <si>
    <t>S5.5.5(f)</t>
  </si>
  <si>
    <t>S5.5.5(f)(1)</t>
  </si>
  <si>
    <t>S5.5.5(f)(2)</t>
  </si>
  <si>
    <t>S5.5.5(f)(3)</t>
  </si>
  <si>
    <t>S5.5.5(f)(4)</t>
  </si>
  <si>
    <t>S5.5.5(g)</t>
  </si>
  <si>
    <t>S5.5.5(g)(1)</t>
  </si>
  <si>
    <t>S5.5.5(g)(2)</t>
  </si>
  <si>
    <t>S5.5.5(g)(3)</t>
  </si>
  <si>
    <t>S5.5.5(h)</t>
  </si>
  <si>
    <t>S5.5.5(i)</t>
  </si>
  <si>
    <t>S5.5.5(j)</t>
  </si>
  <si>
    <t>S5.5.5(k)</t>
  </si>
  <si>
    <t>S5.5.5(k)(i)</t>
  </si>
  <si>
    <t>S5.5.5(k)(ii)</t>
  </si>
  <si>
    <t>S5.5.5(l)</t>
  </si>
  <si>
    <t>S5.6</t>
  </si>
  <si>
    <t>S5.6.1</t>
  </si>
  <si>
    <t>S5.6.1.1</t>
  </si>
  <si>
    <t>S5.6.1.2</t>
  </si>
  <si>
    <t>S5.6.1.3</t>
  </si>
  <si>
    <t>S5.6.1.4</t>
  </si>
  <si>
    <t>S5.6.1.5</t>
  </si>
  <si>
    <t>S5.6.1.6</t>
  </si>
  <si>
    <t>S5.6.1.7</t>
  </si>
  <si>
    <t>S5.6.1.7(i)</t>
  </si>
  <si>
    <t>S5.6.1.7(ii)</t>
  </si>
  <si>
    <t>S5.6.1.8</t>
  </si>
  <si>
    <t>S5.6.1.9</t>
  </si>
  <si>
    <t>S5.6.1.10(a)</t>
  </si>
  <si>
    <t>S5.6.1.10(a)(1)</t>
  </si>
  <si>
    <t>S5.6.1.10(a)(2)</t>
  </si>
  <si>
    <t>S5.6.1.10(b)(1)</t>
  </si>
  <si>
    <t>S5.6.1.10(b)(2)</t>
  </si>
  <si>
    <t>S5.6.1.10(c)</t>
  </si>
  <si>
    <t>S5.6.1.11</t>
  </si>
  <si>
    <t>S5.6.1.12(a)</t>
  </si>
  <si>
    <t>S5.6.1.12(b)</t>
  </si>
  <si>
    <t>S5.6.2</t>
  </si>
  <si>
    <t>S5.6.2(a)</t>
  </si>
  <si>
    <t>S5.6.2(b)</t>
  </si>
  <si>
    <t>S5.6.2.1</t>
  </si>
  <si>
    <t>S5.6.2.2</t>
  </si>
  <si>
    <t>S5.6.2.2(i)</t>
  </si>
  <si>
    <t>S5.6.2.2(ii)</t>
  </si>
  <si>
    <t>S5.6.2.3</t>
  </si>
  <si>
    <t>S5.6.2.4</t>
  </si>
  <si>
    <t>S5.6.2.5</t>
  </si>
  <si>
    <t>S5.6.3</t>
  </si>
  <si>
    <t>S5.8</t>
  </si>
  <si>
    <t>S5.8.1</t>
  </si>
  <si>
    <t>S5.8.1(a)</t>
  </si>
  <si>
    <t>S5.8.1(b)</t>
  </si>
  <si>
    <t>S5.8.1(b)(1)</t>
  </si>
  <si>
    <t>S5.8.1(b)(2)</t>
  </si>
  <si>
    <t>S5.8.1(b)(3)</t>
  </si>
  <si>
    <t>S5.8.1(c)</t>
  </si>
  <si>
    <t>S5.8.1(d)</t>
  </si>
  <si>
    <t>S5.8.2</t>
  </si>
  <si>
    <t>S5.8.2(a)</t>
  </si>
  <si>
    <t>S5.8.2(a)(1)</t>
  </si>
  <si>
    <t>S5.8.2(a)(1)(i)</t>
  </si>
  <si>
    <t>S5.8.2(a)(1)(ii)</t>
  </si>
  <si>
    <t>S5.8.2(a)(1)(iii)</t>
  </si>
  <si>
    <t>S5.8.2(a)(1)(iv)</t>
  </si>
  <si>
    <t>S5.8.2(a)(1)(v)</t>
  </si>
  <si>
    <t>S5.8.2(a)(2)</t>
  </si>
  <si>
    <t>S8</t>
  </si>
  <si>
    <t>S8.1</t>
  </si>
  <si>
    <t>S8.2</t>
  </si>
  <si>
    <t>S8.2.1</t>
  </si>
  <si>
    <t>S8.2.2</t>
  </si>
  <si>
    <t>S8.2.3</t>
  </si>
  <si>
    <t>S8.2.4</t>
  </si>
  <si>
    <t>S8.2.5</t>
  </si>
  <si>
    <t>S8.2.6</t>
  </si>
  <si>
    <t>S5.1.1, TP-213 12 A.3, D</t>
  </si>
  <si>
    <t>S5.1.1, TP-213 12 A.3, D; CMVSS 213 SOR/DORS 2010-90 315(1)(a),(b)</t>
  </si>
  <si>
    <t>S6.2, TP-213 12 A.3, D</t>
  </si>
  <si>
    <t>S1</t>
  </si>
  <si>
    <t>S2</t>
  </si>
  <si>
    <t>S3</t>
  </si>
  <si>
    <t>I2</t>
  </si>
  <si>
    <t>I1</t>
  </si>
  <si>
    <t>ASTM F2050-12  7.2.3</t>
  </si>
  <si>
    <t>ASTM F2050-12   7.1</t>
  </si>
  <si>
    <t>ASTM F2050-12   7.2.1</t>
  </si>
  <si>
    <t>ASTM F2050-12  7.2.2</t>
  </si>
  <si>
    <t>Reference document (Standard, Regulation, North America Internal Test Method)</t>
  </si>
  <si>
    <t>CMVSS 213</t>
  </si>
  <si>
    <t>Label Visability</t>
  </si>
  <si>
    <t>Hand Held / Free Standing Carrier</t>
  </si>
  <si>
    <t>Hand Held Carrier</t>
  </si>
  <si>
    <t>Recommended Use</t>
  </si>
  <si>
    <t>Paper Label</t>
  </si>
  <si>
    <t>LTM</t>
  </si>
  <si>
    <t>LTM Child Ejection</t>
  </si>
  <si>
    <t>LTM Label Comes Off</t>
  </si>
  <si>
    <t>If Applicable Limitation</t>
  </si>
  <si>
    <t>LTM Cuts to Skin</t>
  </si>
  <si>
    <t>LTM Carrier Slipping Falling from Elevated Surfaces</t>
  </si>
  <si>
    <t>LTM Seperation of Components</t>
  </si>
  <si>
    <t>LTM Choking</t>
  </si>
  <si>
    <t>LTM Splinter injury</t>
  </si>
  <si>
    <t>LTM Test Calibratons</t>
  </si>
  <si>
    <t>LTM Toy Hazards Prevention</t>
  </si>
  <si>
    <t>LTM Choking Hazards</t>
  </si>
  <si>
    <t>LTM Sharp Cutting Edges</t>
  </si>
  <si>
    <t>LTM Crush / Tip Over</t>
  </si>
  <si>
    <t>LTM Bite That Seperates Choking Hazard</t>
  </si>
  <si>
    <t>Type Code</t>
  </si>
  <si>
    <t>Containment</t>
  </si>
  <si>
    <t>Energy Absorbing Foam</t>
  </si>
  <si>
    <t>Consumer</t>
  </si>
  <si>
    <t>Endurance</t>
  </si>
  <si>
    <t>Endurance Temperature</t>
  </si>
  <si>
    <t>Impact Strength</t>
  </si>
  <si>
    <t>Consumer Use</t>
  </si>
  <si>
    <t>Load Strength</t>
  </si>
  <si>
    <t>Auduble Indication</t>
  </si>
  <si>
    <t>Brightness</t>
  </si>
  <si>
    <t>Power</t>
  </si>
  <si>
    <t>Visual</t>
  </si>
  <si>
    <t>Effectiveness</t>
  </si>
  <si>
    <t>Percieved Quality</t>
  </si>
  <si>
    <t>Percieved Safety</t>
  </si>
  <si>
    <t>Car Fit</t>
  </si>
  <si>
    <t>Enhanced Child Restraint</t>
  </si>
  <si>
    <t>I-Size Catagories</t>
  </si>
  <si>
    <t>Special Needs</t>
  </si>
  <si>
    <t>ISOFIX</t>
  </si>
  <si>
    <t>Support Leg</t>
  </si>
  <si>
    <t>I-Size</t>
  </si>
  <si>
    <t>Adjusting Component</t>
  </si>
  <si>
    <t>Buckle Component</t>
  </si>
  <si>
    <t>ALR Component</t>
  </si>
  <si>
    <t>ELR Component</t>
  </si>
  <si>
    <t>Webbing Component</t>
  </si>
  <si>
    <t>ISOFIX Component</t>
  </si>
  <si>
    <t xml:space="preserve"> ASTM F2050, 5.6</t>
  </si>
  <si>
    <t>Shall not show rust</t>
  </si>
  <si>
    <t>Adjuster Component</t>
  </si>
  <si>
    <t>Car Seat Requirements - CFA Tether Assembly</t>
  </si>
  <si>
    <t>Tether component</t>
  </si>
  <si>
    <t>Tether Component</t>
  </si>
  <si>
    <t>LATCH Component</t>
  </si>
  <si>
    <t>QTM 2, 16 CFR 1500.52,  ASTM F963-16 8.8</t>
  </si>
  <si>
    <t>LTM Finger Entrapment</t>
  </si>
  <si>
    <t>S5.8.2(a)(1)(v) “This registration is only applicable to child restraint systems purchased in the For United States.” (Displayed in bold typeface, caps and lower case, and minimum 12 point type.)</t>
  </si>
  <si>
    <t>“This registration is only applicable to child restraint systems purchased in the For United States.” (Displayed in bold typeface, caps and lower case, and minimum 12 point type.)</t>
  </si>
  <si>
    <t>Regions Shown</t>
  </si>
  <si>
    <t>QTM / TMC / LTM</t>
  </si>
  <si>
    <t>IT1</t>
  </si>
  <si>
    <t>ST1</t>
  </si>
  <si>
    <t>IT2</t>
  </si>
  <si>
    <t>Reset All Filters</t>
  </si>
  <si>
    <t>3 Harness slots Harness Height</t>
  </si>
  <si>
    <t>3 Harness Slots Neck Gap Breadth</t>
  </si>
  <si>
    <t>2 Harness slots Harness Height</t>
  </si>
  <si>
    <t>2 Harness Slots Neck Gap Breadth</t>
  </si>
  <si>
    <t>You are Home       Save Settings</t>
  </si>
  <si>
    <t>Harness Slots / Head Rest Pos (1-12)</t>
  </si>
  <si>
    <t>S5.1.2 Injury criteria.  When tested in accordance with S6.1 and with the test dummies specified in S7, each child restraint system manufactured before August 1, 2005, that, in accordance with S5.5.2, is recommended for use by children whose mass is more than 10 kg(22 lb) shall—</t>
  </si>
  <si>
    <t xml:space="preserve"> Product Specifications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</si>
</sst>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_(* #,##0.00_);_(* \(#,##0.00\);_(* &quot;-&quot;??_);_(@_)"/>
    <numFmt numFmtId="166" formatCode="0.0"/>
    <numFmt numFmtId="167" formatCode="0.000"/>
    <numFmt numFmtId="168" formatCode="[$-409]mmmm\-yy;@"/>
    <numFmt numFmtId="169" formatCode="0.0%"/>
    <numFmt numFmtId="170" formatCode="_(* #,##0_);_(* \(#,##0\);_(* &quot;-&quot;??_);_(@_)"/>
  </numFmts>
  <fonts count="105">
    <font>
      <sz val="10"/>
      <color theme="1"/>
      <name val="Calibri"/>
      <family val="2"/>
    </font>
    <font>
      <sz val="10"/>
      <name val="Calibri"/>
      <family val="2"/>
    </font>
    <font>
      <sz val="10"/>
      <name val="Calibri"/>
      <family val="2"/>
    </font>
    <font>
      <sz val="11"/>
      <color theme="1"/>
      <name val="Calibri"/>
      <family val="2"/>
      <scheme val="minor"/>
    </font>
    <font>
      <b/>
      <sz val="14"/>
      <name val="Arial"/>
      <family val="2"/>
    </font>
    <font>
      <u/>
      <sz val="10"/>
      <color indexed="12"/>
      <name val="Arial"/>
      <family val="2"/>
    </font>
    <font>
      <b/>
      <sz val="10"/>
      <name val="Arial"/>
      <family val="2"/>
    </font>
    <font>
      <sz val="10"/>
      <name val="Arial"/>
      <family val="2"/>
    </font>
    <font>
      <b/>
      <sz val="11"/>
      <name val="Arial"/>
      <family val="2"/>
    </font>
    <font>
      <b/>
      <sz val="11"/>
      <color theme="1"/>
      <name val="Arial"/>
      <family val="2"/>
    </font>
    <font>
      <sz val="11"/>
      <color theme="5" tint="0.59999389629810485"/>
      <name val="Calibri"/>
      <family val="2"/>
      <scheme val="minor"/>
    </font>
    <font>
      <sz val="8"/>
      <color theme="1"/>
      <name val="Calibri"/>
      <family val="2"/>
      <scheme val="minor"/>
    </font>
    <font>
      <sz val="11"/>
      <name val="Calibri"/>
      <family val="2"/>
      <scheme val="minor"/>
    </font>
    <font>
      <b/>
      <sz val="8"/>
      <color indexed="81"/>
      <name val="Tahoma"/>
      <family val="2"/>
    </font>
    <font>
      <sz val="10"/>
      <color theme="1"/>
      <name val="Calibri"/>
      <family val="2"/>
    </font>
    <font>
      <b/>
      <sz val="24"/>
      <color theme="1"/>
      <name val="Calibri"/>
      <family val="2"/>
      <scheme val="minor"/>
    </font>
    <font>
      <b/>
      <sz val="11"/>
      <color theme="1"/>
      <name val="Calibri"/>
      <family val="2"/>
      <scheme val="minor"/>
    </font>
    <font>
      <b/>
      <vertAlign val="superscript"/>
      <sz val="11"/>
      <color theme="1"/>
      <name val="Calibri"/>
      <family val="2"/>
      <scheme val="minor"/>
    </font>
    <font>
      <sz val="10"/>
      <color theme="0"/>
      <name val="Calibri"/>
      <family val="2"/>
    </font>
    <font>
      <sz val="9"/>
      <color theme="1"/>
      <name val="Calibri"/>
      <family val="2"/>
    </font>
    <font>
      <b/>
      <sz val="10"/>
      <color theme="0"/>
      <name val="Calibri"/>
      <family val="2"/>
    </font>
    <font>
      <sz val="8"/>
      <color theme="1"/>
      <name val="Calibri"/>
      <family val="2"/>
    </font>
    <font>
      <sz val="9"/>
      <color theme="0"/>
      <name val="Calibri"/>
      <family val="2"/>
    </font>
    <font>
      <sz val="10"/>
      <name val="Calibri"/>
      <family val="2"/>
    </font>
    <font>
      <sz val="6"/>
      <color theme="1"/>
      <name val="Calibri"/>
      <family val="2"/>
    </font>
    <font>
      <b/>
      <sz val="10"/>
      <color rgb="FFFF0000"/>
      <name val="Calibri"/>
      <family val="2"/>
    </font>
    <font>
      <b/>
      <sz val="10"/>
      <name val="Calibri"/>
      <family val="2"/>
    </font>
    <font>
      <sz val="9"/>
      <name val="Calibri"/>
      <family val="2"/>
    </font>
    <font>
      <sz val="8"/>
      <name val="Calibri"/>
      <family val="2"/>
    </font>
    <font>
      <sz val="11"/>
      <color theme="1"/>
      <name val="Calibri"/>
      <family val="2"/>
    </font>
    <font>
      <b/>
      <sz val="9"/>
      <color indexed="81"/>
      <name val="Tahoma"/>
      <family val="2"/>
    </font>
    <font>
      <b/>
      <sz val="12"/>
      <color theme="1"/>
      <name val="Calibri"/>
      <family val="2"/>
    </font>
    <font>
      <b/>
      <sz val="10"/>
      <color theme="1"/>
      <name val="Calibri"/>
      <family val="2"/>
    </font>
    <font>
      <sz val="8"/>
      <color rgb="FFFF0000"/>
      <name val="Calibri"/>
      <family val="2"/>
    </font>
    <font>
      <sz val="10"/>
      <color rgb="FFFF0000"/>
      <name val="Calibri"/>
      <family val="2"/>
    </font>
    <font>
      <b/>
      <sz val="9"/>
      <color rgb="FFFF0000"/>
      <name val="Calibri"/>
      <family val="2"/>
    </font>
    <font>
      <b/>
      <sz val="9"/>
      <name val="Calibri"/>
      <family val="2"/>
    </font>
    <font>
      <b/>
      <sz val="8"/>
      <name val="Calibri"/>
      <family val="2"/>
    </font>
    <font>
      <b/>
      <sz val="28"/>
      <name val="Calibri"/>
      <family val="2"/>
    </font>
    <font>
      <sz val="14"/>
      <name val="Calibri"/>
      <family val="2"/>
    </font>
    <font>
      <sz val="12"/>
      <name val="Times New Roman"/>
      <family val="1"/>
    </font>
    <font>
      <sz val="11"/>
      <name val="Calibri"/>
      <family val="2"/>
    </font>
    <font>
      <sz val="10"/>
      <color theme="1"/>
      <name val="Arial"/>
      <family val="2"/>
    </font>
    <font>
      <sz val="10"/>
      <name val="Verdana"/>
      <family val="2"/>
    </font>
    <font>
      <sz val="11"/>
      <color theme="1"/>
      <name val="Arial"/>
      <family val="2"/>
    </font>
    <font>
      <sz val="11"/>
      <name val="Arial"/>
      <family val="2"/>
    </font>
    <font>
      <sz val="12"/>
      <color rgb="FF353434"/>
      <name val="Arial"/>
      <family val="2"/>
    </font>
    <font>
      <sz val="11"/>
      <color rgb="FFFF0000"/>
      <name val="Arial"/>
      <family val="2"/>
    </font>
    <font>
      <b/>
      <sz val="14"/>
      <color theme="1"/>
      <name val="Calibri"/>
      <family val="2"/>
      <scheme val="minor"/>
    </font>
    <font>
      <sz val="10"/>
      <color theme="1"/>
      <name val="Calibri"/>
      <family val="2"/>
      <scheme val="minor"/>
    </font>
    <font>
      <sz val="11"/>
      <color theme="0"/>
      <name val="Calibri"/>
      <family val="2"/>
      <scheme val="minor"/>
    </font>
    <font>
      <sz val="10"/>
      <color theme="0"/>
      <name val="Calibri"/>
      <family val="2"/>
      <scheme val="minor"/>
    </font>
    <font>
      <b/>
      <sz val="10"/>
      <color theme="1"/>
      <name val="Calibri"/>
      <family val="2"/>
      <scheme val="minor"/>
    </font>
    <font>
      <sz val="8"/>
      <color theme="0"/>
      <name val="Calibri"/>
      <family val="2"/>
      <scheme val="minor"/>
    </font>
    <font>
      <b/>
      <sz val="9"/>
      <color theme="1"/>
      <name val="Calibri"/>
      <family val="2"/>
      <scheme val="minor"/>
    </font>
    <font>
      <sz val="11"/>
      <color rgb="FFFF0000"/>
      <name val="Calibri"/>
      <family val="2"/>
      <scheme val="minor"/>
    </font>
    <font>
      <b/>
      <sz val="11"/>
      <name val="Calibri"/>
      <family val="2"/>
    </font>
    <font>
      <b/>
      <sz val="14"/>
      <name val="Calibri"/>
      <family val="2"/>
    </font>
    <font>
      <b/>
      <sz val="26"/>
      <name val="Calibri"/>
      <family val="2"/>
    </font>
    <font>
      <b/>
      <u/>
      <sz val="12"/>
      <color indexed="12"/>
      <name val="Arial"/>
      <family val="2"/>
    </font>
    <font>
      <b/>
      <sz val="12"/>
      <name val="Calibri"/>
      <family val="2"/>
    </font>
    <font>
      <sz val="10"/>
      <color rgb="FF7030A0"/>
      <name val="Calibri"/>
      <family val="2"/>
    </font>
    <font>
      <b/>
      <sz val="16"/>
      <name val="Calibri"/>
      <family val="2"/>
    </font>
    <font>
      <b/>
      <sz val="26"/>
      <color theme="1"/>
      <name val="Calibri"/>
      <family val="2"/>
    </font>
    <font>
      <b/>
      <sz val="16"/>
      <color theme="1"/>
      <name val="Calibri"/>
      <family val="2"/>
    </font>
    <font>
      <b/>
      <sz val="28"/>
      <color theme="0"/>
      <name val="Calibri"/>
      <family val="2"/>
    </font>
    <font>
      <sz val="6"/>
      <name val="Calibri"/>
      <family val="2"/>
    </font>
    <font>
      <sz val="12"/>
      <color theme="1"/>
      <name val="Arial"/>
      <family val="2"/>
    </font>
    <font>
      <sz val="12"/>
      <name val="Arial"/>
      <family val="2"/>
    </font>
    <font>
      <i/>
      <sz val="12"/>
      <name val="Arial"/>
      <family val="2"/>
    </font>
    <font>
      <sz val="12"/>
      <color indexed="18"/>
      <name val="Arial"/>
      <family val="2"/>
    </font>
    <font>
      <sz val="12"/>
      <color rgb="FFC00000"/>
      <name val="Arial"/>
      <family val="2"/>
    </font>
    <font>
      <sz val="12"/>
      <color rgb="FFFF0000"/>
      <name val="Arial"/>
      <family val="2"/>
    </font>
    <font>
      <b/>
      <sz val="12"/>
      <name val="Arial"/>
      <family val="2"/>
    </font>
    <font>
      <vertAlign val="superscript"/>
      <sz val="12"/>
      <color theme="1"/>
      <name val="Arial"/>
      <family val="2"/>
    </font>
    <font>
      <b/>
      <sz val="12"/>
      <color theme="1"/>
      <name val="Arial"/>
      <family val="2"/>
    </font>
    <font>
      <vertAlign val="superscript"/>
      <sz val="12"/>
      <name val="Arial"/>
      <family val="2"/>
    </font>
    <font>
      <u/>
      <sz val="12"/>
      <color theme="1"/>
      <name val="Arial"/>
      <family val="2"/>
    </font>
    <font>
      <b/>
      <sz val="24"/>
      <color theme="1"/>
      <name val="Calibri"/>
      <family val="2"/>
    </font>
    <font>
      <sz val="28"/>
      <color theme="1"/>
      <name val="Calibri"/>
      <family val="2"/>
    </font>
    <font>
      <b/>
      <sz val="6"/>
      <name val="Calibri"/>
      <family val="2"/>
    </font>
    <font>
      <sz val="12"/>
      <color rgb="FF2E3033"/>
      <name val="Arial"/>
      <family val="2"/>
    </font>
    <font>
      <b/>
      <sz val="24"/>
      <name val="Calibri"/>
      <family val="2"/>
    </font>
    <font>
      <sz val="16"/>
      <color theme="1"/>
      <name val="Calibri"/>
      <family val="2"/>
    </font>
    <font>
      <sz val="14"/>
      <color theme="1"/>
      <name val="Calibri"/>
      <family val="2"/>
    </font>
    <font>
      <b/>
      <sz val="14"/>
      <color theme="1"/>
      <name val="Calibri"/>
      <family val="2"/>
    </font>
    <font>
      <b/>
      <sz val="26"/>
      <color theme="0"/>
      <name val="Calibri"/>
      <family val="2"/>
    </font>
    <font>
      <b/>
      <sz val="20"/>
      <name val="Calibri"/>
      <family val="2"/>
    </font>
    <font>
      <b/>
      <sz val="20"/>
      <color rgb="FFFF0000"/>
      <name val="Calibri"/>
      <family val="2"/>
    </font>
    <font>
      <sz val="12"/>
      <color theme="1"/>
      <name val="Calibri"/>
      <family val="2"/>
    </font>
    <font>
      <b/>
      <sz val="18"/>
      <color theme="0"/>
      <name val="Arial Rounded MT Bold"/>
      <family val="2"/>
    </font>
    <font>
      <b/>
      <sz val="22"/>
      <color theme="0"/>
      <name val="Calibri"/>
      <family val="2"/>
    </font>
    <font>
      <b/>
      <sz val="11"/>
      <color theme="1"/>
      <name val="Calibri"/>
      <family val="2"/>
    </font>
    <font>
      <b/>
      <sz val="18"/>
      <color theme="1"/>
      <name val="Calibri"/>
      <family val="2"/>
    </font>
    <font>
      <sz val="7"/>
      <color rgb="FF000000"/>
      <name val="Georgia"/>
      <family val="1"/>
    </font>
    <font>
      <b/>
      <sz val="22"/>
      <color theme="1"/>
      <name val="Calibri"/>
      <family val="2"/>
    </font>
    <font>
      <b/>
      <sz val="26"/>
      <color rgb="FFFFFF00"/>
      <name val="Calibri"/>
      <family val="2"/>
    </font>
    <font>
      <sz val="20"/>
      <color theme="1"/>
      <name val="Calibri"/>
      <family val="2"/>
    </font>
    <font>
      <b/>
      <sz val="26"/>
      <color theme="0" tint="-0.499984740745262"/>
      <name val="Calibri"/>
      <family val="2"/>
    </font>
    <font>
      <b/>
      <sz val="18"/>
      <name val="Calibri"/>
      <family val="2"/>
    </font>
    <font>
      <u/>
      <sz val="12"/>
      <name val="Arial"/>
      <family val="2"/>
    </font>
    <font>
      <b/>
      <sz val="10"/>
      <color rgb="FF0070C0"/>
      <name val="Calibri"/>
      <family val="2"/>
    </font>
    <font>
      <b/>
      <sz val="8"/>
      <color theme="1"/>
      <name val="Calibri"/>
      <family val="2"/>
    </font>
    <font>
      <b/>
      <sz val="8"/>
      <color theme="0"/>
      <name val="Calibri"/>
      <family val="2"/>
    </font>
    <font>
      <sz val="9"/>
      <name val="宋体"/>
      <family val="3"/>
      <charset val="134"/>
    </font>
  </fonts>
  <fills count="62">
    <fill>
      <patternFill patternType="none"/>
    </fill>
    <fill>
      <patternFill patternType="gray125"/>
    </fill>
    <fill>
      <patternFill patternType="solid">
        <fgColor theme="5"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indexed="47"/>
        <bgColor indexed="64"/>
      </patternFill>
    </fill>
    <fill>
      <patternFill patternType="solid">
        <fgColor theme="8" tint="-0.249977111117893"/>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0070C0"/>
        <bgColor indexed="64"/>
      </patternFill>
    </fill>
    <fill>
      <patternFill patternType="solid">
        <fgColor rgb="FF92D050"/>
        <bgColor indexed="64"/>
      </patternFill>
    </fill>
    <fill>
      <patternFill patternType="solid">
        <fgColor rgb="FF00B0F0"/>
        <bgColor indexed="64"/>
      </patternFill>
    </fill>
    <fill>
      <gradientFill>
        <stop position="0">
          <color rgb="FFFF0000"/>
        </stop>
        <stop position="1">
          <color rgb="FF0070C0"/>
        </stop>
      </gradientFill>
    </fill>
    <fill>
      <patternFill patternType="solid">
        <fgColor theme="2" tint="-0.249977111117893"/>
        <bgColor indexed="64"/>
      </patternFill>
    </fill>
    <fill>
      <patternFill patternType="solid">
        <fgColor theme="7" tint="-0.249977111117893"/>
        <bgColor indexed="64"/>
      </patternFill>
    </fill>
    <fill>
      <patternFill patternType="solid">
        <fgColor rgb="FFFFC000"/>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1" tint="0.249977111117893"/>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1" tint="0.499984740745262"/>
        <bgColor indexed="64"/>
      </patternFill>
    </fill>
    <fill>
      <patternFill patternType="solid">
        <fgColor theme="0"/>
        <bgColor indexed="64"/>
      </patternFill>
    </fill>
    <fill>
      <patternFill patternType="solid">
        <fgColor theme="5" tint="0.79998168889431442"/>
        <bgColor indexed="64"/>
      </patternFill>
    </fill>
    <fill>
      <patternFill patternType="solid">
        <fgColor rgb="FFDDD9C1"/>
        <bgColor indexed="64"/>
      </patternFill>
    </fill>
    <fill>
      <patternFill patternType="solid">
        <fgColor theme="6"/>
        <bgColor indexed="64"/>
      </patternFill>
    </fill>
    <fill>
      <gradientFill degree="90">
        <stop position="0">
          <color theme="4" tint="0.40000610370189521"/>
        </stop>
        <stop position="1">
          <color rgb="FF7030A0"/>
        </stop>
      </gradientFill>
    </fill>
    <fill>
      <patternFill patternType="solid">
        <fgColor rgb="FF7030A0"/>
        <bgColor indexed="64"/>
      </patternFill>
    </fill>
    <fill>
      <gradientFill degree="90">
        <stop position="0">
          <color theme="9" tint="0.40000610370189521"/>
        </stop>
        <stop position="1">
          <color rgb="FF0070C0"/>
        </stop>
      </gradientFill>
    </fill>
    <fill>
      <patternFill patternType="solid">
        <fgColor theme="9" tint="0.39997558519241921"/>
        <bgColor auto="1"/>
      </patternFill>
    </fill>
    <fill>
      <gradientFill degree="90">
        <stop position="0">
          <color rgb="FF7030A0"/>
        </stop>
        <stop position="1">
          <color rgb="FF0070C0"/>
        </stop>
      </gradientFill>
    </fill>
    <fill>
      <gradientFill degree="90">
        <stop position="0">
          <color rgb="FF0070C0"/>
        </stop>
        <stop position="1">
          <color rgb="FF7030A0"/>
        </stop>
      </gradientFill>
    </fill>
    <fill>
      <gradientFill degree="270">
        <stop position="0">
          <color theme="9" tint="0.59999389629810485"/>
        </stop>
        <stop position="1">
          <color rgb="FF0070C0"/>
        </stop>
      </gradientFill>
    </fill>
    <fill>
      <gradientFill degree="90">
        <stop position="0">
          <color theme="9" tint="0.59999389629810485"/>
        </stop>
        <stop position="1">
          <color rgb="FF7030A0"/>
        </stop>
      </gradientFill>
    </fill>
    <fill>
      <gradientFill degree="90">
        <stop position="0">
          <color rgb="FF7030A0"/>
        </stop>
        <stop position="1">
          <color theme="5" tint="0.40000610370189521"/>
        </stop>
      </gradientFill>
    </fill>
    <fill>
      <gradientFill degree="270">
        <stop position="0">
          <color rgb="FF7030A0"/>
        </stop>
        <stop position="1">
          <color theme="4" tint="0.40000610370189521"/>
        </stop>
      </gradientFill>
    </fill>
    <fill>
      <gradientFill degree="270">
        <stop position="0">
          <color theme="9" tint="0.59999389629810485"/>
        </stop>
        <stop position="1">
          <color rgb="FF7030A0"/>
        </stop>
      </gradientFill>
    </fill>
    <fill>
      <gradientFill degree="90">
        <stop position="0">
          <color theme="5" tint="0.40000610370189521"/>
        </stop>
        <stop position="1">
          <color theme="7" tint="0.40000610370189521"/>
        </stop>
      </gradientFill>
    </fill>
    <fill>
      <patternFill patternType="solid">
        <fgColor theme="0" tint="-0.249977111117893"/>
        <bgColor indexed="64"/>
      </patternFill>
    </fill>
    <fill>
      <patternFill patternType="solid">
        <fgColor theme="2" tint="-0.749992370372631"/>
        <bgColor indexed="64"/>
      </patternFill>
    </fill>
    <fill>
      <patternFill patternType="solid">
        <fgColor theme="1" tint="4.9989318521683403E-2"/>
        <bgColor indexed="64"/>
      </patternFill>
    </fill>
    <fill>
      <patternFill patternType="solid">
        <fgColor rgb="FFFF0000"/>
        <bgColor auto="1"/>
      </patternFill>
    </fill>
    <fill>
      <patternFill patternType="solid">
        <fgColor theme="0" tint="-0.499984740745262"/>
        <bgColor indexed="64"/>
      </patternFill>
    </fill>
    <fill>
      <patternFill patternType="solid">
        <fgColor rgb="FFC00000"/>
        <bgColor indexed="64"/>
      </patternFill>
    </fill>
    <fill>
      <patternFill patternType="solid">
        <fgColor indexed="9"/>
        <bgColor indexed="64"/>
      </patternFill>
    </fill>
    <fill>
      <patternFill patternType="solid">
        <fgColor rgb="FFFFFFFF"/>
        <bgColor indexed="64"/>
      </patternFill>
    </fill>
    <fill>
      <patternFill patternType="solid">
        <fgColor rgb="FFD9D9D9"/>
        <bgColor indexed="64"/>
      </patternFill>
    </fill>
  </fills>
  <borders count="72">
    <border>
      <left/>
      <right/>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8"/>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theme="0" tint="-0.499984740745262"/>
      </right>
      <top style="hair">
        <color theme="0" tint="-0.499984740745262"/>
      </top>
      <bottom style="thin">
        <color indexed="64"/>
      </bottom>
      <diagonal/>
    </border>
    <border>
      <left style="hair">
        <color theme="0" tint="-0.499984740745262"/>
      </left>
      <right style="hair">
        <color theme="0" tint="-0.499984740745262"/>
      </right>
      <top style="hair">
        <color theme="0" tint="-0.499984740745262"/>
      </top>
      <bottom style="thin">
        <color indexed="64"/>
      </bottom>
      <diagonal/>
    </border>
    <border>
      <left style="hair">
        <color theme="0" tint="-0.499984740745262"/>
      </left>
      <right style="thin">
        <color indexed="64"/>
      </right>
      <top style="hair">
        <color theme="0" tint="-0.499984740745262"/>
      </top>
      <bottom style="thin">
        <color indexed="64"/>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hair">
        <color theme="0" tint="-0.499984740745262"/>
      </left>
      <right style="thin">
        <color indexed="64"/>
      </right>
      <top/>
      <bottom style="hair">
        <color theme="0" tint="-0.499984740745262"/>
      </bottom>
      <diagonal/>
    </border>
    <border>
      <left style="thin">
        <color indexed="64"/>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indexed="64"/>
      </right>
      <top style="hair">
        <color theme="0" tint="-0.499984740745262"/>
      </top>
      <bottom style="hair">
        <color theme="0" tint="-0.499984740745262"/>
      </bottom>
      <diagonal/>
    </border>
    <border>
      <left style="thin">
        <color indexed="64"/>
      </left>
      <right style="hair">
        <color theme="0" tint="-0.499984740745262"/>
      </right>
      <top style="hair">
        <color theme="0" tint="-0.499984740745262"/>
      </top>
      <bottom style="hair">
        <color theme="0" tint="-0.499984740745262"/>
      </bottom>
      <diagonal/>
    </border>
    <border>
      <left/>
      <right style="hair">
        <color theme="0" tint="-0.499984740745262"/>
      </right>
      <top style="hair">
        <color theme="0" tint="-0.499984740745262"/>
      </top>
      <bottom style="thin">
        <color indexed="64"/>
      </bottom>
      <diagonal/>
    </border>
    <border>
      <left style="hair">
        <color theme="0" tint="-0.499984740745262"/>
      </left>
      <right/>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hair">
        <color indexed="64"/>
      </left>
      <right/>
      <top style="hair">
        <color indexed="64"/>
      </top>
      <bottom style="hair">
        <color indexed="64"/>
      </bottom>
      <diagonal/>
    </border>
  </borders>
  <cellStyleXfs count="15">
    <xf numFmtId="0" fontId="0" fillId="0" borderId="0"/>
    <xf numFmtId="0" fontId="3" fillId="0" borderId="0"/>
    <xf numFmtId="0" fontId="5" fillId="0" borderId="0" applyNumberFormat="0" applyFill="0" applyBorder="0" applyAlignment="0" applyProtection="0"/>
    <xf numFmtId="9" fontId="14" fillId="0" borderId="0" applyFont="0" applyFill="0" applyBorder="0" applyAlignment="0" applyProtection="0"/>
    <xf numFmtId="164" fontId="14" fillId="0" borderId="0" applyFont="0" applyFill="0" applyBorder="0" applyAlignment="0" applyProtection="0"/>
    <xf numFmtId="0" fontId="40" fillId="0" borderId="0"/>
    <xf numFmtId="0" fontId="7" fillId="0" borderId="0"/>
    <xf numFmtId="0" fontId="43" fillId="0" borderId="0"/>
    <xf numFmtId="0" fontId="5" fillId="0" borderId="0" applyNumberFormat="0" applyFill="0" applyBorder="0" applyAlignment="0" applyProtection="0">
      <alignment vertical="top"/>
      <protection locked="0"/>
    </xf>
    <xf numFmtId="0" fontId="7" fillId="0" borderId="0"/>
    <xf numFmtId="0" fontId="7" fillId="0" borderId="0"/>
    <xf numFmtId="0" fontId="5" fillId="0" borderId="0" applyNumberFormat="0" applyFill="0" applyBorder="0" applyAlignment="0" applyProtection="0">
      <alignment vertical="top"/>
      <protection locked="0"/>
    </xf>
    <xf numFmtId="165" fontId="3" fillId="0" borderId="0" applyFont="0" applyFill="0" applyBorder="0" applyAlignment="0" applyProtection="0"/>
    <xf numFmtId="0" fontId="7" fillId="0" borderId="0" applyBorder="0"/>
    <xf numFmtId="165" fontId="14" fillId="0" borderId="0" applyFont="0" applyFill="0" applyBorder="0" applyAlignment="0" applyProtection="0"/>
  </cellStyleXfs>
  <cellXfs count="853">
    <xf numFmtId="0" fontId="0" fillId="0" borderId="0" xfId="0"/>
    <xf numFmtId="0" fontId="0" fillId="0" borderId="0" xfId="0" applyAlignment="1">
      <alignment horizontal="center" vertical="center" wrapText="1"/>
    </xf>
    <xf numFmtId="0" fontId="3" fillId="0" borderId="0" xfId="1"/>
    <xf numFmtId="0" fontId="3" fillId="0" borderId="0" xfId="1" applyAlignment="1">
      <alignment horizontal="center"/>
    </xf>
    <xf numFmtId="0" fontId="5" fillId="0" borderId="0" xfId="2" applyAlignment="1">
      <alignment vertical="center" wrapText="1"/>
    </xf>
    <xf numFmtId="0" fontId="4" fillId="0" borderId="0" xfId="1" applyFont="1" applyAlignment="1">
      <alignment horizontal="center" vertical="center" wrapText="1"/>
    </xf>
    <xf numFmtId="0" fontId="3" fillId="0" borderId="0" xfId="1" applyAlignment="1">
      <alignment vertical="center"/>
    </xf>
    <xf numFmtId="0" fontId="7" fillId="7" borderId="4" xfId="1" applyFont="1" applyFill="1" applyBorder="1" applyAlignment="1">
      <alignment horizontal="center" wrapText="1"/>
    </xf>
    <xf numFmtId="0" fontId="3" fillId="7" borderId="4" xfId="1" applyFill="1" applyBorder="1" applyAlignment="1">
      <alignment horizontal="center" vertical="top" wrapText="1"/>
    </xf>
    <xf numFmtId="0" fontId="3" fillId="7" borderId="4" xfId="1" applyFill="1" applyBorder="1" applyAlignment="1">
      <alignment horizontal="center" wrapText="1"/>
    </xf>
    <xf numFmtId="0" fontId="3" fillId="8" borderId="4" xfId="1" applyFill="1" applyBorder="1" applyAlignment="1">
      <alignment horizontal="center"/>
    </xf>
    <xf numFmtId="0" fontId="3" fillId="8" borderId="4" xfId="1" applyFill="1" applyBorder="1" applyAlignment="1">
      <alignment horizontal="center" vertical="top"/>
    </xf>
    <xf numFmtId="0" fontId="3" fillId="8" borderId="4" xfId="1" applyFill="1" applyBorder="1" applyAlignment="1">
      <alignment horizontal="center" wrapText="1"/>
    </xf>
    <xf numFmtId="0" fontId="6" fillId="8" borderId="4" xfId="1" applyFont="1" applyFill="1" applyBorder="1" applyAlignment="1">
      <alignment horizontal="center" wrapText="1"/>
    </xf>
    <xf numFmtId="0" fontId="3" fillId="9" borderId="4" xfId="1" applyFill="1" applyBorder="1" applyAlignment="1">
      <alignment horizontal="center"/>
    </xf>
    <xf numFmtId="0" fontId="3" fillId="9" borderId="4" xfId="1" applyFill="1" applyBorder="1" applyAlignment="1">
      <alignment horizontal="center" vertical="top" wrapText="1"/>
    </xf>
    <xf numFmtId="0" fontId="6" fillId="9" borderId="4" xfId="1" applyFont="1" applyFill="1" applyBorder="1" applyAlignment="1">
      <alignment horizontal="center" wrapText="1"/>
    </xf>
    <xf numFmtId="0" fontId="3" fillId="3" borderId="4" xfId="1" applyFill="1" applyBorder="1" applyAlignment="1">
      <alignment horizontal="center"/>
    </xf>
    <xf numFmtId="0" fontId="3" fillId="3" borderId="4" xfId="1" applyFill="1" applyBorder="1" applyAlignment="1">
      <alignment horizontal="center" vertical="top" wrapText="1"/>
    </xf>
    <xf numFmtId="0" fontId="6" fillId="3" borderId="4" xfId="1" applyFont="1" applyFill="1" applyBorder="1" applyAlignment="1">
      <alignment horizontal="center" wrapText="1"/>
    </xf>
    <xf numFmtId="0" fontId="3" fillId="8" borderId="4" xfId="1" applyFill="1" applyBorder="1" applyAlignment="1">
      <alignment horizontal="center" vertical="top" wrapText="1"/>
    </xf>
    <xf numFmtId="0" fontId="3" fillId="10" borderId="5" xfId="1" applyFill="1" applyBorder="1"/>
    <xf numFmtId="0" fontId="3" fillId="6" borderId="0" xfId="1" applyFill="1" applyAlignment="1">
      <alignment horizontal="center"/>
    </xf>
    <xf numFmtId="0" fontId="8" fillId="6" borderId="0" xfId="1" applyFont="1" applyFill="1" applyAlignment="1">
      <alignment vertical="center"/>
    </xf>
    <xf numFmtId="0" fontId="3" fillId="6" borderId="0" xfId="1" applyFill="1"/>
    <xf numFmtId="0" fontId="3" fillId="3" borderId="0" xfId="1" applyFill="1"/>
    <xf numFmtId="0" fontId="9" fillId="3" borderId="0" xfId="1" applyFont="1" applyFill="1"/>
    <xf numFmtId="0" fontId="3" fillId="4" borderId="0" xfId="1" applyFill="1"/>
    <xf numFmtId="0" fontId="3" fillId="12" borderId="6" xfId="1" applyFill="1" applyBorder="1"/>
    <xf numFmtId="0" fontId="3" fillId="12" borderId="7" xfId="1" applyFill="1" applyBorder="1"/>
    <xf numFmtId="0" fontId="3" fillId="12" borderId="8" xfId="1" applyFill="1" applyBorder="1"/>
    <xf numFmtId="166" fontId="11" fillId="2" borderId="4" xfId="1" applyNumberFormat="1" applyFont="1" applyFill="1" applyBorder="1" applyAlignment="1">
      <alignment horizontal="center" vertical="center"/>
    </xf>
    <xf numFmtId="166" fontId="11" fillId="14" borderId="4" xfId="1" applyNumberFormat="1" applyFont="1" applyFill="1" applyBorder="1" applyAlignment="1">
      <alignment horizontal="center" vertical="center"/>
    </xf>
    <xf numFmtId="0" fontId="3" fillId="6" borderId="4" xfId="1" applyFill="1" applyBorder="1" applyAlignment="1">
      <alignment horizontal="center" vertical="center"/>
    </xf>
    <xf numFmtId="0" fontId="0" fillId="0" borderId="0" xfId="0" applyAlignment="1">
      <alignment horizontal="center" wrapText="1"/>
    </xf>
    <xf numFmtId="9" fontId="0" fillId="0" borderId="0" xfId="3" applyFont="1"/>
    <xf numFmtId="0" fontId="15" fillId="0" borderId="0" xfId="1" applyFont="1" applyAlignment="1">
      <alignment vertical="center"/>
    </xf>
    <xf numFmtId="0" fontId="16" fillId="0" borderId="0" xfId="1" applyFont="1"/>
    <xf numFmtId="166" fontId="3" fillId="0" borderId="0" xfId="1" applyNumberFormat="1" applyAlignment="1">
      <alignment horizontal="center"/>
    </xf>
    <xf numFmtId="0" fontId="16" fillId="0" borderId="0" xfId="1" applyFont="1" applyAlignment="1">
      <alignment horizontal="center"/>
    </xf>
    <xf numFmtId="16" fontId="3" fillId="0" borderId="0" xfId="1" applyNumberFormat="1"/>
    <xf numFmtId="0" fontId="3" fillId="19" borderId="0" xfId="1" applyFill="1"/>
    <xf numFmtId="0" fontId="0" fillId="0" borderId="0" xfId="0" applyAlignment="1">
      <alignment horizontal="center"/>
    </xf>
    <xf numFmtId="9" fontId="0" fillId="13" borderId="0" xfId="3" applyFont="1" applyFill="1" applyAlignment="1">
      <alignment horizontal="center"/>
    </xf>
    <xf numFmtId="9" fontId="0" fillId="20" borderId="0" xfId="3" applyFont="1" applyFill="1" applyAlignment="1">
      <alignment horizontal="center"/>
    </xf>
    <xf numFmtId="9" fontId="0" fillId="0" borderId="0" xfId="3" applyFont="1" applyAlignment="1">
      <alignment horizontal="center"/>
    </xf>
    <xf numFmtId="0" fontId="0" fillId="0" borderId="0" xfId="0" applyAlignment="1">
      <alignment horizontal="center" textRotation="90" wrapText="1"/>
    </xf>
    <xf numFmtId="9" fontId="0" fillId="21" borderId="0" xfId="3" applyFont="1" applyFill="1"/>
    <xf numFmtId="0" fontId="0" fillId="20" borderId="0" xfId="0" applyFill="1"/>
    <xf numFmtId="0" fontId="0" fillId="21" borderId="0" xfId="0" applyFill="1"/>
    <xf numFmtId="166" fontId="0" fillId="0" borderId="0" xfId="0" applyNumberFormat="1"/>
    <xf numFmtId="0" fontId="3" fillId="0" borderId="0" xfId="1" applyAlignment="1">
      <alignment textRotation="90"/>
    </xf>
    <xf numFmtId="0" fontId="3" fillId="0" borderId="0" xfId="1" applyAlignment="1">
      <alignment horizontal="center" textRotation="90"/>
    </xf>
    <xf numFmtId="0" fontId="3" fillId="22" borderId="0" xfId="1" applyFill="1"/>
    <xf numFmtId="0" fontId="12" fillId="0" borderId="0" xfId="1" applyFont="1"/>
    <xf numFmtId="0" fontId="12" fillId="0" borderId="0" xfId="1" applyFont="1" applyAlignment="1">
      <alignment horizontal="center"/>
    </xf>
    <xf numFmtId="166" fontId="0" fillId="0" borderId="0" xfId="0" applyNumberFormat="1" applyAlignment="1">
      <alignment horizontal="center" vertical="center"/>
    </xf>
    <xf numFmtId="0" fontId="0" fillId="0" borderId="0" xfId="0" applyAlignment="1">
      <alignment horizontal="center" vertical="center"/>
    </xf>
    <xf numFmtId="2" fontId="0" fillId="0" borderId="0" xfId="0" applyNumberFormat="1" applyAlignment="1">
      <alignment horizontal="center" vertical="center" wrapText="1"/>
    </xf>
    <xf numFmtId="2" fontId="0" fillId="3" borderId="0" xfId="0" applyNumberFormat="1" applyFill="1" applyAlignment="1">
      <alignment horizontal="center" vertical="center"/>
    </xf>
    <xf numFmtId="2" fontId="0" fillId="2" borderId="0" xfId="0" applyNumberFormat="1" applyFill="1" applyAlignment="1">
      <alignment horizontal="center" vertical="center"/>
    </xf>
    <xf numFmtId="0" fontId="19" fillId="0" borderId="0" xfId="0" applyFont="1" applyAlignment="1">
      <alignment horizontal="center" vertical="top" wrapText="1"/>
    </xf>
    <xf numFmtId="2" fontId="18" fillId="20" borderId="0" xfId="0" applyNumberFormat="1" applyFont="1" applyFill="1" applyAlignment="1">
      <alignment horizontal="center" vertical="center"/>
    </xf>
    <xf numFmtId="2" fontId="18" fillId="23" borderId="0" xfId="0" applyNumberFormat="1" applyFont="1" applyFill="1" applyAlignment="1">
      <alignment horizontal="center" vertical="center"/>
    </xf>
    <xf numFmtId="0" fontId="0" fillId="0" borderId="11" xfId="0" applyBorder="1"/>
    <xf numFmtId="9" fontId="0" fillId="0" borderId="11" xfId="3" applyFont="1" applyBorder="1" applyAlignment="1">
      <alignment horizontal="center"/>
    </xf>
    <xf numFmtId="9" fontId="0" fillId="0" borderId="11" xfId="3" applyFont="1" applyBorder="1"/>
    <xf numFmtId="0" fontId="0" fillId="20" borderId="11" xfId="0" applyFill="1" applyBorder="1"/>
    <xf numFmtId="0" fontId="0" fillId="21" borderId="11" xfId="0" applyFill="1" applyBorder="1"/>
    <xf numFmtId="9" fontId="0" fillId="20" borderId="11" xfId="3" applyFont="1" applyFill="1" applyBorder="1" applyAlignment="1">
      <alignment horizontal="center"/>
    </xf>
    <xf numFmtId="0" fontId="21" fillId="0" borderId="0" xfId="0" applyFont="1" applyAlignment="1">
      <alignment horizontal="center" vertical="top" wrapText="1"/>
    </xf>
    <xf numFmtId="9" fontId="0" fillId="0" borderId="11" xfId="3" applyFont="1" applyFill="1" applyBorder="1" applyAlignment="1">
      <alignment horizontal="center"/>
    </xf>
    <xf numFmtId="9" fontId="0" fillId="2" borderId="0" xfId="3" applyFont="1" applyFill="1" applyAlignment="1">
      <alignment horizontal="center"/>
    </xf>
    <xf numFmtId="9" fontId="0" fillId="2" borderId="11" xfId="3" applyFont="1" applyFill="1" applyBorder="1" applyAlignment="1">
      <alignment horizontal="center"/>
    </xf>
    <xf numFmtId="0" fontId="0" fillId="2" borderId="11" xfId="0" applyFill="1" applyBorder="1"/>
    <xf numFmtId="0" fontId="0" fillId="2" borderId="0" xfId="0" applyFill="1"/>
    <xf numFmtId="9" fontId="0" fillId="0" borderId="0" xfId="3" applyFont="1" applyBorder="1" applyAlignment="1">
      <alignment horizontal="center"/>
    </xf>
    <xf numFmtId="9" fontId="0" fillId="0" borderId="0" xfId="3" applyFont="1" applyBorder="1"/>
    <xf numFmtId="9" fontId="0" fillId="21" borderId="11" xfId="3" applyFont="1" applyFill="1" applyBorder="1"/>
    <xf numFmtId="9" fontId="0" fillId="13" borderId="11" xfId="3" applyFont="1" applyFill="1" applyBorder="1" applyAlignment="1">
      <alignment horizontal="center"/>
    </xf>
    <xf numFmtId="0" fontId="0" fillId="19" borderId="0" xfId="0" applyFill="1"/>
    <xf numFmtId="0" fontId="23" fillId="0" borderId="11" xfId="0" applyFont="1" applyBorder="1"/>
    <xf numFmtId="0" fontId="23" fillId="0" borderId="0" xfId="0" applyFont="1"/>
    <xf numFmtId="0" fontId="19" fillId="0" borderId="0" xfId="0" applyFont="1" applyAlignment="1">
      <alignment horizontal="center" vertical="center" textRotation="133" wrapText="1"/>
    </xf>
    <xf numFmtId="166" fontId="21" fillId="0" borderId="0" xfId="0" applyNumberFormat="1" applyFont="1"/>
    <xf numFmtId="0" fontId="23" fillId="19" borderId="0" xfId="0" applyFont="1" applyFill="1"/>
    <xf numFmtId="166" fontId="23" fillId="0" borderId="0" xfId="0" applyNumberFormat="1" applyFont="1"/>
    <xf numFmtId="0" fontId="23" fillId="0" borderId="12" xfId="0" applyFont="1" applyBorder="1"/>
    <xf numFmtId="9" fontId="0" fillId="0" borderId="12" xfId="3" applyFont="1" applyBorder="1" applyAlignment="1">
      <alignment horizontal="center"/>
    </xf>
    <xf numFmtId="9" fontId="0" fillId="0" borderId="12" xfId="3" applyFont="1" applyFill="1" applyBorder="1" applyAlignment="1">
      <alignment horizontal="center"/>
    </xf>
    <xf numFmtId="9" fontId="0" fillId="0" borderId="12" xfId="3" applyFont="1" applyBorder="1"/>
    <xf numFmtId="0" fontId="0" fillId="2" borderId="12" xfId="0" applyFill="1" applyBorder="1"/>
    <xf numFmtId="0" fontId="0" fillId="21" borderId="12" xfId="0" applyFill="1" applyBorder="1"/>
    <xf numFmtId="0" fontId="20" fillId="21" borderId="11" xfId="0" applyFont="1" applyFill="1" applyBorder="1"/>
    <xf numFmtId="0" fontId="20" fillId="20" borderId="0" xfId="0" applyFont="1" applyFill="1"/>
    <xf numFmtId="0" fontId="20" fillId="20" borderId="12" xfId="0" applyFont="1" applyFill="1" applyBorder="1"/>
    <xf numFmtId="0" fontId="20" fillId="21" borderId="0" xfId="0" applyFont="1" applyFill="1"/>
    <xf numFmtId="0" fontId="0" fillId="0" borderId="0" xfId="0" applyAlignment="1">
      <alignment textRotation="90"/>
    </xf>
    <xf numFmtId="0" fontId="24" fillId="0" borderId="0" xfId="0" applyFont="1" applyAlignment="1">
      <alignment horizontal="center"/>
    </xf>
    <xf numFmtId="166" fontId="21" fillId="0" borderId="0" xfId="0" applyNumberFormat="1" applyFont="1" applyAlignment="1">
      <alignment horizontal="center"/>
    </xf>
    <xf numFmtId="166" fontId="0" fillId="0" borderId="10" xfId="0" applyNumberFormat="1" applyBorder="1"/>
    <xf numFmtId="166" fontId="0" fillId="0" borderId="13" xfId="0" applyNumberFormat="1" applyBorder="1"/>
    <xf numFmtId="166" fontId="0" fillId="0" borderId="14" xfId="0" applyNumberFormat="1" applyBorder="1"/>
    <xf numFmtId="166" fontId="0" fillId="0" borderId="15" xfId="0" applyNumberFormat="1" applyBorder="1"/>
    <xf numFmtId="0" fontId="19" fillId="0" borderId="0" xfId="0" applyFont="1" applyAlignment="1">
      <alignment textRotation="90"/>
    </xf>
    <xf numFmtId="0" fontId="18" fillId="24" borderId="0" xfId="0" applyFont="1" applyFill="1"/>
    <xf numFmtId="166" fontId="0" fillId="0" borderId="0" xfId="0" applyNumberFormat="1" applyAlignment="1">
      <alignment horizontal="center"/>
    </xf>
    <xf numFmtId="0" fontId="18" fillId="23" borderId="0" xfId="0" applyFont="1" applyFill="1" applyAlignment="1">
      <alignment vertical="center" wrapText="1"/>
    </xf>
    <xf numFmtId="0" fontId="22" fillId="20" borderId="0" xfId="0" applyFont="1" applyFill="1" applyAlignment="1">
      <alignment vertical="center"/>
    </xf>
    <xf numFmtId="2" fontId="23" fillId="3" borderId="0" xfId="0" applyNumberFormat="1" applyFont="1" applyFill="1" applyAlignment="1">
      <alignment horizontal="center" vertical="center"/>
    </xf>
    <xf numFmtId="2" fontId="0" fillId="0" borderId="0" xfId="0" applyNumberFormat="1"/>
    <xf numFmtId="0" fontId="23" fillId="23" borderId="0" xfId="0" applyFont="1" applyFill="1" applyAlignment="1">
      <alignment vertical="center" wrapText="1"/>
    </xf>
    <xf numFmtId="0" fontId="0" fillId="25" borderId="0" xfId="0" applyFill="1"/>
    <xf numFmtId="166" fontId="24" fillId="0" borderId="0" xfId="0" applyNumberFormat="1" applyFont="1" applyAlignment="1">
      <alignment horizontal="center"/>
    </xf>
    <xf numFmtId="166" fontId="21" fillId="16" borderId="0" xfId="0" applyNumberFormat="1" applyFont="1" applyFill="1"/>
    <xf numFmtId="166" fontId="19" fillId="0" borderId="0" xfId="0" applyNumberFormat="1" applyFont="1" applyAlignment="1">
      <alignment horizontal="center"/>
    </xf>
    <xf numFmtId="0" fontId="19" fillId="0" borderId="0" xfId="0" applyFont="1"/>
    <xf numFmtId="166" fontId="19" fillId="0" borderId="0" xfId="0" applyNumberFormat="1" applyFont="1"/>
    <xf numFmtId="0" fontId="0" fillId="0" borderId="0" xfId="0" applyAlignment="1">
      <alignment horizontal="right"/>
    </xf>
    <xf numFmtId="0" fontId="0" fillId="17" borderId="0" xfId="0" applyFill="1" applyAlignment="1">
      <alignment horizontal="center" wrapText="1"/>
    </xf>
    <xf numFmtId="0" fontId="0" fillId="15" borderId="0" xfId="0" applyFill="1" applyAlignment="1">
      <alignment horizontal="center" wrapText="1"/>
    </xf>
    <xf numFmtId="0" fontId="0" fillId="26" borderId="0" xfId="0" applyFill="1" applyAlignment="1">
      <alignment horizontal="center" wrapText="1"/>
    </xf>
    <xf numFmtId="0" fontId="0" fillId="2" borderId="0" xfId="0" applyFill="1" applyAlignment="1">
      <alignment horizontal="center" wrapText="1"/>
    </xf>
    <xf numFmtId="2" fontId="0" fillId="2" borderId="0" xfId="0" applyNumberFormat="1" applyFill="1"/>
    <xf numFmtId="0" fontId="0" fillId="6" borderId="0" xfId="0" applyFill="1" applyAlignment="1">
      <alignment horizontal="center" wrapText="1"/>
    </xf>
    <xf numFmtId="0" fontId="0" fillId="27" borderId="0" xfId="0" applyFill="1" applyAlignment="1">
      <alignment horizontal="center" wrapText="1"/>
    </xf>
    <xf numFmtId="0" fontId="0" fillId="27" borderId="0" xfId="0" applyFill="1" applyAlignment="1">
      <alignment horizontal="center" vertical="center" wrapText="1"/>
    </xf>
    <xf numFmtId="166" fontId="0" fillId="27" borderId="0" xfId="0" applyNumberFormat="1" applyFill="1" applyAlignment="1">
      <alignment horizontal="center" vertical="center"/>
    </xf>
    <xf numFmtId="0" fontId="0" fillId="2" borderId="0" xfId="0" applyFill="1" applyAlignment="1">
      <alignment wrapText="1"/>
    </xf>
    <xf numFmtId="2" fontId="0" fillId="2" borderId="0" xfId="0" applyNumberFormat="1" applyFill="1" applyAlignment="1">
      <alignment horizontal="center"/>
    </xf>
    <xf numFmtId="2" fontId="0" fillId="17" borderId="0" xfId="0" applyNumberFormat="1" applyFill="1" applyAlignment="1">
      <alignment horizontal="center"/>
    </xf>
    <xf numFmtId="2" fontId="0" fillId="26" borderId="0" xfId="0" applyNumberFormat="1" applyFill="1" applyAlignment="1">
      <alignment horizontal="center"/>
    </xf>
    <xf numFmtId="2" fontId="0" fillId="0" borderId="0" xfId="0" applyNumberFormat="1" applyAlignment="1">
      <alignment horizontal="center"/>
    </xf>
    <xf numFmtId="2" fontId="0" fillId="6" borderId="0" xfId="0" applyNumberFormat="1" applyFill="1" applyAlignment="1">
      <alignment horizontal="center"/>
    </xf>
    <xf numFmtId="0" fontId="0" fillId="17" borderId="0" xfId="0" applyFill="1" applyAlignment="1">
      <alignment horizontal="center"/>
    </xf>
    <xf numFmtId="0" fontId="0" fillId="26" borderId="0" xfId="0" applyFill="1" applyAlignment="1">
      <alignment horizontal="center"/>
    </xf>
    <xf numFmtId="166" fontId="0" fillId="15" borderId="0" xfId="0" applyNumberFormat="1" applyFill="1" applyAlignment="1">
      <alignment horizontal="center"/>
    </xf>
    <xf numFmtId="166" fontId="0" fillId="2" borderId="0" xfId="0" applyNumberFormat="1" applyFill="1" applyAlignment="1">
      <alignment horizontal="center"/>
    </xf>
    <xf numFmtId="1" fontId="21" fillId="23" borderId="0" xfId="0" applyNumberFormat="1" applyFont="1" applyFill="1"/>
    <xf numFmtId="1" fontId="21" fillId="23" borderId="10" xfId="0" applyNumberFormat="1" applyFont="1" applyFill="1" applyBorder="1"/>
    <xf numFmtId="1" fontId="21" fillId="23" borderId="13" xfId="0" applyNumberFormat="1" applyFont="1" applyFill="1" applyBorder="1"/>
    <xf numFmtId="1" fontId="21" fillId="23" borderId="14" xfId="0" applyNumberFormat="1" applyFont="1" applyFill="1" applyBorder="1"/>
    <xf numFmtId="1" fontId="21" fillId="23" borderId="15" xfId="0" applyNumberFormat="1" applyFont="1" applyFill="1" applyBorder="1"/>
    <xf numFmtId="1" fontId="21" fillId="0" borderId="0" xfId="0" applyNumberFormat="1" applyFont="1"/>
    <xf numFmtId="166" fontId="0" fillId="27" borderId="0" xfId="0" applyNumberFormat="1" applyFill="1" applyAlignment="1">
      <alignment horizontal="center"/>
    </xf>
    <xf numFmtId="0" fontId="24" fillId="22" borderId="10" xfId="0" applyFont="1" applyFill="1" applyBorder="1" applyAlignment="1">
      <alignment horizontal="center"/>
    </xf>
    <xf numFmtId="0" fontId="24" fillId="22" borderId="14" xfId="0" applyFont="1" applyFill="1" applyBorder="1" applyAlignment="1">
      <alignment horizontal="center"/>
    </xf>
    <xf numFmtId="0" fontId="21" fillId="0" borderId="0" xfId="0" applyFont="1"/>
    <xf numFmtId="166" fontId="0" fillId="22" borderId="0" xfId="0" applyNumberFormat="1" applyFill="1" applyAlignment="1">
      <alignment horizontal="center" vertical="center"/>
    </xf>
    <xf numFmtId="166" fontId="0" fillId="22" borderId="0" xfId="0" applyNumberFormat="1" applyFill="1" applyAlignment="1">
      <alignment horizontal="center"/>
    </xf>
    <xf numFmtId="166" fontId="0" fillId="0" borderId="0" xfId="0" applyNumberFormat="1" applyAlignment="1">
      <alignment horizontal="right"/>
    </xf>
    <xf numFmtId="166" fontId="21" fillId="0" borderId="0" xfId="0" applyNumberFormat="1" applyFont="1" applyAlignment="1">
      <alignment horizontal="right"/>
    </xf>
    <xf numFmtId="0" fontId="18" fillId="0" borderId="0" xfId="0" applyFont="1"/>
    <xf numFmtId="0" fontId="25" fillId="22" borderId="4" xfId="0" applyFont="1" applyFill="1" applyBorder="1" applyAlignment="1">
      <alignment horizontal="center"/>
    </xf>
    <xf numFmtId="0" fontId="26" fillId="0" borderId="0" xfId="0" applyFont="1"/>
    <xf numFmtId="0" fontId="23" fillId="0" borderId="4" xfId="0" applyFont="1" applyBorder="1"/>
    <xf numFmtId="0" fontId="23" fillId="0" borderId="0" xfId="0" applyFont="1" applyAlignment="1">
      <alignment horizontal="center" vertical="center" wrapText="1"/>
    </xf>
    <xf numFmtId="166" fontId="23" fillId="0" borderId="0" xfId="0" applyNumberFormat="1" applyFont="1" applyAlignment="1">
      <alignment horizontal="center" vertical="center"/>
    </xf>
    <xf numFmtId="166" fontId="21" fillId="23" borderId="10" xfId="0" applyNumberFormat="1" applyFont="1" applyFill="1" applyBorder="1"/>
    <xf numFmtId="166" fontId="21" fillId="23" borderId="13" xfId="0" applyNumberFormat="1" applyFont="1" applyFill="1" applyBorder="1"/>
    <xf numFmtId="166" fontId="21" fillId="23" borderId="14" xfId="0" applyNumberFormat="1" applyFont="1" applyFill="1" applyBorder="1"/>
    <xf numFmtId="166" fontId="21" fillId="23" borderId="15" xfId="0" applyNumberFormat="1" applyFont="1" applyFill="1" applyBorder="1"/>
    <xf numFmtId="166" fontId="21" fillId="22" borderId="0" xfId="0" applyNumberFormat="1" applyFont="1" applyFill="1" applyAlignment="1">
      <alignment horizontal="center"/>
    </xf>
    <xf numFmtId="166" fontId="21" fillId="22" borderId="0" xfId="0" applyNumberFormat="1" applyFont="1" applyFill="1"/>
    <xf numFmtId="166" fontId="21" fillId="8" borderId="0" xfId="0" applyNumberFormat="1" applyFont="1" applyFill="1" applyAlignment="1">
      <alignment horizontal="center"/>
    </xf>
    <xf numFmtId="166" fontId="21" fillId="8" borderId="0" xfId="0" applyNumberFormat="1" applyFont="1" applyFill="1"/>
    <xf numFmtId="0" fontId="21" fillId="8" borderId="0" xfId="0" applyFont="1" applyFill="1"/>
    <xf numFmtId="166" fontId="23" fillId="0" borderId="0" xfId="0" applyNumberFormat="1" applyFont="1" applyAlignment="1">
      <alignment horizontal="center"/>
    </xf>
    <xf numFmtId="2" fontId="23" fillId="0" borderId="0" xfId="0" applyNumberFormat="1" applyFont="1" applyAlignment="1">
      <alignment horizontal="center"/>
    </xf>
    <xf numFmtId="167" fontId="23" fillId="0" borderId="0" xfId="0" applyNumberFormat="1" applyFont="1"/>
    <xf numFmtId="167" fontId="23" fillId="0" borderId="0" xfId="0" applyNumberFormat="1" applyFont="1" applyAlignment="1">
      <alignment horizontal="center" vertical="center"/>
    </xf>
    <xf numFmtId="0" fontId="23" fillId="0" borderId="0" xfId="0" applyFont="1" applyAlignment="1">
      <alignment horizontal="center"/>
    </xf>
    <xf numFmtId="166" fontId="23" fillId="3" borderId="0" xfId="0" applyNumberFormat="1" applyFont="1" applyFill="1" applyAlignment="1">
      <alignment horizontal="center"/>
    </xf>
    <xf numFmtId="166" fontId="23" fillId="27" borderId="0" xfId="0" applyNumberFormat="1" applyFont="1" applyFill="1" applyAlignment="1">
      <alignment horizontal="center" vertical="center"/>
    </xf>
    <xf numFmtId="166" fontId="23" fillId="16" borderId="0" xfId="0" applyNumberFormat="1" applyFont="1" applyFill="1" applyAlignment="1">
      <alignment horizontal="center" vertical="center"/>
    </xf>
    <xf numFmtId="0" fontId="0" fillId="28" borderId="0" xfId="0" applyFill="1"/>
    <xf numFmtId="0" fontId="0" fillId="28" borderId="0" xfId="0" applyFill="1" applyAlignment="1">
      <alignment horizontal="right"/>
    </xf>
    <xf numFmtId="0" fontId="0" fillId="20" borderId="0" xfId="0" applyFill="1" applyAlignment="1">
      <alignment horizontal="right"/>
    </xf>
    <xf numFmtId="0" fontId="0" fillId="21" borderId="0" xfId="0" applyFill="1" applyAlignment="1">
      <alignment horizontal="right"/>
    </xf>
    <xf numFmtId="0" fontId="25" fillId="19" borderId="4" xfId="0" applyFont="1" applyFill="1" applyBorder="1" applyAlignment="1">
      <alignment horizontal="center"/>
    </xf>
    <xf numFmtId="166" fontId="21" fillId="14" borderId="0" xfId="0" applyNumberFormat="1" applyFont="1" applyFill="1" applyAlignment="1">
      <alignment horizontal="center"/>
    </xf>
    <xf numFmtId="168" fontId="18" fillId="0" borderId="0" xfId="0" applyNumberFormat="1" applyFont="1"/>
    <xf numFmtId="0" fontId="18" fillId="0" borderId="0" xfId="0" quotePrefix="1" applyFont="1"/>
    <xf numFmtId="0" fontId="23" fillId="19" borderId="4" xfId="0" applyFont="1" applyFill="1" applyBorder="1"/>
    <xf numFmtId="0" fontId="26" fillId="0" borderId="4" xfId="0" applyFont="1" applyBorder="1" applyAlignment="1">
      <alignment horizontal="right"/>
    </xf>
    <xf numFmtId="0" fontId="18" fillId="0" borderId="0" xfId="0" applyFont="1" applyAlignment="1">
      <alignment horizontal="right"/>
    </xf>
    <xf numFmtId="1" fontId="23" fillId="0" borderId="0" xfId="0" applyNumberFormat="1" applyFont="1" applyAlignment="1">
      <alignment horizontal="center"/>
    </xf>
    <xf numFmtId="166" fontId="24" fillId="22" borderId="13" xfId="0" applyNumberFormat="1" applyFont="1" applyFill="1" applyBorder="1" applyAlignment="1">
      <alignment horizontal="center"/>
    </xf>
    <xf numFmtId="166" fontId="24" fillId="22" borderId="15" xfId="0" applyNumberFormat="1" applyFont="1" applyFill="1" applyBorder="1" applyAlignment="1">
      <alignment horizontal="center"/>
    </xf>
    <xf numFmtId="166" fontId="24" fillId="22" borderId="10" xfId="0" applyNumberFormat="1" applyFont="1" applyFill="1" applyBorder="1" applyAlignment="1">
      <alignment horizontal="center"/>
    </xf>
    <xf numFmtId="166" fontId="24" fillId="22" borderId="14" xfId="0" applyNumberFormat="1" applyFont="1" applyFill="1" applyBorder="1" applyAlignment="1">
      <alignment horizontal="center"/>
    </xf>
    <xf numFmtId="166" fontId="19" fillId="22" borderId="0" xfId="0" applyNumberFormat="1" applyFont="1" applyFill="1" applyAlignment="1">
      <alignment horizontal="center"/>
    </xf>
    <xf numFmtId="166" fontId="19" fillId="22" borderId="0" xfId="0" applyNumberFormat="1" applyFont="1" applyFill="1"/>
    <xf numFmtId="0" fontId="19" fillId="22" borderId="0" xfId="0" applyFont="1" applyFill="1"/>
    <xf numFmtId="166" fontId="19" fillId="19" borderId="0" xfId="0" applyNumberFormat="1" applyFont="1" applyFill="1"/>
    <xf numFmtId="166" fontId="19" fillId="19" borderId="0" xfId="0" applyNumberFormat="1" applyFont="1" applyFill="1" applyAlignment="1">
      <alignment horizontal="center"/>
    </xf>
    <xf numFmtId="166" fontId="0" fillId="29" borderId="10" xfId="0" applyNumberFormat="1" applyFill="1" applyBorder="1"/>
    <xf numFmtId="166" fontId="0" fillId="29" borderId="13" xfId="0" applyNumberFormat="1" applyFill="1" applyBorder="1"/>
    <xf numFmtId="166" fontId="0" fillId="29" borderId="14" xfId="0" applyNumberFormat="1" applyFill="1" applyBorder="1"/>
    <xf numFmtId="166" fontId="0" fillId="29" borderId="15" xfId="0" applyNumberFormat="1" applyFill="1" applyBorder="1"/>
    <xf numFmtId="166" fontId="0" fillId="30" borderId="10" xfId="0" applyNumberFormat="1" applyFill="1" applyBorder="1"/>
    <xf numFmtId="166" fontId="0" fillId="30" borderId="13" xfId="0" applyNumberFormat="1" applyFill="1" applyBorder="1"/>
    <xf numFmtId="166" fontId="0" fillId="30" borderId="14" xfId="0" applyNumberFormat="1" applyFill="1" applyBorder="1"/>
    <xf numFmtId="166" fontId="0" fillId="30" borderId="15" xfId="0" applyNumberFormat="1" applyFill="1" applyBorder="1"/>
    <xf numFmtId="0" fontId="23" fillId="31" borderId="0" xfId="0" applyFont="1" applyFill="1" applyAlignment="1">
      <alignment horizontal="center" vertical="center" wrapText="1"/>
    </xf>
    <xf numFmtId="0" fontId="23" fillId="5" borderId="0" xfId="0" applyFont="1" applyFill="1" applyAlignment="1">
      <alignment horizontal="center" vertical="center" wrapText="1"/>
    </xf>
    <xf numFmtId="0" fontId="23" fillId="31" borderId="0" xfId="0" applyFont="1" applyFill="1"/>
    <xf numFmtId="0" fontId="23" fillId="32" borderId="0" xfId="0" applyFont="1" applyFill="1" applyAlignment="1">
      <alignment horizontal="center" vertical="center" wrapText="1"/>
    </xf>
    <xf numFmtId="166" fontId="23" fillId="32" borderId="0" xfId="0" applyNumberFormat="1" applyFont="1" applyFill="1" applyAlignment="1">
      <alignment horizontal="center" vertical="center"/>
    </xf>
    <xf numFmtId="0" fontId="23" fillId="32" borderId="0" xfId="0" applyFont="1" applyFill="1"/>
    <xf numFmtId="0" fontId="23" fillId="5" borderId="0" xfId="0" applyFont="1" applyFill="1"/>
    <xf numFmtId="166" fontId="23" fillId="31" borderId="0" xfId="0" applyNumberFormat="1" applyFont="1" applyFill="1"/>
    <xf numFmtId="0" fontId="23" fillId="0" borderId="0" xfId="0" applyFont="1" applyAlignment="1">
      <alignment horizontal="right" vertical="center" wrapText="1"/>
    </xf>
    <xf numFmtId="166" fontId="23" fillId="5" borderId="0" xfId="0" applyNumberFormat="1" applyFont="1" applyFill="1" applyAlignment="1">
      <alignment horizontal="center" vertical="center"/>
    </xf>
    <xf numFmtId="0" fontId="0" fillId="5" borderId="0" xfId="0" applyFill="1"/>
    <xf numFmtId="0" fontId="19" fillId="5" borderId="0" xfId="0" applyFont="1" applyFill="1" applyAlignment="1">
      <alignment horizontal="center"/>
    </xf>
    <xf numFmtId="164" fontId="28" fillId="0" borderId="0" xfId="4" applyFont="1" applyFill="1" applyAlignment="1">
      <alignment horizontal="center"/>
    </xf>
    <xf numFmtId="166" fontId="19" fillId="29" borderId="18" xfId="0" applyNumberFormat="1" applyFont="1" applyFill="1" applyBorder="1" applyAlignment="1">
      <alignment horizontal="center"/>
    </xf>
    <xf numFmtId="166" fontId="19" fillId="29" borderId="19" xfId="0" applyNumberFormat="1" applyFont="1" applyFill="1" applyBorder="1" applyAlignment="1">
      <alignment horizontal="center"/>
    </xf>
    <xf numFmtId="166" fontId="19" fillId="29" borderId="27" xfId="0" applyNumberFormat="1" applyFont="1" applyFill="1" applyBorder="1" applyAlignment="1">
      <alignment horizontal="center"/>
    </xf>
    <xf numFmtId="166" fontId="19" fillId="29" borderId="20" xfId="0" applyNumberFormat="1" applyFont="1" applyFill="1" applyBorder="1" applyAlignment="1">
      <alignment horizontal="center"/>
    </xf>
    <xf numFmtId="166" fontId="19" fillId="29" borderId="21" xfId="0" applyNumberFormat="1" applyFont="1" applyFill="1" applyBorder="1" applyAlignment="1">
      <alignment horizontal="center"/>
    </xf>
    <xf numFmtId="166" fontId="19" fillId="29" borderId="6" xfId="0" applyNumberFormat="1" applyFont="1" applyFill="1" applyBorder="1" applyAlignment="1">
      <alignment horizontal="center"/>
    </xf>
    <xf numFmtId="166" fontId="19" fillId="29" borderId="22" xfId="0" applyNumberFormat="1" applyFont="1" applyFill="1" applyBorder="1" applyAlignment="1">
      <alignment horizontal="center"/>
    </xf>
    <xf numFmtId="166" fontId="19" fillId="29" borderId="23" xfId="0" applyNumberFormat="1" applyFont="1" applyFill="1" applyBorder="1" applyAlignment="1">
      <alignment horizontal="center"/>
    </xf>
    <xf numFmtId="166" fontId="19" fillId="29" borderId="28" xfId="0" applyNumberFormat="1" applyFont="1" applyFill="1" applyBorder="1" applyAlignment="1">
      <alignment horizontal="center"/>
    </xf>
    <xf numFmtId="2" fontId="23" fillId="0" borderId="0" xfId="0" applyNumberFormat="1" applyFont="1"/>
    <xf numFmtId="0" fontId="0" fillId="0" borderId="0" xfId="0" applyAlignment="1">
      <alignment vertical="center" wrapText="1"/>
    </xf>
    <xf numFmtId="1" fontId="0" fillId="0" borderId="0" xfId="0" applyNumberFormat="1" applyAlignment="1">
      <alignment horizontal="center"/>
    </xf>
    <xf numFmtId="166" fontId="0" fillId="19" borderId="0" xfId="0" applyNumberFormat="1" applyFill="1" applyAlignment="1">
      <alignment horizontal="center"/>
    </xf>
    <xf numFmtId="166" fontId="0" fillId="19" borderId="0" xfId="0" applyNumberFormat="1" applyFill="1" applyAlignment="1">
      <alignment horizontal="center" vertical="center"/>
    </xf>
    <xf numFmtId="0" fontId="23" fillId="0" borderId="0" xfId="0" applyFont="1" applyAlignment="1">
      <alignment horizontal="center" vertical="top" wrapText="1"/>
    </xf>
    <xf numFmtId="2" fontId="18" fillId="0" borderId="0" xfId="0" applyNumberFormat="1" applyFont="1" applyAlignment="1">
      <alignment horizontal="center" vertical="center"/>
    </xf>
    <xf numFmtId="2" fontId="0" fillId="0" borderId="0" xfId="0" applyNumberFormat="1" applyAlignment="1">
      <alignment horizontal="center" vertical="center"/>
    </xf>
    <xf numFmtId="0" fontId="22" fillId="0" borderId="0" xfId="0" applyFont="1" applyAlignment="1">
      <alignment vertical="center"/>
    </xf>
    <xf numFmtId="0" fontId="0" fillId="19" borderId="6" xfId="0" applyFill="1" applyBorder="1"/>
    <xf numFmtId="0" fontId="0" fillId="0" borderId="10" xfId="0" applyBorder="1" applyAlignment="1">
      <alignment horizontal="center" textRotation="90"/>
    </xf>
    <xf numFmtId="0" fontId="0" fillId="0" borderId="9" xfId="0" applyBorder="1" applyAlignment="1">
      <alignment horizontal="center" textRotation="90"/>
    </xf>
    <xf numFmtId="0" fontId="0" fillId="0" borderId="13" xfId="0" applyBorder="1" applyAlignment="1">
      <alignment horizontal="center" textRotation="90"/>
    </xf>
    <xf numFmtId="166" fontId="0" fillId="0" borderId="31" xfId="0" applyNumberFormat="1" applyBorder="1"/>
    <xf numFmtId="0" fontId="0" fillId="0" borderId="32" xfId="0" applyBorder="1"/>
    <xf numFmtId="166" fontId="0" fillId="0" borderId="32" xfId="0" applyNumberFormat="1" applyBorder="1"/>
    <xf numFmtId="0" fontId="0" fillId="0" borderId="31" xfId="0" applyBorder="1"/>
    <xf numFmtId="0" fontId="0" fillId="0" borderId="14" xfId="0" applyBorder="1"/>
    <xf numFmtId="0" fontId="0" fillId="0" borderId="16" xfId="0" applyBorder="1"/>
    <xf numFmtId="166" fontId="0" fillId="0" borderId="16" xfId="0" applyNumberFormat="1" applyBorder="1"/>
    <xf numFmtId="166" fontId="0" fillId="27" borderId="14" xfId="0" applyNumberFormat="1" applyFill="1" applyBorder="1"/>
    <xf numFmtId="166" fontId="0" fillId="22" borderId="16" xfId="0" applyNumberFormat="1" applyFill="1" applyBorder="1"/>
    <xf numFmtId="0" fontId="0" fillId="27" borderId="16" xfId="0" applyFill="1" applyBorder="1"/>
    <xf numFmtId="0" fontId="0" fillId="27" borderId="15" xfId="0" applyFill="1" applyBorder="1"/>
    <xf numFmtId="2" fontId="21" fillId="33" borderId="34" xfId="0" applyNumberFormat="1" applyFont="1" applyFill="1" applyBorder="1"/>
    <xf numFmtId="2" fontId="28" fillId="29" borderId="21" xfId="0" applyNumberFormat="1" applyFont="1" applyFill="1" applyBorder="1" applyAlignment="1">
      <alignment horizontal="center"/>
    </xf>
    <xf numFmtId="2" fontId="21" fillId="8" borderId="21" xfId="0" applyNumberFormat="1" applyFont="1" applyFill="1" applyBorder="1"/>
    <xf numFmtId="2" fontId="21" fillId="22" borderId="23" xfId="0" applyNumberFormat="1" applyFont="1" applyFill="1" applyBorder="1"/>
    <xf numFmtId="2" fontId="28" fillId="33" borderId="8" xfId="0" applyNumberFormat="1" applyFont="1" applyFill="1" applyBorder="1" applyAlignment="1">
      <alignment horizontal="center"/>
    </xf>
    <xf numFmtId="2" fontId="21" fillId="33" borderId="8" xfId="0" applyNumberFormat="1" applyFont="1" applyFill="1" applyBorder="1" applyAlignment="1">
      <alignment horizontal="center"/>
    </xf>
    <xf numFmtId="2" fontId="21" fillId="29" borderId="21" xfId="0" applyNumberFormat="1" applyFont="1" applyFill="1" applyBorder="1" applyAlignment="1">
      <alignment horizontal="center"/>
    </xf>
    <xf numFmtId="2" fontId="21" fillId="33" borderId="8" xfId="0" applyNumberFormat="1" applyFont="1" applyFill="1" applyBorder="1"/>
    <xf numFmtId="2" fontId="28" fillId="33" borderId="4" xfId="0" applyNumberFormat="1" applyFont="1" applyFill="1" applyBorder="1" applyAlignment="1">
      <alignment horizontal="center"/>
    </xf>
    <xf numFmtId="2" fontId="21" fillId="33" borderId="4" xfId="0" applyNumberFormat="1" applyFont="1" applyFill="1" applyBorder="1" applyAlignment="1">
      <alignment horizontal="center"/>
    </xf>
    <xf numFmtId="2" fontId="21" fillId="33" borderId="4" xfId="0" applyNumberFormat="1" applyFont="1" applyFill="1" applyBorder="1"/>
    <xf numFmtId="2" fontId="21" fillId="33" borderId="30" xfId="0" applyNumberFormat="1" applyFont="1" applyFill="1" applyBorder="1"/>
    <xf numFmtId="166" fontId="0" fillId="19" borderId="0" xfId="0" applyNumberFormat="1" applyFill="1"/>
    <xf numFmtId="166" fontId="27" fillId="19" borderId="0" xfId="0" applyNumberFormat="1" applyFont="1" applyFill="1"/>
    <xf numFmtId="166" fontId="25" fillId="19" borderId="0" xfId="0" applyNumberFormat="1" applyFont="1" applyFill="1"/>
    <xf numFmtId="2" fontId="33" fillId="8" borderId="21" xfId="0" applyNumberFormat="1" applyFont="1" applyFill="1" applyBorder="1"/>
    <xf numFmtId="0" fontId="34" fillId="23" borderId="0" xfId="0" applyFont="1" applyFill="1" applyAlignment="1">
      <alignment horizontal="center"/>
    </xf>
    <xf numFmtId="2" fontId="21" fillId="0" borderId="0" xfId="0" applyNumberFormat="1" applyFont="1"/>
    <xf numFmtId="166" fontId="35" fillId="22" borderId="16" xfId="0" applyNumberFormat="1" applyFont="1" applyFill="1" applyBorder="1"/>
    <xf numFmtId="166" fontId="21" fillId="19" borderId="0" xfId="0" applyNumberFormat="1" applyFont="1" applyFill="1"/>
    <xf numFmtId="0" fontId="21" fillId="19" borderId="0" xfId="0" applyFont="1" applyFill="1"/>
    <xf numFmtId="166" fontId="23" fillId="31" borderId="0" xfId="0" applyNumberFormat="1" applyFont="1" applyFill="1" applyAlignment="1">
      <alignment horizontal="center"/>
    </xf>
    <xf numFmtId="0" fontId="21" fillId="0" borderId="0" xfId="0" applyFont="1" applyAlignment="1">
      <alignment horizontal="center"/>
    </xf>
    <xf numFmtId="2" fontId="21" fillId="0" borderId="0" xfId="0" applyNumberFormat="1" applyFont="1" applyAlignment="1">
      <alignment horizontal="center"/>
    </xf>
    <xf numFmtId="0" fontId="0" fillId="0" borderId="0" xfId="0" applyAlignment="1">
      <alignment horizontal="left"/>
    </xf>
    <xf numFmtId="166" fontId="26" fillId="0" borderId="0" xfId="0" applyNumberFormat="1" applyFont="1" applyAlignment="1">
      <alignment horizontal="center"/>
    </xf>
    <xf numFmtId="0" fontId="26" fillId="5" borderId="4" xfId="0" applyFont="1" applyFill="1" applyBorder="1" applyAlignment="1">
      <alignment horizontal="right"/>
    </xf>
    <xf numFmtId="0" fontId="36" fillId="5" borderId="4" xfId="0" applyFont="1" applyFill="1" applyBorder="1" applyAlignment="1">
      <alignment horizontal="right"/>
    </xf>
    <xf numFmtId="166" fontId="36" fillId="5" borderId="4" xfId="0" applyNumberFormat="1" applyFont="1" applyFill="1" applyBorder="1" applyAlignment="1">
      <alignment horizontal="right"/>
    </xf>
    <xf numFmtId="0" fontId="26" fillId="5" borderId="4" xfId="0" applyFont="1" applyFill="1" applyBorder="1"/>
    <xf numFmtId="0" fontId="26" fillId="8" borderId="4" xfId="0" applyFont="1" applyFill="1" applyBorder="1"/>
    <xf numFmtId="0" fontId="21" fillId="0" borderId="0" xfId="0" applyFont="1" applyAlignment="1">
      <alignment horizontal="left"/>
    </xf>
    <xf numFmtId="0" fontId="21" fillId="34" borderId="0" xfId="0" applyFont="1" applyFill="1"/>
    <xf numFmtId="0" fontId="0" fillId="34" borderId="0" xfId="0" applyFill="1"/>
    <xf numFmtId="0" fontId="26" fillId="0" borderId="0" xfId="0" applyFont="1" applyAlignment="1">
      <alignment horizontal="right"/>
    </xf>
    <xf numFmtId="166" fontId="34" fillId="28" borderId="0" xfId="0" applyNumberFormat="1" applyFont="1" applyFill="1"/>
    <xf numFmtId="169" fontId="0" fillId="0" borderId="0" xfId="3" applyNumberFormat="1" applyFont="1"/>
    <xf numFmtId="169" fontId="0" fillId="0" borderId="0" xfId="0" applyNumberFormat="1"/>
    <xf numFmtId="169" fontId="0" fillId="35" borderId="0" xfId="0" applyNumberFormat="1" applyFill="1"/>
    <xf numFmtId="0" fontId="26" fillId="8" borderId="4" xfId="0" applyFont="1" applyFill="1" applyBorder="1" applyAlignment="1">
      <alignment horizontal="center" vertical="center"/>
    </xf>
    <xf numFmtId="0" fontId="20" fillId="0" borderId="0" xfId="0" applyFont="1"/>
    <xf numFmtId="0" fontId="20" fillId="21" borderId="0" xfId="0" applyFont="1" applyFill="1" applyAlignment="1">
      <alignment horizontal="left" vertical="center"/>
    </xf>
    <xf numFmtId="0" fontId="20" fillId="21" borderId="0" xfId="0" applyFont="1" applyFill="1" applyAlignment="1">
      <alignment horizontal="center" vertical="center" wrapText="1"/>
    </xf>
    <xf numFmtId="0" fontId="20" fillId="0" borderId="0" xfId="0" applyFont="1" applyAlignment="1">
      <alignment horizontal="center"/>
    </xf>
    <xf numFmtId="0" fontId="20" fillId="0" borderId="0" xfId="0" applyFont="1" applyAlignment="1">
      <alignment horizontal="center" vertical="center" wrapText="1"/>
    </xf>
    <xf numFmtId="0" fontId="20" fillId="31" borderId="0" xfId="0" applyFont="1" applyFill="1" applyAlignment="1">
      <alignment horizontal="center" vertical="center" wrapText="1"/>
    </xf>
    <xf numFmtId="0" fontId="20" fillId="21" borderId="0" xfId="0" applyFont="1" applyFill="1" applyAlignment="1">
      <alignment vertical="center"/>
    </xf>
    <xf numFmtId="0" fontId="20" fillId="32" borderId="0" xfId="0" applyFont="1" applyFill="1" applyAlignment="1">
      <alignment horizontal="center" vertical="center" wrapText="1"/>
    </xf>
    <xf numFmtId="0" fontId="20" fillId="5" borderId="0" xfId="0" applyFont="1" applyFill="1" applyAlignment="1">
      <alignment horizontal="center" vertical="center" wrapText="1"/>
    </xf>
    <xf numFmtId="0" fontId="20" fillId="5" borderId="0" xfId="0" applyFont="1" applyFill="1"/>
    <xf numFmtId="0" fontId="26" fillId="22" borderId="4" xfId="0" applyFont="1" applyFill="1" applyBorder="1" applyAlignment="1">
      <alignment horizontal="right"/>
    </xf>
    <xf numFmtId="0" fontId="25" fillId="0" borderId="4" xfId="0" applyFont="1" applyBorder="1" applyAlignment="1">
      <alignment horizontal="center"/>
    </xf>
    <xf numFmtId="166" fontId="23" fillId="0" borderId="4" xfId="0" applyNumberFormat="1" applyFont="1" applyBorder="1" applyAlignment="1">
      <alignment horizontal="center" vertical="center"/>
    </xf>
    <xf numFmtId="0" fontId="20" fillId="36" borderId="0" xfId="0" applyFont="1" applyFill="1" applyAlignment="1">
      <alignment horizontal="center" vertical="center" wrapText="1"/>
    </xf>
    <xf numFmtId="0" fontId="23" fillId="36" borderId="0" xfId="0" applyFont="1" applyFill="1" applyAlignment="1">
      <alignment horizontal="center" vertical="center" wrapText="1"/>
    </xf>
    <xf numFmtId="166" fontId="23" fillId="36" borderId="0" xfId="0" applyNumberFormat="1" applyFont="1" applyFill="1" applyAlignment="1">
      <alignment horizontal="center" vertical="center"/>
    </xf>
    <xf numFmtId="0" fontId="23" fillId="36" borderId="0" xfId="0" applyFont="1" applyFill="1"/>
    <xf numFmtId="0" fontId="0" fillId="36" borderId="0" xfId="0" applyFill="1"/>
    <xf numFmtId="0" fontId="20" fillId="21" borderId="4" xfId="0" applyFont="1" applyFill="1" applyBorder="1" applyAlignment="1">
      <alignment horizontal="right"/>
    </xf>
    <xf numFmtId="0" fontId="32" fillId="23" borderId="4" xfId="0" applyFont="1" applyFill="1" applyBorder="1" applyAlignment="1">
      <alignment horizontal="right"/>
    </xf>
    <xf numFmtId="166" fontId="19" fillId="29" borderId="37" xfId="0" applyNumberFormat="1" applyFont="1" applyFill="1" applyBorder="1" applyAlignment="1">
      <alignment horizontal="center"/>
    </xf>
    <xf numFmtId="0" fontId="0" fillId="0" borderId="4" xfId="0" applyBorder="1" applyAlignment="1">
      <alignment horizontal="center"/>
    </xf>
    <xf numFmtId="0" fontId="0" fillId="0" borderId="4" xfId="0" applyBorder="1" applyAlignment="1">
      <alignment horizontal="center" textRotation="90" wrapText="1"/>
    </xf>
    <xf numFmtId="0" fontId="0" fillId="0" borderId="4" xfId="0" applyBorder="1" applyAlignment="1">
      <alignment horizontal="center" textRotation="90"/>
    </xf>
    <xf numFmtId="166" fontId="23" fillId="0" borderId="38" xfId="0" applyNumberFormat="1" applyFont="1" applyBorder="1"/>
    <xf numFmtId="166" fontId="23" fillId="0" borderId="39" xfId="0" applyNumberFormat="1" applyFont="1" applyBorder="1"/>
    <xf numFmtId="166" fontId="23" fillId="0" borderId="5" xfId="0" applyNumberFormat="1" applyFont="1" applyBorder="1"/>
    <xf numFmtId="166" fontId="0" fillId="0" borderId="39" xfId="0" applyNumberFormat="1" applyBorder="1"/>
    <xf numFmtId="166" fontId="0" fillId="0" borderId="5" xfId="0" applyNumberFormat="1" applyBorder="1"/>
    <xf numFmtId="166" fontId="19" fillId="29" borderId="36" xfId="0" applyNumberFormat="1" applyFont="1" applyFill="1" applyBorder="1" applyAlignment="1">
      <alignment horizontal="center"/>
    </xf>
    <xf numFmtId="166" fontId="19" fillId="29" borderId="15" xfId="0" applyNumberFormat="1" applyFont="1" applyFill="1" applyBorder="1" applyAlignment="1">
      <alignment horizontal="center"/>
    </xf>
    <xf numFmtId="0" fontId="23" fillId="0" borderId="10" xfId="0" applyFont="1" applyBorder="1"/>
    <xf numFmtId="0" fontId="23" fillId="0" borderId="9" xfId="0" applyFont="1" applyBorder="1"/>
    <xf numFmtId="0" fontId="23" fillId="0" borderId="9" xfId="0" applyFont="1" applyBorder="1" applyAlignment="1">
      <alignment horizontal="center"/>
    </xf>
    <xf numFmtId="0" fontId="23" fillId="0" borderId="13" xfId="0" applyFont="1" applyBorder="1" applyAlignment="1">
      <alignment horizontal="center"/>
    </xf>
    <xf numFmtId="0" fontId="23" fillId="0" borderId="31" xfId="0" applyFont="1" applyBorder="1"/>
    <xf numFmtId="0" fontId="23" fillId="0" borderId="32" xfId="0" applyFont="1" applyBorder="1"/>
    <xf numFmtId="166" fontId="23" fillId="29" borderId="0" xfId="0" applyNumberFormat="1" applyFont="1" applyFill="1"/>
    <xf numFmtId="166" fontId="23" fillId="29" borderId="32" xfId="0" applyNumberFormat="1" applyFont="1" applyFill="1" applyBorder="1"/>
    <xf numFmtId="166" fontId="23" fillId="0" borderId="32" xfId="0" applyNumberFormat="1" applyFont="1" applyBorder="1"/>
    <xf numFmtId="0" fontId="23" fillId="0" borderId="10" xfId="0" applyFont="1" applyBorder="1" applyAlignment="1">
      <alignment horizontal="center"/>
    </xf>
    <xf numFmtId="1" fontId="23" fillId="0" borderId="0" xfId="0" applyNumberFormat="1" applyFont="1" applyAlignment="1">
      <alignment horizontal="center" vertical="center"/>
    </xf>
    <xf numFmtId="0" fontId="20" fillId="20" borderId="4" xfId="0" applyFont="1" applyFill="1" applyBorder="1" applyAlignment="1">
      <alignment horizontal="right"/>
    </xf>
    <xf numFmtId="0" fontId="28" fillId="37" borderId="10" xfId="1" applyFont="1" applyFill="1" applyBorder="1" applyAlignment="1" applyProtection="1">
      <alignment horizontal="center" vertical="center" wrapText="1"/>
      <protection locked="0"/>
    </xf>
    <xf numFmtId="49" fontId="38" fillId="37" borderId="38" xfId="1" applyNumberFormat="1" applyFont="1" applyFill="1" applyBorder="1" applyAlignment="1" applyProtection="1">
      <alignment horizontal="center" vertical="center" wrapText="1"/>
      <protection locked="0"/>
    </xf>
    <xf numFmtId="0" fontId="29" fillId="0" borderId="0" xfId="1" applyFont="1"/>
    <xf numFmtId="0" fontId="28" fillId="37" borderId="31" xfId="1" applyFont="1" applyFill="1" applyBorder="1" applyAlignment="1" applyProtection="1">
      <alignment horizontal="center" vertical="center" wrapText="1"/>
      <protection locked="0"/>
    </xf>
    <xf numFmtId="49" fontId="38" fillId="37" borderId="39" xfId="1" applyNumberFormat="1" applyFont="1" applyFill="1" applyBorder="1" applyAlignment="1" applyProtection="1">
      <alignment horizontal="center" vertical="center" wrapText="1"/>
      <protection locked="0"/>
    </xf>
    <xf numFmtId="49" fontId="39" fillId="37" borderId="4" xfId="1" applyNumberFormat="1" applyFont="1" applyFill="1" applyBorder="1" applyAlignment="1" applyProtection="1">
      <alignment horizontal="center" vertical="center" wrapText="1"/>
      <protection locked="0"/>
    </xf>
    <xf numFmtId="49" fontId="38" fillId="37" borderId="5" xfId="1" applyNumberFormat="1" applyFont="1" applyFill="1" applyBorder="1" applyAlignment="1" applyProtection="1">
      <alignment horizontal="center" vertical="center" wrapText="1"/>
      <protection locked="0"/>
    </xf>
    <xf numFmtId="0" fontId="29" fillId="0" borderId="0" xfId="1" applyFont="1" applyAlignment="1">
      <alignment horizontal="center" vertical="center"/>
    </xf>
    <xf numFmtId="0" fontId="29" fillId="0" borderId="0" xfId="1" applyFont="1" applyAlignment="1">
      <alignment vertical="center" wrapText="1"/>
    </xf>
    <xf numFmtId="0" fontId="29" fillId="0" borderId="0" xfId="1" applyFont="1" applyAlignment="1">
      <alignment vertical="center"/>
    </xf>
    <xf numFmtId="0" fontId="29" fillId="37" borderId="0" xfId="1" applyFont="1" applyFill="1"/>
    <xf numFmtId="0" fontId="41" fillId="0" borderId="0" xfId="1" applyFont="1"/>
    <xf numFmtId="0" fontId="29" fillId="23" borderId="44" xfId="1" applyFont="1" applyFill="1" applyBorder="1" applyAlignment="1">
      <alignment horizontal="center" vertical="center" wrapText="1"/>
    </xf>
    <xf numFmtId="0" fontId="29" fillId="23" borderId="45" xfId="1" applyFont="1" applyFill="1" applyBorder="1" applyAlignment="1">
      <alignment horizontal="center" vertical="center" wrapText="1"/>
    </xf>
    <xf numFmtId="0" fontId="29" fillId="23" borderId="46" xfId="1" applyFont="1" applyFill="1" applyBorder="1" applyAlignment="1">
      <alignment horizontal="center" vertical="center" wrapText="1"/>
    </xf>
    <xf numFmtId="0" fontId="41" fillId="23" borderId="45" xfId="1" applyFont="1" applyFill="1" applyBorder="1" applyAlignment="1">
      <alignment horizontal="center" vertical="center"/>
    </xf>
    <xf numFmtId="0" fontId="36" fillId="23" borderId="47" xfId="1" applyFont="1" applyFill="1" applyBorder="1" applyAlignment="1">
      <alignment horizontal="center" vertical="center" textRotation="90"/>
    </xf>
    <xf numFmtId="0" fontId="19" fillId="23" borderId="47" xfId="1" applyFont="1" applyFill="1" applyBorder="1" applyAlignment="1">
      <alignment horizontal="center" vertical="center"/>
    </xf>
    <xf numFmtId="0" fontId="19" fillId="23" borderId="48" xfId="1" applyFont="1" applyFill="1" applyBorder="1" applyAlignment="1">
      <alignment horizontal="center" vertical="center"/>
    </xf>
    <xf numFmtId="0" fontId="29" fillId="37" borderId="0" xfId="1" applyFont="1" applyFill="1" applyAlignment="1">
      <alignment horizontal="center" vertical="center" wrapText="1"/>
    </xf>
    <xf numFmtId="0" fontId="19" fillId="23" borderId="49" xfId="1" applyFont="1" applyFill="1" applyBorder="1" applyAlignment="1">
      <alignment horizontal="center" vertical="center"/>
    </xf>
    <xf numFmtId="0" fontId="19" fillId="23" borderId="50" xfId="1" applyFont="1" applyFill="1" applyBorder="1" applyAlignment="1">
      <alignment horizontal="center" vertical="center"/>
    </xf>
    <xf numFmtId="0" fontId="19" fillId="23" borderId="51" xfId="1" applyFont="1" applyFill="1" applyBorder="1" applyAlignment="1">
      <alignment horizontal="center" vertical="center"/>
    </xf>
    <xf numFmtId="0" fontId="29" fillId="0" borderId="0" xfId="1" applyFont="1" applyAlignment="1">
      <alignment horizontal="center" vertical="center" wrapText="1"/>
    </xf>
    <xf numFmtId="0" fontId="23" fillId="0" borderId="52" xfId="1" applyFont="1" applyBorder="1" applyAlignment="1" applyProtection="1">
      <alignment horizontal="center" vertical="center" wrapText="1"/>
      <protection locked="0"/>
    </xf>
    <xf numFmtId="0" fontId="23" fillId="0" borderId="57" xfId="1" applyFont="1" applyBorder="1" applyAlignment="1" applyProtection="1">
      <alignment horizontal="center" vertical="center" wrapText="1"/>
      <protection locked="0"/>
    </xf>
    <xf numFmtId="0" fontId="23" fillId="0" borderId="57" xfId="1" applyFont="1" applyBorder="1" applyAlignment="1">
      <alignment horizontal="center" vertical="center"/>
    </xf>
    <xf numFmtId="0" fontId="3" fillId="0" borderId="0" xfId="1" applyAlignment="1">
      <alignment wrapText="1"/>
    </xf>
    <xf numFmtId="0" fontId="23" fillId="19" borderId="57" xfId="1" applyFont="1" applyFill="1" applyBorder="1" applyAlignment="1" applyProtection="1">
      <alignment horizontal="center" vertical="center" wrapText="1"/>
      <protection locked="0"/>
    </xf>
    <xf numFmtId="0" fontId="44" fillId="0" borderId="0" xfId="1" applyFont="1"/>
    <xf numFmtId="0" fontId="45" fillId="0" borderId="0" xfId="10" applyFont="1" applyAlignment="1">
      <alignment wrapText="1"/>
    </xf>
    <xf numFmtId="0" fontId="47" fillId="0" borderId="0" xfId="10" applyFont="1" applyAlignment="1">
      <alignment wrapText="1"/>
    </xf>
    <xf numFmtId="0" fontId="29" fillId="0" borderId="0" xfId="1" applyFont="1" applyAlignment="1">
      <alignment horizontal="center"/>
    </xf>
    <xf numFmtId="0" fontId="3" fillId="0" borderId="0" xfId="1" applyAlignment="1">
      <alignment horizontal="center" wrapText="1"/>
    </xf>
    <xf numFmtId="170" fontId="0" fillId="0" borderId="0" xfId="12" applyNumberFormat="1" applyFont="1"/>
    <xf numFmtId="170" fontId="0" fillId="0" borderId="61" xfId="12" applyNumberFormat="1" applyFont="1" applyBorder="1"/>
    <xf numFmtId="0" fontId="3" fillId="0" borderId="0" xfId="1" applyAlignment="1">
      <alignment horizontal="right"/>
    </xf>
    <xf numFmtId="0" fontId="11" fillId="0" borderId="0" xfId="1" applyFont="1" applyAlignment="1">
      <alignment vertical="center"/>
    </xf>
    <xf numFmtId="0" fontId="49" fillId="0" borderId="0" xfId="1" applyFont="1" applyAlignment="1">
      <alignment horizontal="center" vertical="top"/>
    </xf>
    <xf numFmtId="0" fontId="50" fillId="41" borderId="68" xfId="1" applyFont="1" applyFill="1" applyBorder="1" applyAlignment="1">
      <alignment horizontal="center"/>
    </xf>
    <xf numFmtId="0" fontId="49" fillId="5" borderId="68" xfId="1" applyFont="1" applyFill="1" applyBorder="1" applyAlignment="1">
      <alignment horizontal="center"/>
    </xf>
    <xf numFmtId="0" fontId="49" fillId="0" borderId="0" xfId="1" applyFont="1" applyAlignment="1">
      <alignment horizontal="center"/>
    </xf>
    <xf numFmtId="0" fontId="50" fillId="42" borderId="65" xfId="1" applyFont="1" applyFill="1" applyBorder="1" applyAlignment="1">
      <alignment horizontal="center"/>
    </xf>
    <xf numFmtId="0" fontId="51" fillId="21" borderId="68" xfId="1" applyFont="1" applyFill="1" applyBorder="1" applyAlignment="1">
      <alignment horizontal="center" vertical="center"/>
    </xf>
    <xf numFmtId="0" fontId="3" fillId="43" borderId="68" xfId="1" applyFill="1" applyBorder="1" applyAlignment="1">
      <alignment horizontal="center"/>
    </xf>
    <xf numFmtId="0" fontId="3" fillId="14" borderId="68" xfId="1" applyFill="1" applyBorder="1" applyAlignment="1">
      <alignment horizontal="center"/>
    </xf>
    <xf numFmtId="0" fontId="3" fillId="44" borderId="68" xfId="1" applyFill="1" applyBorder="1" applyAlignment="1">
      <alignment horizontal="center"/>
    </xf>
    <xf numFmtId="0" fontId="50" fillId="45" borderId="68" xfId="1" applyFont="1" applyFill="1" applyBorder="1" applyAlignment="1">
      <alignment horizontal="center"/>
    </xf>
    <xf numFmtId="0" fontId="50" fillId="46" borderId="68" xfId="1" applyFont="1" applyFill="1" applyBorder="1" applyAlignment="1">
      <alignment horizontal="center"/>
    </xf>
    <xf numFmtId="0" fontId="50" fillId="21" borderId="68" xfId="1" applyFont="1" applyFill="1" applyBorder="1" applyAlignment="1">
      <alignment horizontal="center"/>
    </xf>
    <xf numFmtId="0" fontId="3" fillId="47" borderId="40" xfId="1" applyFill="1" applyBorder="1" applyAlignment="1">
      <alignment horizontal="center"/>
    </xf>
    <xf numFmtId="0" fontId="3" fillId="35" borderId="68" xfId="1" applyFill="1" applyBorder="1" applyAlignment="1">
      <alignment horizontal="center"/>
    </xf>
    <xf numFmtId="0" fontId="52" fillId="47" borderId="40" xfId="1" applyFont="1" applyFill="1" applyBorder="1" applyAlignment="1">
      <alignment horizontal="center"/>
    </xf>
    <xf numFmtId="0" fontId="53" fillId="42" borderId="68" xfId="1" applyFont="1" applyFill="1" applyBorder="1" applyAlignment="1">
      <alignment horizontal="center"/>
    </xf>
    <xf numFmtId="0" fontId="3" fillId="48" borderId="41" xfId="1" applyFill="1" applyBorder="1" applyAlignment="1">
      <alignment horizontal="center"/>
    </xf>
    <xf numFmtId="0" fontId="52" fillId="48" borderId="41" xfId="1" applyFont="1" applyFill="1" applyBorder="1" applyAlignment="1">
      <alignment horizontal="center"/>
    </xf>
    <xf numFmtId="0" fontId="11" fillId="3" borderId="68" xfId="1" applyFont="1" applyFill="1" applyBorder="1" applyAlignment="1">
      <alignment horizontal="center"/>
    </xf>
    <xf numFmtId="0" fontId="11" fillId="0" borderId="0" xfId="1" applyFont="1" applyAlignment="1">
      <alignment horizontal="center"/>
    </xf>
    <xf numFmtId="0" fontId="3" fillId="8" borderId="68" xfId="1" applyFill="1" applyBorder="1" applyAlignment="1">
      <alignment horizontal="center"/>
    </xf>
    <xf numFmtId="0" fontId="3" fillId="49" borderId="41" xfId="1" applyFill="1" applyBorder="1" applyAlignment="1">
      <alignment horizontal="center"/>
    </xf>
    <xf numFmtId="0" fontId="54" fillId="49" borderId="41" xfId="1" applyFont="1" applyFill="1" applyBorder="1" applyAlignment="1">
      <alignment horizontal="center"/>
    </xf>
    <xf numFmtId="0" fontId="53" fillId="21" borderId="68" xfId="1" applyFont="1" applyFill="1" applyBorder="1" applyAlignment="1">
      <alignment horizontal="center"/>
    </xf>
    <xf numFmtId="0" fontId="3" fillId="2" borderId="41" xfId="1" applyFill="1" applyBorder="1"/>
    <xf numFmtId="0" fontId="16" fillId="2" borderId="41" xfId="1" applyFont="1" applyFill="1" applyBorder="1" applyAlignment="1">
      <alignment horizontal="center"/>
    </xf>
    <xf numFmtId="0" fontId="11" fillId="14" borderId="68" xfId="1" applyFont="1" applyFill="1" applyBorder="1" applyAlignment="1">
      <alignment horizontal="center"/>
    </xf>
    <xf numFmtId="0" fontId="50" fillId="50" borderId="68" xfId="1" applyFont="1" applyFill="1" applyBorder="1" applyAlignment="1">
      <alignment horizontal="center"/>
    </xf>
    <xf numFmtId="0" fontId="49" fillId="5" borderId="68" xfId="1" applyFont="1" applyFill="1" applyBorder="1"/>
    <xf numFmtId="0" fontId="3" fillId="52" borderId="42" xfId="1" applyFill="1" applyBorder="1"/>
    <xf numFmtId="0" fontId="54" fillId="52" borderId="42" xfId="1" applyFont="1" applyFill="1" applyBorder="1" applyAlignment="1">
      <alignment horizontal="center"/>
    </xf>
    <xf numFmtId="0" fontId="11" fillId="2" borderId="68" xfId="1" applyFont="1" applyFill="1" applyBorder="1" applyAlignment="1">
      <alignment horizontal="center"/>
    </xf>
    <xf numFmtId="0" fontId="11" fillId="27" borderId="68" xfId="1" applyFont="1" applyFill="1" applyBorder="1" applyAlignment="1">
      <alignment horizontal="center"/>
    </xf>
    <xf numFmtId="0" fontId="3" fillId="5" borderId="68" xfId="1" applyFill="1" applyBorder="1" applyAlignment="1">
      <alignment horizontal="center"/>
    </xf>
    <xf numFmtId="0" fontId="11" fillId="35" borderId="68" xfId="1" applyFont="1" applyFill="1" applyBorder="1" applyAlignment="1">
      <alignment horizontal="center"/>
    </xf>
    <xf numFmtId="0" fontId="3" fillId="2" borderId="68" xfId="1" applyFill="1" applyBorder="1" applyAlignment="1">
      <alignment horizontal="center"/>
    </xf>
    <xf numFmtId="0" fontId="50" fillId="42" borderId="68" xfId="1" applyFont="1" applyFill="1" applyBorder="1" applyAlignment="1">
      <alignment horizontal="center"/>
    </xf>
    <xf numFmtId="0" fontId="3" fillId="27" borderId="68" xfId="1" applyFill="1" applyBorder="1" applyAlignment="1">
      <alignment horizontal="center"/>
    </xf>
    <xf numFmtId="0" fontId="3" fillId="0" borderId="0" xfId="1" applyAlignment="1">
      <alignment horizontal="left" wrapText="1"/>
    </xf>
    <xf numFmtId="0" fontId="3" fillId="0" borderId="4" xfId="1" applyBorder="1" applyAlignment="1">
      <alignment horizontal="left" vertical="center" wrapText="1"/>
    </xf>
    <xf numFmtId="0" fontId="0" fillId="5" borderId="4" xfId="13" applyFont="1" applyFill="1" applyBorder="1" applyAlignment="1">
      <alignment horizontal="left" vertical="center" wrapText="1"/>
    </xf>
    <xf numFmtId="0" fontId="3" fillId="5" borderId="4" xfId="1" applyFill="1" applyBorder="1" applyAlignment="1">
      <alignment horizontal="center" vertical="center" wrapText="1"/>
    </xf>
    <xf numFmtId="0" fontId="3" fillId="5" borderId="4" xfId="1" applyFill="1" applyBorder="1" applyAlignment="1">
      <alignment horizontal="left" vertical="center" wrapText="1"/>
    </xf>
    <xf numFmtId="0" fontId="3" fillId="5" borderId="4" xfId="1" applyFill="1" applyBorder="1" applyAlignment="1">
      <alignment wrapText="1"/>
    </xf>
    <xf numFmtId="0" fontId="0" fillId="0" borderId="4" xfId="13" applyFont="1" applyBorder="1" applyAlignment="1">
      <alignment horizontal="left" vertical="center" wrapText="1"/>
    </xf>
    <xf numFmtId="0" fontId="3" fillId="0" borderId="4" xfId="1" applyBorder="1" applyAlignment="1">
      <alignment wrapText="1"/>
    </xf>
    <xf numFmtId="0" fontId="3" fillId="0" borderId="0" xfId="1" applyAlignment="1">
      <alignment horizontal="left" vertical="center" wrapText="1"/>
    </xf>
    <xf numFmtId="0" fontId="0" fillId="5" borderId="5" xfId="13" applyFont="1" applyFill="1" applyBorder="1" applyAlignment="1">
      <alignment horizontal="left" vertical="center" wrapText="1"/>
    </xf>
    <xf numFmtId="0" fontId="3" fillId="0" borderId="4" xfId="1" applyBorder="1" applyAlignment="1">
      <alignment horizontal="left" vertical="center"/>
    </xf>
    <xf numFmtId="0" fontId="42" fillId="0" borderId="4" xfId="1" applyFont="1" applyBorder="1" applyAlignment="1">
      <alignment horizontal="left" vertical="center"/>
    </xf>
    <xf numFmtId="0" fontId="3" fillId="5" borderId="38" xfId="1" applyFill="1" applyBorder="1" applyAlignment="1">
      <alignment horizontal="left" vertical="center" wrapText="1"/>
    </xf>
    <xf numFmtId="0" fontId="7" fillId="5" borderId="4" xfId="1" applyFont="1" applyFill="1" applyBorder="1" applyAlignment="1">
      <alignment horizontal="left" vertical="center" wrapText="1"/>
    </xf>
    <xf numFmtId="0" fontId="7" fillId="0" borderId="4" xfId="13" applyBorder="1" applyAlignment="1">
      <alignment horizontal="left" vertical="center" wrapText="1"/>
    </xf>
    <xf numFmtId="0" fontId="55" fillId="5" borderId="68" xfId="1" applyFont="1" applyFill="1" applyBorder="1" applyAlignment="1">
      <alignment horizontal="center"/>
    </xf>
    <xf numFmtId="166" fontId="23" fillId="53" borderId="0" xfId="0" applyNumberFormat="1" applyFont="1" applyFill="1" applyAlignment="1">
      <alignment horizontal="center" vertical="center"/>
    </xf>
    <xf numFmtId="0" fontId="32" fillId="0" borderId="0" xfId="0" applyFont="1" applyAlignment="1">
      <alignment horizontal="center"/>
    </xf>
    <xf numFmtId="0" fontId="5" fillId="5" borderId="68" xfId="2" applyFill="1" applyBorder="1" applyAlignment="1">
      <alignment horizontal="center"/>
    </xf>
    <xf numFmtId="0" fontId="48" fillId="0" borderId="0" xfId="1" applyFont="1" applyAlignment="1">
      <alignment horizontal="left" vertical="center"/>
    </xf>
    <xf numFmtId="0" fontId="59" fillId="0" borderId="0" xfId="2" applyFont="1" applyAlignment="1">
      <alignment vertical="center"/>
    </xf>
    <xf numFmtId="0" fontId="23" fillId="22" borderId="0" xfId="0" applyFont="1" applyFill="1" applyAlignment="1">
      <alignment horizontal="center" vertical="top" wrapText="1"/>
    </xf>
    <xf numFmtId="0" fontId="23" fillId="22" borderId="0" xfId="0" applyFont="1" applyFill="1" applyAlignment="1">
      <alignment horizontal="center"/>
    </xf>
    <xf numFmtId="0" fontId="23" fillId="0" borderId="31" xfId="0" applyFont="1" applyBorder="1" applyAlignment="1">
      <alignment horizontal="center" vertical="top" wrapText="1"/>
    </xf>
    <xf numFmtId="0" fontId="23" fillId="0" borderId="31" xfId="0" applyFont="1" applyBorder="1" applyAlignment="1">
      <alignment horizontal="center"/>
    </xf>
    <xf numFmtId="0" fontId="23" fillId="0" borderId="14" xfId="0" applyFont="1" applyBorder="1" applyAlignment="1">
      <alignment horizontal="center"/>
    </xf>
    <xf numFmtId="0" fontId="23" fillId="0" borderId="16" xfId="0" applyFont="1" applyBorder="1" applyAlignment="1">
      <alignment horizontal="center"/>
    </xf>
    <xf numFmtId="0" fontId="23" fillId="55" borderId="0" xfId="0" applyFont="1" applyFill="1"/>
    <xf numFmtId="0" fontId="23" fillId="55" borderId="0" xfId="0" applyFont="1" applyFill="1" applyAlignment="1">
      <alignment horizontal="center" vertical="center" wrapText="1"/>
    </xf>
    <xf numFmtId="166" fontId="23" fillId="14" borderId="0" xfId="0" applyNumberFormat="1" applyFont="1" applyFill="1" applyAlignment="1">
      <alignment horizontal="center"/>
    </xf>
    <xf numFmtId="0" fontId="26" fillId="22" borderId="4" xfId="0" applyFont="1" applyFill="1" applyBorder="1" applyAlignment="1">
      <alignment horizontal="right" wrapText="1"/>
    </xf>
    <xf numFmtId="0" fontId="23" fillId="8" borderId="31" xfId="0" applyFont="1" applyFill="1" applyBorder="1" applyAlignment="1">
      <alignment horizontal="center"/>
    </xf>
    <xf numFmtId="0" fontId="23" fillId="8" borderId="0" xfId="0" applyFont="1" applyFill="1" applyAlignment="1">
      <alignment horizontal="center"/>
    </xf>
    <xf numFmtId="0" fontId="23" fillId="8" borderId="32" xfId="0" applyFont="1" applyFill="1" applyBorder="1" applyAlignment="1">
      <alignment horizontal="center"/>
    </xf>
    <xf numFmtId="166" fontId="23" fillId="8" borderId="0" xfId="0" applyNumberFormat="1" applyFont="1" applyFill="1" applyAlignment="1">
      <alignment horizontal="center"/>
    </xf>
    <xf numFmtId="0" fontId="23" fillId="8" borderId="14" xfId="0" applyFont="1" applyFill="1" applyBorder="1" applyAlignment="1">
      <alignment horizontal="center"/>
    </xf>
    <xf numFmtId="0" fontId="23" fillId="0" borderId="16" xfId="0" applyFont="1" applyBorder="1"/>
    <xf numFmtId="0" fontId="23" fillId="8" borderId="16" xfId="0" applyFont="1" applyFill="1" applyBorder="1" applyAlignment="1">
      <alignment horizontal="center"/>
    </xf>
    <xf numFmtId="0" fontId="23" fillId="8" borderId="15" xfId="0" applyFont="1" applyFill="1" applyBorder="1" applyAlignment="1">
      <alignment horizontal="center"/>
    </xf>
    <xf numFmtId="0" fontId="23" fillId="0" borderId="32" xfId="0" applyFont="1" applyBorder="1" applyAlignment="1">
      <alignment horizontal="center"/>
    </xf>
    <xf numFmtId="0" fontId="23" fillId="19" borderId="31" xfId="0" applyFont="1" applyFill="1" applyBorder="1" applyAlignment="1">
      <alignment horizontal="center"/>
    </xf>
    <xf numFmtId="0" fontId="23" fillId="19" borderId="32" xfId="0" applyFont="1" applyFill="1" applyBorder="1" applyAlignment="1">
      <alignment horizontal="center"/>
    </xf>
    <xf numFmtId="0" fontId="23" fillId="0" borderId="15" xfId="0" applyFont="1" applyBorder="1" applyAlignment="1">
      <alignment horizontal="center"/>
    </xf>
    <xf numFmtId="0" fontId="26" fillId="0" borderId="0" xfId="0" applyFont="1" applyAlignment="1">
      <alignment horizontal="center" vertical="center" wrapText="1"/>
    </xf>
    <xf numFmtId="0" fontId="26" fillId="0" borderId="0" xfId="0" applyFont="1" applyAlignment="1">
      <alignment horizontal="center"/>
    </xf>
    <xf numFmtId="0" fontId="26" fillId="0" borderId="0" xfId="0" applyFont="1" applyAlignment="1">
      <alignment horizontal="center" vertical="center"/>
    </xf>
    <xf numFmtId="0" fontId="26" fillId="22" borderId="4" xfId="0" applyFont="1" applyFill="1" applyBorder="1" applyAlignment="1">
      <alignment horizontal="right" vertical="center" wrapText="1"/>
    </xf>
    <xf numFmtId="166" fontId="19" fillId="29" borderId="69" xfId="0" applyNumberFormat="1" applyFont="1" applyFill="1" applyBorder="1" applyAlignment="1">
      <alignment horizontal="center"/>
    </xf>
    <xf numFmtId="166" fontId="19" fillId="29" borderId="70" xfId="0" applyNumberFormat="1" applyFont="1" applyFill="1" applyBorder="1" applyAlignment="1">
      <alignment horizontal="center"/>
    </xf>
    <xf numFmtId="166" fontId="34" fillId="27" borderId="0" xfId="0" applyNumberFormat="1" applyFont="1" applyFill="1" applyAlignment="1">
      <alignment horizontal="center" vertical="center"/>
    </xf>
    <xf numFmtId="0" fontId="34" fillId="34" borderId="0" xfId="0" applyFont="1" applyFill="1"/>
    <xf numFmtId="166" fontId="61" fillId="16" borderId="0" xfId="0" applyNumberFormat="1" applyFont="1" applyFill="1" applyAlignment="1">
      <alignment horizontal="center" vertical="center"/>
    </xf>
    <xf numFmtId="166" fontId="61" fillId="0" borderId="0" xfId="0" applyNumberFormat="1" applyFont="1" applyAlignment="1">
      <alignment horizontal="center" vertical="center"/>
    </xf>
    <xf numFmtId="166" fontId="61" fillId="27" borderId="0" xfId="0" applyNumberFormat="1" applyFont="1" applyFill="1" applyAlignment="1">
      <alignment horizontal="center" vertical="center"/>
    </xf>
    <xf numFmtId="0" fontId="61" fillId="34" borderId="0" xfId="0" applyFont="1" applyFill="1"/>
    <xf numFmtId="0" fontId="26" fillId="22" borderId="0" xfId="0" applyFont="1" applyFill="1" applyAlignment="1">
      <alignment horizontal="right" vertical="center"/>
    </xf>
    <xf numFmtId="166" fontId="24" fillId="23" borderId="0" xfId="0" applyNumberFormat="1" applyFont="1" applyFill="1" applyAlignment="1">
      <alignment horizontal="center"/>
    </xf>
    <xf numFmtId="166" fontId="21" fillId="23" borderId="0" xfId="0" applyNumberFormat="1" applyFont="1" applyFill="1" applyAlignment="1">
      <alignment horizontal="center"/>
    </xf>
    <xf numFmtId="0" fontId="0" fillId="35" borderId="0" xfId="0" applyFill="1" applyAlignment="1">
      <alignment horizontal="right"/>
    </xf>
    <xf numFmtId="0" fontId="0" fillId="19" borderId="0" xfId="0" applyFill="1" applyAlignment="1">
      <alignment horizontal="right"/>
    </xf>
    <xf numFmtId="0" fontId="0" fillId="22" borderId="0" xfId="0" applyFill="1" applyAlignment="1">
      <alignment horizontal="center"/>
    </xf>
    <xf numFmtId="0" fontId="0" fillId="22" borderId="0" xfId="0" applyFill="1" applyAlignment="1">
      <alignment horizontal="center" vertical="center" wrapText="1"/>
    </xf>
    <xf numFmtId="0" fontId="0" fillId="22" borderId="0" xfId="0" quotePrefix="1" applyFill="1" applyAlignment="1">
      <alignment horizontal="center"/>
    </xf>
    <xf numFmtId="0" fontId="19" fillId="0" borderId="0" xfId="0" applyFont="1" applyAlignment="1">
      <alignment horizontal="center"/>
    </xf>
    <xf numFmtId="166" fontId="19" fillId="0" borderId="0" xfId="0" applyNumberFormat="1" applyFont="1" applyAlignment="1">
      <alignment horizontal="center" vertical="center"/>
    </xf>
    <xf numFmtId="166" fontId="2" fillId="19" borderId="0" xfId="0" applyNumberFormat="1" applyFont="1" applyFill="1" applyAlignment="1">
      <alignment horizontal="center" vertical="center"/>
    </xf>
    <xf numFmtId="0" fontId="23" fillId="19" borderId="0" xfId="0" applyFont="1" applyFill="1" applyAlignment="1">
      <alignment horizontal="center" vertical="center" wrapText="1"/>
    </xf>
    <xf numFmtId="166" fontId="36" fillId="0" borderId="0" xfId="0" applyNumberFormat="1" applyFont="1" applyAlignment="1">
      <alignment horizontal="center" vertical="center" wrapText="1"/>
    </xf>
    <xf numFmtId="0" fontId="26" fillId="5" borderId="4" xfId="0" applyFont="1" applyFill="1" applyBorder="1" applyAlignment="1">
      <alignment horizontal="right" vertical="center" wrapText="1"/>
    </xf>
    <xf numFmtId="0" fontId="57" fillId="0" borderId="0" xfId="0" applyFont="1"/>
    <xf numFmtId="0" fontId="57" fillId="0" borderId="16" xfId="0" applyFont="1" applyBorder="1" applyAlignment="1">
      <alignment horizontal="left" wrapText="1"/>
    </xf>
    <xf numFmtId="0" fontId="57" fillId="0" borderId="0" xfId="0" applyFont="1" applyAlignment="1">
      <alignment horizontal="left"/>
    </xf>
    <xf numFmtId="0" fontId="26" fillId="8" borderId="4" xfId="0" applyFont="1" applyFill="1" applyBorder="1" applyAlignment="1">
      <alignment horizontal="right"/>
    </xf>
    <xf numFmtId="166" fontId="26" fillId="0" borderId="0" xfId="0" applyNumberFormat="1" applyFont="1" applyAlignment="1">
      <alignment horizontal="center" vertical="center"/>
    </xf>
    <xf numFmtId="0" fontId="2" fillId="0" borderId="0" xfId="0" applyFont="1"/>
    <xf numFmtId="0" fontId="2" fillId="0" borderId="0" xfId="0" applyFont="1" applyAlignment="1">
      <alignment horizontal="right"/>
    </xf>
    <xf numFmtId="1" fontId="0" fillId="0" borderId="0" xfId="0" applyNumberFormat="1"/>
    <xf numFmtId="0" fontId="2" fillId="0" borderId="0" xfId="0" applyFont="1" applyAlignment="1">
      <alignment horizontal="center"/>
    </xf>
    <xf numFmtId="0" fontId="26" fillId="27" borderId="4" xfId="0" applyFont="1" applyFill="1" applyBorder="1" applyAlignment="1">
      <alignment horizontal="right" vertical="center" wrapText="1"/>
    </xf>
    <xf numFmtId="0" fontId="2" fillId="22" borderId="0" xfId="0" applyFont="1" applyFill="1" applyAlignment="1">
      <alignment horizontal="center" vertical="top" wrapText="1"/>
    </xf>
    <xf numFmtId="0" fontId="63" fillId="0" borderId="0" xfId="0" applyFont="1" applyAlignment="1">
      <alignment horizontal="center" vertical="center"/>
    </xf>
    <xf numFmtId="0" fontId="2" fillId="0" borderId="0" xfId="0" applyFont="1" applyAlignment="1">
      <alignment horizontal="right" vertical="center" wrapText="1"/>
    </xf>
    <xf numFmtId="0" fontId="2" fillId="5" borderId="4" xfId="0" applyFont="1" applyFill="1" applyBorder="1" applyAlignment="1">
      <alignment horizontal="right" vertical="center" wrapText="1"/>
    </xf>
    <xf numFmtId="0" fontId="28" fillId="0" borderId="0" xfId="0" applyFont="1" applyAlignment="1">
      <alignment horizontal="left"/>
    </xf>
    <xf numFmtId="0" fontId="23" fillId="0" borderId="0" xfId="0" applyFont="1" applyAlignment="1">
      <alignment horizontal="left"/>
    </xf>
    <xf numFmtId="0" fontId="32" fillId="0" borderId="0" xfId="0" applyFont="1" applyAlignment="1">
      <alignment horizontal="center" vertical="center"/>
    </xf>
    <xf numFmtId="0" fontId="57" fillId="0" borderId="0" xfId="0" applyFont="1" applyAlignment="1">
      <alignment wrapText="1"/>
    </xf>
    <xf numFmtId="0" fontId="64" fillId="5" borderId="16" xfId="0" applyFont="1" applyFill="1" applyBorder="1" applyAlignment="1">
      <alignment vertical="center"/>
    </xf>
    <xf numFmtId="0" fontId="62" fillId="37" borderId="4" xfId="0" applyFont="1" applyFill="1" applyBorder="1" applyAlignment="1">
      <alignment horizontal="center" vertical="center" wrapText="1"/>
    </xf>
    <xf numFmtId="0" fontId="62" fillId="19" borderId="4" xfId="0" applyFont="1" applyFill="1" applyBorder="1" applyAlignment="1">
      <alignment horizontal="center" vertical="center" wrapText="1"/>
    </xf>
    <xf numFmtId="0" fontId="23" fillId="0" borderId="4" xfId="0" applyFont="1" applyBorder="1" applyAlignment="1">
      <alignment vertical="center"/>
    </xf>
    <xf numFmtId="0" fontId="23" fillId="0" borderId="0" xfId="0" applyFont="1" applyAlignment="1">
      <alignment horizontal="center" vertical="center"/>
    </xf>
    <xf numFmtId="0" fontId="23" fillId="0" borderId="0" xfId="0" applyFont="1" applyAlignment="1">
      <alignment vertical="center"/>
    </xf>
    <xf numFmtId="0" fontId="1" fillId="0" borderId="0" xfId="0" applyFont="1" applyAlignment="1">
      <alignment horizontal="right"/>
    </xf>
    <xf numFmtId="167" fontId="23" fillId="0" borderId="0" xfId="0" applyNumberFormat="1" applyFont="1" applyAlignment="1">
      <alignment horizontal="center"/>
    </xf>
    <xf numFmtId="0" fontId="21" fillId="0" borderId="0" xfId="0" applyFont="1" applyAlignment="1">
      <alignment horizontal="center" vertical="center" wrapText="1"/>
    </xf>
    <xf numFmtId="0" fontId="28" fillId="0" borderId="0" xfId="0" applyFont="1"/>
    <xf numFmtId="0" fontId="67" fillId="0" borderId="43" xfId="1" applyFont="1" applyBorder="1" applyAlignment="1">
      <alignment horizontal="center" vertical="center"/>
    </xf>
    <xf numFmtId="0" fontId="67" fillId="0" borderId="43" xfId="1" applyFont="1" applyBorder="1" applyAlignment="1">
      <alignment horizontal="center" vertical="center" wrapText="1"/>
    </xf>
    <xf numFmtId="0" fontId="67" fillId="0" borderId="0" xfId="1" applyFont="1"/>
    <xf numFmtId="0" fontId="68" fillId="0" borderId="43" xfId="1" applyFont="1" applyBorder="1" applyAlignment="1">
      <alignment horizontal="center" vertical="center" wrapText="1"/>
    </xf>
    <xf numFmtId="166" fontId="68" fillId="0" borderId="43" xfId="1" applyNumberFormat="1" applyFont="1" applyBorder="1" applyAlignment="1">
      <alignment horizontal="center" vertical="center" wrapText="1"/>
    </xf>
    <xf numFmtId="0" fontId="68" fillId="0" borderId="43" xfId="9" applyFont="1" applyBorder="1" applyAlignment="1">
      <alignment horizontal="center" vertical="center" wrapText="1"/>
    </xf>
    <xf numFmtId="0" fontId="68" fillId="0" borderId="43" xfId="8" applyFont="1" applyFill="1" applyBorder="1" applyAlignment="1" applyProtection="1">
      <alignment horizontal="center" vertical="center" wrapText="1"/>
    </xf>
    <xf numFmtId="49" fontId="68" fillId="0" borderId="43" xfId="10" applyNumberFormat="1" applyFont="1" applyBorder="1" applyAlignment="1">
      <alignment horizontal="center" vertical="center" wrapText="1"/>
    </xf>
    <xf numFmtId="0" fontId="68" fillId="0" borderId="43" xfId="10" applyFont="1" applyBorder="1" applyAlignment="1">
      <alignment horizontal="center" vertical="center" wrapText="1"/>
    </xf>
    <xf numFmtId="0" fontId="68" fillId="0" borderId="0" xfId="10" applyFont="1" applyAlignment="1">
      <alignment wrapText="1"/>
    </xf>
    <xf numFmtId="0" fontId="68" fillId="0" borderId="43" xfId="11" applyFont="1" applyFill="1" applyBorder="1" applyAlignment="1" applyProtection="1">
      <alignment horizontal="center" vertical="center" wrapText="1"/>
    </xf>
    <xf numFmtId="0" fontId="72" fillId="0" borderId="0" xfId="10" applyFont="1" applyAlignment="1">
      <alignment wrapText="1"/>
    </xf>
    <xf numFmtId="0" fontId="67" fillId="0" borderId="0" xfId="1" applyFont="1" applyAlignment="1">
      <alignment horizontal="center" vertical="center"/>
    </xf>
    <xf numFmtId="0" fontId="68" fillId="0" borderId="43" xfId="1" applyFont="1" applyBorder="1" applyAlignment="1" applyProtection="1">
      <alignment horizontal="center" vertical="center" wrapText="1"/>
      <protection locked="0"/>
    </xf>
    <xf numFmtId="0" fontId="68" fillId="0" borderId="43" xfId="1" quotePrefix="1" applyFont="1" applyBorder="1" applyAlignment="1" applyProtection="1">
      <alignment horizontal="center" vertical="center" wrapText="1"/>
      <protection locked="0"/>
    </xf>
    <xf numFmtId="0" fontId="68" fillId="0" borderId="52" xfId="1" applyFont="1" applyBorder="1" applyAlignment="1" applyProtection="1">
      <alignment horizontal="center" vertical="center" wrapText="1"/>
      <protection locked="0"/>
    </xf>
    <xf numFmtId="0" fontId="68" fillId="0" borderId="53" xfId="1" applyFont="1" applyBorder="1" applyAlignment="1" applyProtection="1">
      <alignment horizontal="center" vertical="center" wrapText="1"/>
      <protection locked="0"/>
    </xf>
    <xf numFmtId="0" fontId="68" fillId="0" borderId="54" xfId="1" applyFont="1" applyBorder="1" applyAlignment="1" applyProtection="1">
      <alignment horizontal="center" vertical="center" wrapText="1"/>
      <protection locked="0"/>
    </xf>
    <xf numFmtId="0" fontId="68" fillId="37" borderId="55" xfId="5" applyFont="1" applyFill="1" applyBorder="1" applyAlignment="1" applyProtection="1">
      <alignment horizontal="center" vertical="center" wrapText="1"/>
      <protection locked="0"/>
    </xf>
    <xf numFmtId="0" fontId="68" fillId="0" borderId="52" xfId="5" applyFont="1" applyBorder="1" applyAlignment="1" applyProtection="1">
      <alignment horizontal="center" vertical="center" wrapText="1"/>
      <protection locked="0"/>
    </xf>
    <xf numFmtId="0" fontId="68" fillId="0" borderId="56" xfId="1" applyFont="1" applyBorder="1" applyAlignment="1" applyProtection="1">
      <alignment horizontal="center" vertical="center" wrapText="1"/>
      <protection locked="0"/>
    </xf>
    <xf numFmtId="0" fontId="68" fillId="0" borderId="57" xfId="1" applyFont="1" applyBorder="1" applyAlignment="1" applyProtection="1">
      <alignment horizontal="center" vertical="center" wrapText="1"/>
      <protection locked="0"/>
    </xf>
    <xf numFmtId="0" fontId="68" fillId="0" borderId="58" xfId="1" applyFont="1" applyBorder="1" applyAlignment="1" applyProtection="1">
      <alignment horizontal="center" vertical="center" wrapText="1"/>
      <protection locked="0"/>
    </xf>
    <xf numFmtId="0" fontId="68" fillId="37" borderId="59" xfId="5" applyFont="1" applyFill="1" applyBorder="1" applyAlignment="1" applyProtection="1">
      <alignment horizontal="center" vertical="center" wrapText="1"/>
      <protection locked="0"/>
    </xf>
    <xf numFmtId="0" fontId="68" fillId="0" borderId="57" xfId="5" applyFont="1" applyBorder="1" applyAlignment="1" applyProtection="1">
      <alignment horizontal="center" vertical="center" wrapText="1"/>
      <protection locked="0"/>
    </xf>
    <xf numFmtId="0" fontId="68" fillId="37" borderId="57" xfId="5" applyFont="1" applyFill="1" applyBorder="1" applyAlignment="1" applyProtection="1">
      <alignment horizontal="center" vertical="center" wrapText="1"/>
      <protection locked="0"/>
    </xf>
    <xf numFmtId="0" fontId="68" fillId="0" borderId="59" xfId="5" applyFont="1" applyBorder="1" applyAlignment="1" applyProtection="1">
      <alignment horizontal="center" vertical="center" wrapText="1"/>
      <protection locked="0"/>
    </xf>
    <xf numFmtId="0" fontId="68" fillId="0" borderId="43" xfId="1" applyFont="1" applyBorder="1" applyAlignment="1">
      <alignment horizontal="center" vertical="center"/>
    </xf>
    <xf numFmtId="0" fontId="68" fillId="0" borderId="43" xfId="5" applyFont="1" applyBorder="1" applyAlignment="1" applyProtection="1">
      <alignment horizontal="center" vertical="center" wrapText="1"/>
      <protection locked="0"/>
    </xf>
    <xf numFmtId="0" fontId="68" fillId="0" borderId="57" xfId="1" applyFont="1" applyBorder="1" applyAlignment="1">
      <alignment horizontal="center" vertical="center"/>
    </xf>
    <xf numFmtId="49" fontId="68" fillId="0" borderId="43" xfId="1" applyNumberFormat="1" applyFont="1" applyBorder="1" applyAlignment="1" applyProtection="1">
      <alignment horizontal="center" vertical="center" wrapText="1"/>
      <protection locked="0"/>
    </xf>
    <xf numFmtId="0" fontId="67" fillId="0" borderId="0" xfId="1" applyFont="1" applyAlignment="1">
      <alignment wrapText="1"/>
    </xf>
    <xf numFmtId="0" fontId="68" fillId="0" borderId="43" xfId="7" applyFont="1" applyBorder="1" applyAlignment="1">
      <alignment horizontal="center" vertical="center" wrapText="1"/>
    </xf>
    <xf numFmtId="0" fontId="67" fillId="19" borderId="43" xfId="1" applyFont="1" applyFill="1" applyBorder="1" applyAlignment="1">
      <alignment horizontal="center" vertical="center"/>
    </xf>
    <xf numFmtId="0" fontId="44" fillId="0" borderId="0" xfId="1" applyFont="1" applyAlignment="1">
      <alignment wrapText="1"/>
    </xf>
    <xf numFmtId="0" fontId="60" fillId="0" borderId="0" xfId="0" applyFont="1" applyAlignment="1">
      <alignment horizontal="center" vertical="center" wrapText="1"/>
    </xf>
    <xf numFmtId="0" fontId="78" fillId="0" borderId="0" xfId="0" applyFont="1" applyAlignment="1">
      <alignment horizontal="center" vertical="center"/>
    </xf>
    <xf numFmtId="0" fontId="37" fillId="0" borderId="0" xfId="0" applyFont="1" applyAlignment="1">
      <alignment horizontal="right" vertical="center" wrapText="1"/>
    </xf>
    <xf numFmtId="0" fontId="23" fillId="25" borderId="0" xfId="0" applyFont="1" applyFill="1"/>
    <xf numFmtId="0" fontId="80" fillId="0" borderId="0" xfId="0" applyFont="1" applyAlignment="1" applyProtection="1">
      <alignment horizontal="center" vertical="center" wrapText="1"/>
      <protection hidden="1"/>
    </xf>
    <xf numFmtId="0" fontId="80" fillId="37" borderId="0" xfId="0" applyFont="1" applyFill="1" applyAlignment="1" applyProtection="1">
      <alignment horizontal="center" vertical="center" wrapText="1"/>
      <protection hidden="1"/>
    </xf>
    <xf numFmtId="0" fontId="66" fillId="0" borderId="0" xfId="0" applyFont="1" applyAlignment="1" applyProtection="1">
      <alignment horizontal="center" vertical="center" wrapText="1"/>
      <protection hidden="1"/>
    </xf>
    <xf numFmtId="0" fontId="25" fillId="22" borderId="4" xfId="0" applyFont="1" applyFill="1" applyBorder="1" applyAlignment="1" applyProtection="1">
      <alignment horizontal="center"/>
      <protection hidden="1"/>
    </xf>
    <xf numFmtId="0" fontId="25" fillId="19" borderId="4" xfId="0" applyFont="1" applyFill="1" applyBorder="1" applyAlignment="1" applyProtection="1">
      <alignment horizontal="center"/>
      <protection hidden="1"/>
    </xf>
    <xf numFmtId="17" fontId="27" fillId="0" borderId="0" xfId="0" quotePrefix="1" applyNumberFormat="1" applyFont="1" applyAlignment="1" applyProtection="1">
      <alignment horizontal="center" wrapText="1"/>
      <protection hidden="1"/>
    </xf>
    <xf numFmtId="0" fontId="23" fillId="0" borderId="0" xfId="0" applyFont="1" applyAlignment="1" applyProtection="1">
      <alignment horizontal="center"/>
      <protection hidden="1"/>
    </xf>
    <xf numFmtId="0" fontId="2" fillId="0" borderId="0" xfId="0" applyFont="1" applyAlignment="1" applyProtection="1">
      <alignment horizontal="center"/>
      <protection hidden="1"/>
    </xf>
    <xf numFmtId="166" fontId="25" fillId="22" borderId="4" xfId="0" applyNumberFormat="1" applyFont="1" applyFill="1" applyBorder="1" applyAlignment="1" applyProtection="1">
      <alignment horizontal="center"/>
      <protection hidden="1"/>
    </xf>
    <xf numFmtId="0" fontId="25" fillId="22" borderId="4" xfId="0" applyFont="1" applyFill="1" applyBorder="1" applyAlignment="1" applyProtection="1">
      <alignment horizontal="center" vertical="center"/>
      <protection hidden="1"/>
    </xf>
    <xf numFmtId="166" fontId="26" fillId="5" borderId="4" xfId="0" applyNumberFormat="1" applyFont="1" applyFill="1" applyBorder="1" applyAlignment="1" applyProtection="1">
      <alignment horizontal="center" vertical="center"/>
      <protection hidden="1"/>
    </xf>
    <xf numFmtId="166" fontId="26" fillId="5" borderId="4" xfId="0" applyNumberFormat="1" applyFont="1" applyFill="1" applyBorder="1" applyAlignment="1" applyProtection="1">
      <alignment horizontal="center"/>
      <protection hidden="1"/>
    </xf>
    <xf numFmtId="9" fontId="25" fillId="22" borderId="4" xfId="3" applyFont="1" applyFill="1" applyBorder="1" applyAlignment="1" applyProtection="1">
      <alignment horizontal="center"/>
      <protection hidden="1"/>
    </xf>
    <xf numFmtId="0" fontId="25" fillId="27" borderId="4" xfId="0" applyFont="1" applyFill="1" applyBorder="1" applyAlignment="1" applyProtection="1">
      <alignment horizontal="center" vertical="center"/>
      <protection hidden="1"/>
    </xf>
    <xf numFmtId="0" fontId="23" fillId="0" borderId="0" xfId="0" applyFont="1" applyProtection="1">
      <protection hidden="1"/>
    </xf>
    <xf numFmtId="0" fontId="26" fillId="19" borderId="4" xfId="0" applyFont="1" applyFill="1" applyBorder="1" applyAlignment="1" applyProtection="1">
      <alignment horizontal="center" vertical="center"/>
      <protection hidden="1"/>
    </xf>
    <xf numFmtId="0" fontId="26" fillId="0" borderId="0" xfId="0" applyFont="1" applyAlignment="1" applyProtection="1">
      <alignment horizontal="center" vertical="center"/>
      <protection hidden="1"/>
    </xf>
    <xf numFmtId="166" fontId="37" fillId="5" borderId="4" xfId="0" applyNumberFormat="1" applyFont="1" applyFill="1" applyBorder="1" applyAlignment="1" applyProtection="1">
      <alignment horizontal="center"/>
      <protection hidden="1"/>
    </xf>
    <xf numFmtId="0" fontId="26" fillId="5" borderId="4" xfId="0" applyFont="1" applyFill="1" applyBorder="1" applyAlignment="1" applyProtection="1">
      <alignment horizontal="center"/>
      <protection hidden="1"/>
    </xf>
    <xf numFmtId="1" fontId="26" fillId="5" borderId="4" xfId="0" applyNumberFormat="1" applyFont="1" applyFill="1" applyBorder="1" applyAlignment="1" applyProtection="1">
      <alignment horizontal="center"/>
      <protection hidden="1"/>
    </xf>
    <xf numFmtId="167" fontId="23" fillId="0" borderId="0" xfId="0" applyNumberFormat="1" applyFont="1" applyAlignment="1" applyProtection="1">
      <alignment horizontal="center"/>
      <protection hidden="1"/>
    </xf>
    <xf numFmtId="0" fontId="67" fillId="0" borderId="57" xfId="1" applyFont="1" applyBorder="1" applyAlignment="1">
      <alignment horizontal="center" vertical="center"/>
    </xf>
    <xf numFmtId="0" fontId="81" fillId="0" borderId="43" xfId="1" applyFont="1" applyBorder="1" applyAlignment="1">
      <alignment horizontal="center" vertical="center" wrapText="1"/>
    </xf>
    <xf numFmtId="0" fontId="68" fillId="0" borderId="43" xfId="6" applyFont="1" applyBorder="1" applyAlignment="1">
      <alignment horizontal="center" vertical="center" wrapText="1"/>
    </xf>
    <xf numFmtId="0" fontId="82" fillId="0" borderId="0" xfId="0" applyFont="1" applyAlignment="1">
      <alignment horizontal="center" vertical="center" wrapText="1"/>
    </xf>
    <xf numFmtId="0" fontId="83" fillId="0" borderId="0" xfId="0" applyFont="1"/>
    <xf numFmtId="0" fontId="83" fillId="0" borderId="0" xfId="0" applyFont="1" applyAlignment="1">
      <alignment vertical="center"/>
    </xf>
    <xf numFmtId="0" fontId="0" fillId="53" borderId="0" xfId="0" applyFill="1"/>
    <xf numFmtId="0" fontId="85" fillId="0" borderId="0" xfId="0" applyFont="1" applyAlignment="1">
      <alignment horizontal="left" vertical="center"/>
    </xf>
    <xf numFmtId="0" fontId="83" fillId="0" borderId="0" xfId="0" applyFont="1" applyAlignment="1">
      <alignment horizontal="center"/>
    </xf>
    <xf numFmtId="0" fontId="79" fillId="0" borderId="0" xfId="0" applyFont="1" applyAlignment="1">
      <alignment horizontal="center" vertical="center" wrapText="1"/>
    </xf>
    <xf numFmtId="0" fontId="0" fillId="0" borderId="0" xfId="0" applyAlignment="1">
      <alignment vertical="center"/>
    </xf>
    <xf numFmtId="0" fontId="87" fillId="0" borderId="0" xfId="0" applyFont="1" applyAlignment="1">
      <alignment horizontal="right" vertical="center"/>
    </xf>
    <xf numFmtId="0" fontId="88" fillId="22" borderId="4" xfId="0" applyFont="1" applyFill="1" applyBorder="1" applyAlignment="1" applyProtection="1">
      <alignment horizontal="center" vertical="center"/>
      <protection hidden="1"/>
    </xf>
    <xf numFmtId="0" fontId="88" fillId="19" borderId="4" xfId="0" applyFont="1" applyFill="1" applyBorder="1" applyAlignment="1" applyProtection="1">
      <alignment horizontal="center" vertical="center"/>
      <protection hidden="1"/>
    </xf>
    <xf numFmtId="0" fontId="90" fillId="37" borderId="0" xfId="0" applyFont="1" applyFill="1" applyAlignment="1">
      <alignment horizontal="center" vertical="center" wrapText="1"/>
    </xf>
    <xf numFmtId="0" fontId="84" fillId="0" borderId="0" xfId="0" applyFont="1" applyAlignment="1">
      <alignment horizontal="center" vertical="center" wrapText="1"/>
    </xf>
    <xf numFmtId="2" fontId="89" fillId="0" borderId="0" xfId="0" applyNumberFormat="1" applyFont="1" applyAlignment="1">
      <alignment horizontal="center" vertical="center"/>
    </xf>
    <xf numFmtId="0" fontId="85" fillId="0" borderId="0" xfId="0" applyFont="1"/>
    <xf numFmtId="0" fontId="91" fillId="23" borderId="4" xfId="0" applyFont="1" applyFill="1" applyBorder="1" applyAlignment="1">
      <alignment horizontal="center" vertical="center"/>
    </xf>
    <xf numFmtId="0" fontId="91" fillId="20" borderId="4" xfId="0" applyFont="1" applyFill="1" applyBorder="1" applyAlignment="1">
      <alignment horizontal="center" vertical="center"/>
    </xf>
    <xf numFmtId="0" fontId="91" fillId="56" borderId="4" xfId="0" applyFont="1" applyFill="1" applyBorder="1" applyAlignment="1">
      <alignment horizontal="center" vertical="center"/>
    </xf>
    <xf numFmtId="0" fontId="91" fillId="42" borderId="4" xfId="0" applyFont="1" applyFill="1" applyBorder="1" applyAlignment="1">
      <alignment horizontal="center" vertical="center"/>
    </xf>
    <xf numFmtId="0" fontId="86" fillId="23" borderId="12" xfId="0" applyFont="1" applyFill="1" applyBorder="1" applyAlignment="1">
      <alignment horizontal="center" vertical="center"/>
    </xf>
    <xf numFmtId="0" fontId="86" fillId="23" borderId="68" xfId="0" applyFont="1" applyFill="1" applyBorder="1" applyAlignment="1">
      <alignment horizontal="center" vertical="center"/>
    </xf>
    <xf numFmtId="0" fontId="86" fillId="20" borderId="68" xfId="0" applyFont="1" applyFill="1" applyBorder="1" applyAlignment="1">
      <alignment horizontal="center" vertical="center"/>
    </xf>
    <xf numFmtId="0" fontId="86" fillId="56" borderId="68" xfId="0" applyFont="1" applyFill="1" applyBorder="1" applyAlignment="1">
      <alignment horizontal="center" vertical="center"/>
    </xf>
    <xf numFmtId="0" fontId="86" fillId="42" borderId="68" xfId="0" applyFont="1" applyFill="1" applyBorder="1" applyAlignment="1">
      <alignment horizontal="center" vertical="center"/>
    </xf>
    <xf numFmtId="0" fontId="63" fillId="0" borderId="0" xfId="0" applyFont="1"/>
    <xf numFmtId="0" fontId="86" fillId="23" borderId="65" xfId="0" applyFont="1" applyFill="1" applyBorder="1" applyAlignment="1">
      <alignment horizontal="center" vertical="center"/>
    </xf>
    <xf numFmtId="1" fontId="88" fillId="22" borderId="4" xfId="0" applyNumberFormat="1" applyFont="1" applyFill="1" applyBorder="1" applyAlignment="1" applyProtection="1">
      <alignment horizontal="center" vertical="center"/>
      <protection hidden="1"/>
    </xf>
    <xf numFmtId="0" fontId="63" fillId="19" borderId="0" xfId="0" applyFont="1" applyFill="1" applyAlignment="1">
      <alignment horizontal="center" vertical="center"/>
    </xf>
    <xf numFmtId="0" fontId="90" fillId="19" borderId="0" xfId="0" applyFont="1" applyFill="1" applyAlignment="1">
      <alignment horizontal="center" vertical="center" wrapText="1"/>
    </xf>
    <xf numFmtId="0" fontId="84" fillId="19" borderId="0" xfId="0" applyFont="1" applyFill="1" applyAlignment="1">
      <alignment horizontal="center" vertical="center" wrapText="1"/>
    </xf>
    <xf numFmtId="0" fontId="83" fillId="19" borderId="0" xfId="0" applyFont="1" applyFill="1" applyAlignment="1">
      <alignment horizontal="center"/>
    </xf>
    <xf numFmtId="0" fontId="94" fillId="0" borderId="0" xfId="0" applyFont="1"/>
    <xf numFmtId="0" fontId="86" fillId="58" borderId="68" xfId="0" applyFont="1" applyFill="1" applyBorder="1" applyAlignment="1">
      <alignment horizontal="center" vertical="center"/>
    </xf>
    <xf numFmtId="0" fontId="86" fillId="13" borderId="68" xfId="0" applyFont="1" applyFill="1" applyBorder="1" applyAlignment="1">
      <alignment horizontal="center" vertical="center"/>
    </xf>
    <xf numFmtId="0" fontId="89" fillId="0" borderId="0" xfId="0" applyFont="1" applyAlignment="1">
      <alignment horizontal="center"/>
    </xf>
    <xf numFmtId="0" fontId="93" fillId="0" borderId="4" xfId="0" applyFont="1" applyBorder="1" applyAlignment="1">
      <alignment horizontal="center" vertical="center" wrapText="1"/>
    </xf>
    <xf numFmtId="0" fontId="95" fillId="19" borderId="0" xfId="0" applyFont="1" applyFill="1" applyAlignment="1">
      <alignment vertical="center"/>
    </xf>
    <xf numFmtId="0" fontId="85" fillId="0" borderId="4" xfId="0" applyFont="1" applyBorder="1" applyAlignment="1">
      <alignment horizontal="center" vertical="center" wrapText="1"/>
    </xf>
    <xf numFmtId="0" fontId="31" fillId="0" borderId="4" xfId="0" applyFont="1" applyBorder="1" applyAlignment="1">
      <alignment horizontal="center" vertical="center" wrapText="1"/>
    </xf>
    <xf numFmtId="0" fontId="97" fillId="0" borderId="0" xfId="0" applyFont="1" applyAlignment="1">
      <alignment horizontal="center" vertical="center"/>
    </xf>
    <xf numFmtId="0" fontId="86" fillId="57" borderId="68" xfId="0" applyFont="1" applyFill="1" applyBorder="1" applyAlignment="1">
      <alignment horizontal="center" vertical="center"/>
    </xf>
    <xf numFmtId="0" fontId="86" fillId="57" borderId="65" xfId="0" applyFont="1" applyFill="1" applyBorder="1" applyAlignment="1">
      <alignment horizontal="center" vertical="center"/>
    </xf>
    <xf numFmtId="0" fontId="86" fillId="57" borderId="12" xfId="0" applyFont="1" applyFill="1" applyBorder="1" applyAlignment="1">
      <alignment horizontal="center" vertical="center"/>
    </xf>
    <xf numFmtId="0" fontId="80" fillId="37" borderId="4" xfId="0" applyFont="1" applyFill="1" applyBorder="1" applyAlignment="1">
      <alignment horizontal="center" vertical="center" wrapText="1"/>
    </xf>
    <xf numFmtId="0" fontId="96" fillId="58" borderId="68" xfId="0" applyFont="1" applyFill="1" applyBorder="1" applyAlignment="1">
      <alignment horizontal="center" vertical="center"/>
    </xf>
    <xf numFmtId="0" fontId="98" fillId="57" borderId="68" xfId="0" applyFont="1" applyFill="1" applyBorder="1" applyAlignment="1">
      <alignment horizontal="center" vertical="center"/>
    </xf>
    <xf numFmtId="0" fontId="98" fillId="57" borderId="65" xfId="0" applyFont="1" applyFill="1" applyBorder="1" applyAlignment="1">
      <alignment horizontal="center" vertical="center"/>
    </xf>
    <xf numFmtId="0" fontId="98" fillId="57" borderId="12" xfId="0" applyFont="1" applyFill="1" applyBorder="1" applyAlignment="1">
      <alignment horizontal="center" vertical="center"/>
    </xf>
    <xf numFmtId="0" fontId="98" fillId="57" borderId="40" xfId="0" applyFont="1" applyFill="1" applyBorder="1" applyAlignment="1">
      <alignment horizontal="center" vertical="center"/>
    </xf>
    <xf numFmtId="0" fontId="98" fillId="57" borderId="63" xfId="0" applyFont="1" applyFill="1" applyBorder="1" applyAlignment="1">
      <alignment horizontal="center" vertical="center"/>
    </xf>
    <xf numFmtId="0" fontId="1" fillId="0" borderId="0" xfId="0" applyFont="1"/>
    <xf numFmtId="0" fontId="21" fillId="37" borderId="14" xfId="1" applyFont="1" applyFill="1" applyBorder="1" applyAlignment="1" applyProtection="1">
      <alignment horizontal="right" wrapText="1"/>
      <protection locked="0"/>
    </xf>
    <xf numFmtId="0" fontId="99" fillId="0" borderId="0" xfId="0" applyFont="1" applyAlignment="1">
      <alignment horizontal="center" vertical="center"/>
    </xf>
    <xf numFmtId="0" fontId="0" fillId="0" borderId="0" xfId="0" applyAlignment="1">
      <alignment horizontal="center" textRotation="90"/>
    </xf>
    <xf numFmtId="0" fontId="0" fillId="0" borderId="0" xfId="0" applyAlignment="1">
      <alignment horizontal="right" vertical="center" wrapText="1"/>
    </xf>
    <xf numFmtId="0" fontId="25" fillId="0" borderId="4" xfId="0" applyFont="1" applyBorder="1" applyAlignment="1" applyProtection="1">
      <alignment horizontal="center" vertical="center"/>
      <protection locked="0"/>
    </xf>
    <xf numFmtId="0" fontId="0" fillId="0" borderId="0" xfId="0" applyProtection="1">
      <protection locked="0"/>
    </xf>
    <xf numFmtId="0" fontId="60" fillId="38" borderId="43" xfId="5" quotePrefix="1" applyFont="1" applyFill="1" applyBorder="1" applyAlignment="1" applyProtection="1">
      <alignment horizontal="center" vertical="center" wrapText="1"/>
      <protection locked="0"/>
    </xf>
    <xf numFmtId="0" fontId="60" fillId="30" borderId="43" xfId="6" applyFont="1" applyFill="1" applyBorder="1" applyAlignment="1" applyProtection="1">
      <alignment horizontal="center" vertical="center" wrapText="1"/>
      <protection locked="0"/>
    </xf>
    <xf numFmtId="0" fontId="60" fillId="39" borderId="71" xfId="1" applyFont="1" applyFill="1" applyBorder="1" applyAlignment="1" applyProtection="1">
      <alignment horizontal="center" vertical="center" wrapText="1"/>
      <protection locked="0"/>
    </xf>
    <xf numFmtId="0" fontId="28" fillId="37" borderId="13" xfId="1" applyFont="1" applyFill="1" applyBorder="1" applyAlignment="1" applyProtection="1">
      <alignment horizontal="center" vertical="center" wrapText="1"/>
      <protection locked="0"/>
    </xf>
    <xf numFmtId="0" fontId="28" fillId="37" borderId="32" xfId="1" applyFont="1" applyFill="1" applyBorder="1" applyAlignment="1" applyProtection="1">
      <alignment horizontal="center" vertical="center" wrapText="1"/>
      <protection locked="0"/>
    </xf>
    <xf numFmtId="0" fontId="21" fillId="0" borderId="31" xfId="0" applyFont="1" applyBorder="1" applyAlignment="1">
      <alignment horizontal="center" vertical="center" wrapText="1"/>
    </xf>
    <xf numFmtId="0" fontId="28" fillId="37" borderId="15" xfId="1" applyFont="1" applyFill="1" applyBorder="1" applyAlignment="1" applyProtection="1">
      <alignment horizontal="left" wrapText="1"/>
      <protection locked="0"/>
    </xf>
    <xf numFmtId="0" fontId="1" fillId="0" borderId="0" xfId="0" applyFont="1" applyAlignment="1">
      <alignment horizontal="center"/>
    </xf>
    <xf numFmtId="0" fontId="18" fillId="0" borderId="0" xfId="0" applyFont="1" applyAlignment="1" applyProtection="1">
      <alignment horizontal="center"/>
      <protection hidden="1"/>
    </xf>
    <xf numFmtId="0" fontId="68" fillId="0" borderId="43" xfId="5" quotePrefix="1" applyFont="1" applyBorder="1" applyAlignment="1" applyProtection="1">
      <alignment horizontal="center" vertical="center" wrapText="1"/>
      <protection locked="0"/>
    </xf>
    <xf numFmtId="0" fontId="68" fillId="59" borderId="43" xfId="5" applyFont="1" applyFill="1" applyBorder="1" applyAlignment="1" applyProtection="1">
      <alignment horizontal="center" vertical="center" wrapText="1"/>
      <protection locked="0"/>
    </xf>
    <xf numFmtId="0" fontId="68" fillId="59" borderId="43" xfId="5" quotePrefix="1" applyFont="1" applyFill="1" applyBorder="1" applyAlignment="1" applyProtection="1">
      <alignment horizontal="center" vertical="center" wrapText="1"/>
      <protection locked="0"/>
    </xf>
    <xf numFmtId="0" fontId="68" fillId="37" borderId="43" xfId="0" applyFont="1" applyFill="1" applyBorder="1" applyAlignment="1" applyProtection="1">
      <alignment horizontal="center" vertical="center" wrapText="1"/>
      <protection locked="0"/>
    </xf>
    <xf numFmtId="0" fontId="68" fillId="0" borderId="43" xfId="0" applyFont="1" applyBorder="1" applyAlignment="1" applyProtection="1">
      <alignment horizontal="center" vertical="center" wrapText="1"/>
      <protection locked="0"/>
    </xf>
    <xf numFmtId="0" fontId="68" fillId="0" borderId="43" xfId="8" applyFont="1" applyFill="1" applyBorder="1" applyAlignment="1" applyProtection="1">
      <alignment horizontal="center" vertical="center" wrapText="1"/>
      <protection locked="0"/>
    </xf>
    <xf numFmtId="0" fontId="68" fillId="0" borderId="43" xfId="7" applyFont="1" applyBorder="1" applyAlignment="1" applyProtection="1">
      <alignment horizontal="center" vertical="center" wrapText="1"/>
      <protection locked="0"/>
    </xf>
    <xf numFmtId="0" fontId="68" fillId="19" borderId="43" xfId="0" applyFont="1" applyFill="1" applyBorder="1" applyAlignment="1" applyProtection="1">
      <alignment horizontal="center" vertical="center" wrapText="1"/>
      <protection locked="0"/>
    </xf>
    <xf numFmtId="0" fontId="68" fillId="0" borderId="52" xfId="0" applyFont="1" applyBorder="1" applyAlignment="1" applyProtection="1">
      <alignment horizontal="center" vertical="center" wrapText="1"/>
      <protection locked="0"/>
    </xf>
    <xf numFmtId="0" fontId="68" fillId="0" borderId="52" xfId="7" applyFont="1" applyBorder="1" applyAlignment="1" applyProtection="1">
      <alignment horizontal="center" vertical="center" wrapText="1"/>
      <protection locked="0"/>
    </xf>
    <xf numFmtId="0" fontId="68" fillId="0" borderId="50" xfId="1" applyFont="1" applyBorder="1" applyAlignment="1" applyProtection="1">
      <alignment horizontal="center" vertical="center" wrapText="1"/>
      <protection locked="0"/>
    </xf>
    <xf numFmtId="0" fontId="68" fillId="59" borderId="52" xfId="5" applyFont="1" applyFill="1" applyBorder="1" applyAlignment="1" applyProtection="1">
      <alignment horizontal="center" vertical="center" wrapText="1"/>
      <protection locked="0"/>
    </xf>
    <xf numFmtId="0" fontId="68" fillId="0" borderId="57" xfId="0" applyFont="1" applyBorder="1" applyAlignment="1" applyProtection="1">
      <alignment horizontal="center" vertical="center" wrapText="1"/>
      <protection locked="0"/>
    </xf>
    <xf numFmtId="0" fontId="68" fillId="59" borderId="52" xfId="5" quotePrefix="1" applyFont="1" applyFill="1" applyBorder="1" applyAlignment="1" applyProtection="1">
      <alignment horizontal="center" vertical="center" wrapText="1"/>
      <protection locked="0"/>
    </xf>
    <xf numFmtId="0" fontId="68" fillId="0" borderId="0" xfId="1" applyFont="1" applyAlignment="1" applyProtection="1">
      <alignment horizontal="center" vertical="center" wrapText="1"/>
      <protection locked="0"/>
    </xf>
    <xf numFmtId="0" fontId="68" fillId="0" borderId="52" xfId="5" quotePrefix="1" applyFont="1" applyBorder="1" applyAlignment="1" applyProtection="1">
      <alignment horizontal="center" vertical="center" wrapText="1"/>
      <protection locked="0"/>
    </xf>
    <xf numFmtId="0" fontId="68" fillId="37" borderId="52" xfId="0" applyFont="1" applyFill="1" applyBorder="1" applyAlignment="1" applyProtection="1">
      <alignment horizontal="center" vertical="center" wrapText="1"/>
      <protection locked="0"/>
    </xf>
    <xf numFmtId="0" fontId="68" fillId="0" borderId="52" xfId="8" applyFont="1" applyFill="1" applyBorder="1" applyAlignment="1" applyProtection="1">
      <alignment horizontal="center" vertical="center" wrapText="1"/>
      <protection locked="0"/>
    </xf>
    <xf numFmtId="0" fontId="68" fillId="0" borderId="60" xfId="1" applyFont="1" applyBorder="1" applyAlignment="1" applyProtection="1">
      <alignment horizontal="center" vertical="center" wrapText="1"/>
      <protection locked="0"/>
    </xf>
    <xf numFmtId="0" fontId="68" fillId="0" borderId="51" xfId="1" applyFont="1" applyBorder="1" applyAlignment="1" applyProtection="1">
      <alignment horizontal="center" vertical="center" wrapText="1"/>
      <protection locked="0"/>
    </xf>
    <xf numFmtId="0" fontId="68" fillId="0" borderId="50" xfId="5" applyFont="1" applyBorder="1" applyAlignment="1" applyProtection="1">
      <alignment horizontal="center" vertical="center" wrapText="1"/>
      <protection locked="0"/>
    </xf>
    <xf numFmtId="0" fontId="68" fillId="0" borderId="0" xfId="5" applyFont="1" applyAlignment="1" applyProtection="1">
      <alignment horizontal="center" vertical="center" wrapText="1"/>
      <protection locked="0"/>
    </xf>
    <xf numFmtId="0" fontId="68" fillId="0" borderId="58" xfId="5" applyFont="1" applyBorder="1" applyAlignment="1" applyProtection="1">
      <alignment horizontal="center" vertical="center" wrapText="1"/>
      <protection locked="0"/>
    </xf>
    <xf numFmtId="0" fontId="68" fillId="0" borderId="58" xfId="1" applyFont="1" applyBorder="1" applyAlignment="1">
      <alignment horizontal="center" vertical="center"/>
    </xf>
    <xf numFmtId="0" fontId="68" fillId="60" borderId="43" xfId="0" applyFont="1" applyFill="1" applyBorder="1" applyAlignment="1">
      <alignment horizontal="center" vertical="center" wrapText="1"/>
    </xf>
    <xf numFmtId="0" fontId="68" fillId="0" borderId="43" xfId="0" applyFont="1" applyBorder="1" applyAlignment="1">
      <alignment horizontal="center" vertical="center" wrapText="1"/>
    </xf>
    <xf numFmtId="0" fontId="68" fillId="37" borderId="43" xfId="0" applyFont="1" applyFill="1" applyBorder="1" applyAlignment="1">
      <alignment horizontal="center" vertical="center" wrapText="1"/>
    </xf>
    <xf numFmtId="0" fontId="68" fillId="0" borderId="56" xfId="1" applyFont="1" applyBorder="1" applyAlignment="1">
      <alignment horizontal="center" vertical="center"/>
    </xf>
    <xf numFmtId="0" fontId="67" fillId="37" borderId="0" xfId="1" applyFont="1" applyFill="1" applyAlignment="1">
      <alignment horizontal="center" vertical="center"/>
    </xf>
    <xf numFmtId="0" fontId="67" fillId="0" borderId="55" xfId="1" applyFont="1" applyBorder="1" applyAlignment="1">
      <alignment horizontal="center" vertical="center"/>
    </xf>
    <xf numFmtId="0" fontId="67" fillId="0" borderId="54" xfId="1" applyFont="1" applyBorder="1" applyAlignment="1">
      <alignment horizontal="center" vertical="center"/>
    </xf>
    <xf numFmtId="0" fontId="67" fillId="0" borderId="59" xfId="1" applyFont="1" applyBorder="1" applyAlignment="1">
      <alignment horizontal="center" vertical="center"/>
    </xf>
    <xf numFmtId="0" fontId="67" fillId="0" borderId="58" xfId="1" applyFont="1" applyBorder="1" applyAlignment="1">
      <alignment horizontal="center" vertical="center"/>
    </xf>
    <xf numFmtId="0" fontId="89" fillId="0" borderId="0" xfId="1" applyFont="1" applyAlignment="1">
      <alignment horizontal="center" vertical="center"/>
    </xf>
    <xf numFmtId="0" fontId="67" fillId="19" borderId="43" xfId="1" applyFont="1" applyFill="1" applyBorder="1" applyAlignment="1">
      <alignment horizontal="center" vertical="center" wrapText="1"/>
    </xf>
    <xf numFmtId="49" fontId="68" fillId="0" borderId="43" xfId="0" applyNumberFormat="1" applyFont="1" applyBorder="1" applyAlignment="1">
      <alignment horizontal="center" vertical="center" wrapText="1"/>
    </xf>
    <xf numFmtId="0" fontId="68" fillId="53" borderId="43" xfId="0" applyFont="1" applyFill="1" applyBorder="1" applyAlignment="1">
      <alignment horizontal="center" vertical="center" wrapText="1"/>
    </xf>
    <xf numFmtId="0" fontId="68" fillId="0" borderId="43" xfId="0" applyFont="1" applyBorder="1" applyAlignment="1">
      <alignment horizontal="center" vertical="center"/>
    </xf>
    <xf numFmtId="0" fontId="67" fillId="0" borderId="56" xfId="1" applyFont="1" applyBorder="1" applyAlignment="1">
      <alignment horizontal="center" vertical="center"/>
    </xf>
    <xf numFmtId="0" fontId="73" fillId="61" borderId="43" xfId="0" applyFont="1" applyFill="1" applyBorder="1" applyAlignment="1">
      <alignment horizontal="center" vertical="center" wrapText="1"/>
    </xf>
    <xf numFmtId="0" fontId="68" fillId="0" borderId="43" xfId="10" applyFont="1" applyBorder="1" applyAlignment="1">
      <alignment horizontal="center" vertical="center"/>
    </xf>
    <xf numFmtId="0" fontId="46" fillId="0" borderId="43" xfId="1" applyFont="1" applyBorder="1" applyAlignment="1">
      <alignment horizontal="center" vertical="center" wrapText="1"/>
    </xf>
    <xf numFmtId="0" fontId="29" fillId="0" borderId="0" xfId="1" applyFont="1" applyAlignment="1">
      <alignment wrapText="1"/>
    </xf>
    <xf numFmtId="0" fontId="73" fillId="0" borderId="43" xfId="0" applyFont="1" applyBorder="1" applyAlignment="1">
      <alignment horizontal="center" vertical="center" wrapText="1"/>
    </xf>
    <xf numFmtId="0" fontId="67" fillId="60" borderId="43" xfId="0" applyFont="1" applyFill="1" applyBorder="1" applyAlignment="1">
      <alignment horizontal="center" vertical="center" wrapText="1"/>
    </xf>
    <xf numFmtId="0" fontId="67" fillId="0" borderId="43" xfId="8" applyFont="1" applyFill="1" applyBorder="1" applyAlignment="1" applyProtection="1">
      <alignment horizontal="center" vertical="center" wrapText="1"/>
    </xf>
    <xf numFmtId="0" fontId="67" fillId="0" borderId="43" xfId="0" applyFont="1" applyBorder="1" applyAlignment="1">
      <alignment horizontal="center" vertical="center" wrapText="1"/>
    </xf>
    <xf numFmtId="0" fontId="20" fillId="0" borderId="0" xfId="0" applyFont="1" applyAlignment="1">
      <alignment vertical="center"/>
    </xf>
    <xf numFmtId="0" fontId="20" fillId="21" borderId="0" xfId="0" applyFont="1" applyFill="1" applyAlignment="1">
      <alignment vertical="center" wrapText="1"/>
    </xf>
    <xf numFmtId="0" fontId="20" fillId="0" borderId="0" xfId="0" applyFont="1" applyAlignment="1">
      <alignment vertical="center" wrapText="1"/>
    </xf>
    <xf numFmtId="0" fontId="20" fillId="31" borderId="0" xfId="0" applyFont="1" applyFill="1" applyAlignment="1">
      <alignment vertical="center" wrapText="1"/>
    </xf>
    <xf numFmtId="0" fontId="20" fillId="32" borderId="0" xfId="0" applyFont="1" applyFill="1" applyAlignment="1">
      <alignment vertical="center" wrapText="1"/>
    </xf>
    <xf numFmtId="0" fontId="20" fillId="5" borderId="0" xfId="0" applyFont="1" applyFill="1" applyAlignment="1">
      <alignment vertical="center" wrapText="1"/>
    </xf>
    <xf numFmtId="0" fontId="20" fillId="5" borderId="0" xfId="0" applyFont="1" applyFill="1" applyAlignment="1">
      <alignment vertical="center"/>
    </xf>
    <xf numFmtId="0" fontId="1" fillId="25" borderId="0" xfId="0" applyFont="1" applyFill="1" applyAlignment="1">
      <alignment horizontal="center" vertical="center"/>
    </xf>
    <xf numFmtId="0" fontId="67" fillId="0" borderId="0" xfId="1" applyFont="1" applyAlignment="1">
      <alignment horizontal="center" vertical="center" wrapText="1"/>
    </xf>
    <xf numFmtId="0" fontId="67" fillId="0" borderId="43" xfId="1" applyFont="1" applyBorder="1"/>
    <xf numFmtId="0" fontId="68" fillId="0" borderId="0" xfId="0" applyFont="1" applyAlignment="1" applyProtection="1">
      <alignment horizontal="center" vertical="center" wrapText="1"/>
      <protection locked="0"/>
    </xf>
    <xf numFmtId="0" fontId="68" fillId="37" borderId="0" xfId="5" applyFont="1" applyFill="1" applyAlignment="1" applyProtection="1">
      <alignment horizontal="center" vertical="center" wrapText="1"/>
      <protection locked="0"/>
    </xf>
    <xf numFmtId="0" fontId="68" fillId="37" borderId="49" xfId="5" applyFont="1" applyFill="1" applyBorder="1" applyAlignment="1" applyProtection="1">
      <alignment horizontal="center" vertical="center" wrapText="1"/>
      <protection locked="0"/>
    </xf>
    <xf numFmtId="0" fontId="67" fillId="0" borderId="52" xfId="1" applyFont="1" applyBorder="1" applyAlignment="1">
      <alignment horizontal="center" vertical="center"/>
    </xf>
    <xf numFmtId="0" fontId="68" fillId="37" borderId="50" xfId="5" applyFont="1" applyFill="1" applyBorder="1" applyAlignment="1" applyProtection="1">
      <alignment horizontal="center" vertical="center" wrapText="1"/>
      <protection locked="0"/>
    </xf>
    <xf numFmtId="0" fontId="67" fillId="0" borderId="51" xfId="1" applyFont="1" applyBorder="1" applyAlignment="1">
      <alignment horizontal="center" vertical="center"/>
    </xf>
    <xf numFmtId="0" fontId="25" fillId="0" borderId="4" xfId="0" applyFont="1" applyBorder="1"/>
    <xf numFmtId="0" fontId="101" fillId="0" borderId="4" xfId="0" applyFont="1" applyBorder="1"/>
    <xf numFmtId="0" fontId="37" fillId="0" borderId="0" xfId="0" applyFont="1" applyAlignment="1">
      <alignment horizontal="left" wrapText="1"/>
    </xf>
    <xf numFmtId="0" fontId="1" fillId="0" borderId="4" xfId="0" applyFont="1" applyBorder="1"/>
    <xf numFmtId="0" fontId="21" fillId="28" borderId="0" xfId="0" applyFont="1" applyFill="1" applyAlignment="1">
      <alignment horizontal="right"/>
    </xf>
    <xf numFmtId="166" fontId="28" fillId="28" borderId="4" xfId="0" applyNumberFormat="1" applyFont="1" applyFill="1" applyBorder="1"/>
    <xf numFmtId="1" fontId="28" fillId="28" borderId="4" xfId="0" applyNumberFormat="1" applyFont="1" applyFill="1" applyBorder="1"/>
    <xf numFmtId="0" fontId="21" fillId="19" borderId="4" xfId="0" applyFont="1" applyFill="1" applyBorder="1" applyAlignment="1">
      <alignment horizontal="center"/>
    </xf>
    <xf numFmtId="0" fontId="21" fillId="27" borderId="4" xfId="0" applyFont="1" applyFill="1" applyBorder="1" applyAlignment="1">
      <alignment horizontal="center"/>
    </xf>
    <xf numFmtId="0" fontId="103" fillId="20" borderId="0" xfId="0" applyFont="1" applyFill="1" applyAlignment="1">
      <alignment horizontal="right"/>
    </xf>
    <xf numFmtId="0" fontId="103" fillId="20" borderId="0" xfId="0" applyFont="1" applyFill="1" applyAlignment="1">
      <alignment horizontal="left"/>
    </xf>
    <xf numFmtId="166" fontId="103" fillId="20" borderId="4" xfId="0" applyNumberFormat="1" applyFont="1" applyFill="1" applyBorder="1"/>
    <xf numFmtId="1" fontId="103" fillId="20" borderId="4" xfId="0" applyNumberFormat="1" applyFont="1" applyFill="1" applyBorder="1"/>
    <xf numFmtId="0" fontId="103" fillId="21" borderId="0" xfId="0" applyFont="1" applyFill="1" applyAlignment="1">
      <alignment horizontal="right"/>
    </xf>
    <xf numFmtId="166" fontId="103" fillId="21" borderId="4" xfId="0" applyNumberFormat="1" applyFont="1" applyFill="1" applyBorder="1"/>
    <xf numFmtId="1" fontId="103" fillId="21" borderId="4" xfId="0" applyNumberFormat="1" applyFont="1" applyFill="1" applyBorder="1"/>
    <xf numFmtId="2" fontId="21" fillId="19" borderId="0" xfId="0" applyNumberFormat="1" applyFont="1" applyFill="1"/>
    <xf numFmtId="0" fontId="26" fillId="19" borderId="31" xfId="0" applyFont="1" applyFill="1" applyBorder="1" applyAlignment="1">
      <alignment horizontal="center" vertical="center"/>
    </xf>
    <xf numFmtId="0" fontId="26" fillId="19" borderId="4" xfId="0" applyFont="1" applyFill="1" applyBorder="1" applyAlignment="1">
      <alignment wrapText="1"/>
    </xf>
    <xf numFmtId="0" fontId="102" fillId="37" borderId="0" xfId="0" applyFont="1" applyFill="1" applyAlignment="1">
      <alignment horizontal="center" textRotation="90" wrapText="1"/>
    </xf>
    <xf numFmtId="0" fontId="102" fillId="37" borderId="16" xfId="0" applyFont="1" applyFill="1" applyBorder="1" applyAlignment="1">
      <alignment horizontal="center" textRotation="90" wrapText="1"/>
    </xf>
    <xf numFmtId="0" fontId="102" fillId="37" borderId="0" xfId="0" applyFont="1" applyFill="1" applyAlignment="1">
      <alignment horizontal="center" textRotation="90"/>
    </xf>
    <xf numFmtId="0" fontId="102" fillId="37" borderId="16" xfId="0" applyFont="1" applyFill="1" applyBorder="1" applyAlignment="1">
      <alignment horizontal="center" textRotation="90"/>
    </xf>
    <xf numFmtId="0" fontId="102" fillId="37" borderId="0" xfId="0" applyFont="1" applyFill="1" applyAlignment="1">
      <alignment horizontal="center" vertical="center" wrapText="1"/>
    </xf>
    <xf numFmtId="0" fontId="0" fillId="0" borderId="8"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29" fillId="0" borderId="29" xfId="0" applyFont="1" applyBorder="1" applyAlignment="1">
      <alignment horizontal="center" textRotation="90" wrapText="1"/>
    </xf>
    <xf numFmtId="0" fontId="29" fillId="0" borderId="33" xfId="0" applyFont="1" applyBorder="1" applyAlignment="1">
      <alignment horizontal="center" textRotation="90" wrapText="1"/>
    </xf>
    <xf numFmtId="0" fontId="29" fillId="0" borderId="19" xfId="0" applyFont="1" applyBorder="1" applyAlignment="1">
      <alignment horizontal="center" textRotation="90" wrapText="1"/>
    </xf>
    <xf numFmtId="0" fontId="29" fillId="22" borderId="29" xfId="0" applyFont="1" applyFill="1" applyBorder="1" applyAlignment="1">
      <alignment horizontal="center" textRotation="90" wrapText="1"/>
    </xf>
    <xf numFmtId="0" fontId="29" fillId="22" borderId="33" xfId="0" applyFont="1" applyFill="1" applyBorder="1" applyAlignment="1">
      <alignment horizontal="center" textRotation="90" wrapText="1"/>
    </xf>
    <xf numFmtId="0" fontId="29" fillId="22" borderId="19" xfId="0" applyFont="1" applyFill="1" applyBorder="1" applyAlignment="1">
      <alignment horizontal="center" textRotation="90" wrapText="1"/>
    </xf>
    <xf numFmtId="0" fontId="31" fillId="0" borderId="34" xfId="0" applyFont="1" applyBorder="1" applyAlignment="1">
      <alignment horizontal="center"/>
    </xf>
    <xf numFmtId="0" fontId="31" fillId="0" borderId="35" xfId="0" applyFont="1" applyBorder="1" applyAlignment="1">
      <alignment horizontal="center"/>
    </xf>
    <xf numFmtId="0" fontId="23" fillId="0" borderId="0" xfId="0" applyFont="1" applyAlignment="1">
      <alignment horizontal="center"/>
    </xf>
    <xf numFmtId="0" fontId="0" fillId="0" borderId="0" xfId="0" applyAlignment="1">
      <alignment horizontal="right" textRotation="135" wrapText="1"/>
    </xf>
    <xf numFmtId="0" fontId="0" fillId="0" borderId="0" xfId="0" applyAlignment="1">
      <alignment horizontal="center" textRotation="90"/>
    </xf>
    <xf numFmtId="0" fontId="0" fillId="0" borderId="0" xfId="0" applyAlignment="1">
      <alignment horizontal="center"/>
    </xf>
    <xf numFmtId="0" fontId="32" fillId="0" borderId="10" xfId="0" applyFont="1" applyBorder="1" applyAlignment="1">
      <alignment horizontal="center"/>
    </xf>
    <xf numFmtId="0" fontId="32" fillId="0" borderId="9" xfId="0" applyFont="1" applyBorder="1" applyAlignment="1">
      <alignment horizontal="center"/>
    </xf>
    <xf numFmtId="0" fontId="32" fillId="0" borderId="13"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vertical="center"/>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4" xfId="0" applyBorder="1" applyAlignment="1">
      <alignment horizontal="center"/>
    </xf>
    <xf numFmtId="165" fontId="0" fillId="0" borderId="0" xfId="14" applyFont="1" applyAlignment="1">
      <alignment horizontal="center" vertical="center" wrapText="1"/>
    </xf>
    <xf numFmtId="0" fontId="0" fillId="0" borderId="0" xfId="0" applyAlignment="1">
      <alignment horizontal="right" vertical="center" wrapText="1"/>
    </xf>
    <xf numFmtId="0" fontId="0" fillId="0" borderId="0" xfId="0" quotePrefix="1" applyAlignment="1">
      <alignment horizontal="center"/>
    </xf>
    <xf numFmtId="166" fontId="0" fillId="0" borderId="8" xfId="0" applyNumberFormat="1" applyBorder="1" applyAlignment="1">
      <alignment horizontal="center"/>
    </xf>
    <xf numFmtId="166" fontId="0" fillId="0" borderId="7" xfId="0" applyNumberFormat="1" applyBorder="1" applyAlignment="1">
      <alignment horizontal="center"/>
    </xf>
    <xf numFmtId="166" fontId="0" fillId="0" borderId="6" xfId="0" applyNumberFormat="1" applyBorder="1" applyAlignment="1">
      <alignment horizontal="center"/>
    </xf>
    <xf numFmtId="0" fontId="65" fillId="42" borderId="0" xfId="0" applyFont="1" applyFill="1" applyAlignment="1">
      <alignment horizontal="center" vertical="center" wrapText="1"/>
    </xf>
    <xf numFmtId="0" fontId="92" fillId="22" borderId="16" xfId="0" applyFont="1" applyFill="1" applyBorder="1" applyAlignment="1">
      <alignment horizontal="center" vertical="center" wrapText="1"/>
    </xf>
    <xf numFmtId="49" fontId="58" fillId="37" borderId="10" xfId="1" applyNumberFormat="1" applyFont="1" applyFill="1" applyBorder="1" applyAlignment="1" applyProtection="1">
      <alignment horizontal="center" vertical="center" wrapText="1"/>
      <protection locked="0"/>
    </xf>
    <xf numFmtId="49" fontId="58" fillId="37" borderId="9" xfId="1" applyNumberFormat="1" applyFont="1" applyFill="1" applyBorder="1" applyAlignment="1" applyProtection="1">
      <alignment horizontal="center" vertical="center" wrapText="1"/>
      <protection locked="0"/>
    </xf>
    <xf numFmtId="49" fontId="58" fillId="37" borderId="13" xfId="1" applyNumberFormat="1" applyFont="1" applyFill="1" applyBorder="1" applyAlignment="1" applyProtection="1">
      <alignment horizontal="center" vertical="center" wrapText="1"/>
      <protection locked="0"/>
    </xf>
    <xf numFmtId="49" fontId="38" fillId="37" borderId="10" xfId="1" applyNumberFormat="1" applyFont="1" applyFill="1" applyBorder="1" applyAlignment="1" applyProtection="1">
      <alignment horizontal="center" vertical="center" wrapText="1"/>
      <protection locked="0"/>
    </xf>
    <xf numFmtId="49" fontId="38" fillId="37" borderId="9" xfId="1" applyNumberFormat="1" applyFont="1" applyFill="1" applyBorder="1" applyAlignment="1" applyProtection="1">
      <alignment horizontal="center" vertical="center" wrapText="1"/>
      <protection locked="0"/>
    </xf>
    <xf numFmtId="49" fontId="38" fillId="37" borderId="13" xfId="1" applyNumberFormat="1" applyFont="1" applyFill="1" applyBorder="1" applyAlignment="1" applyProtection="1">
      <alignment horizontal="center" vertical="center" wrapText="1"/>
      <protection locked="0"/>
    </xf>
    <xf numFmtId="49" fontId="38" fillId="37" borderId="31" xfId="1" applyNumberFormat="1" applyFont="1" applyFill="1" applyBorder="1" applyAlignment="1" applyProtection="1">
      <alignment horizontal="center" vertical="center" wrapText="1"/>
      <protection locked="0"/>
    </xf>
    <xf numFmtId="49" fontId="38" fillId="37" borderId="0" xfId="1" applyNumberFormat="1" applyFont="1" applyFill="1" applyAlignment="1" applyProtection="1">
      <alignment horizontal="center" vertical="center" wrapText="1"/>
      <protection locked="0"/>
    </xf>
    <xf numFmtId="49" fontId="38" fillId="37" borderId="32" xfId="1" applyNumberFormat="1" applyFont="1" applyFill="1" applyBorder="1" applyAlignment="1" applyProtection="1">
      <alignment horizontal="center" vertical="center" wrapText="1"/>
      <protection locked="0"/>
    </xf>
    <xf numFmtId="49" fontId="38" fillId="37" borderId="38" xfId="1" applyNumberFormat="1" applyFont="1" applyFill="1" applyBorder="1" applyAlignment="1" applyProtection="1">
      <alignment horizontal="center" vertical="center" wrapText="1"/>
      <protection locked="0"/>
    </xf>
    <xf numFmtId="49" fontId="38" fillId="37" borderId="39" xfId="1" applyNumberFormat="1" applyFont="1" applyFill="1" applyBorder="1" applyAlignment="1" applyProtection="1">
      <alignment horizontal="center" vertical="center" wrapText="1"/>
      <protection locked="0"/>
    </xf>
    <xf numFmtId="49" fontId="38" fillId="37" borderId="5" xfId="1" applyNumberFormat="1" applyFont="1" applyFill="1" applyBorder="1" applyAlignment="1" applyProtection="1">
      <alignment horizontal="center" vertical="center" wrapText="1"/>
      <protection locked="0"/>
    </xf>
    <xf numFmtId="0" fontId="56" fillId="37" borderId="4" xfId="1" applyFont="1" applyFill="1" applyBorder="1" applyAlignment="1">
      <alignment horizontal="center" vertical="center"/>
    </xf>
    <xf numFmtId="0" fontId="56" fillId="0" borderId="4" xfId="1" applyFont="1" applyBorder="1" applyAlignment="1">
      <alignment horizontal="center" vertical="center"/>
    </xf>
    <xf numFmtId="14" fontId="41" fillId="37" borderId="4" xfId="1" quotePrefix="1" applyNumberFormat="1" applyFont="1" applyFill="1" applyBorder="1" applyAlignment="1">
      <alignment horizontal="center" vertical="center"/>
    </xf>
    <xf numFmtId="0" fontId="41" fillId="37" borderId="4" xfId="1" quotePrefix="1" applyFont="1" applyFill="1" applyBorder="1" applyAlignment="1">
      <alignment horizontal="center" vertical="center"/>
    </xf>
    <xf numFmtId="0" fontId="41" fillId="37" borderId="4" xfId="1" applyFont="1" applyFill="1" applyBorder="1" applyAlignment="1">
      <alignment horizontal="center" vertical="center"/>
    </xf>
    <xf numFmtId="49" fontId="26" fillId="37" borderId="38" xfId="1" applyNumberFormat="1" applyFont="1" applyFill="1" applyBorder="1" applyAlignment="1" applyProtection="1">
      <alignment horizontal="center" wrapText="1"/>
      <protection locked="0"/>
    </xf>
    <xf numFmtId="49" fontId="58" fillId="37" borderId="5" xfId="1" applyNumberFormat="1" applyFont="1" applyFill="1" applyBorder="1" applyAlignment="1" applyProtection="1">
      <alignment horizontal="center" wrapText="1"/>
      <protection locked="0"/>
    </xf>
    <xf numFmtId="0" fontId="57" fillId="37" borderId="4" xfId="1" applyFont="1" applyFill="1" applyBorder="1" applyAlignment="1" applyProtection="1">
      <alignment horizontal="center" vertical="center" wrapText="1"/>
      <protection locked="0"/>
    </xf>
    <xf numFmtId="0" fontId="64" fillId="0" borderId="14" xfId="1" applyFont="1" applyBorder="1" applyAlignment="1">
      <alignment horizontal="center" vertical="center" wrapText="1"/>
    </xf>
    <xf numFmtId="0" fontId="64" fillId="0" borderId="16" xfId="1" applyFont="1" applyBorder="1" applyAlignment="1">
      <alignment horizontal="center" vertical="center"/>
    </xf>
    <xf numFmtId="0" fontId="64" fillId="0" borderId="15" xfId="1" applyFont="1" applyBorder="1" applyAlignment="1">
      <alignment horizontal="center" vertical="center"/>
    </xf>
    <xf numFmtId="0" fontId="23" fillId="0" borderId="8" xfId="0" applyFont="1" applyBorder="1" applyAlignment="1">
      <alignment horizontal="center"/>
    </xf>
    <xf numFmtId="0" fontId="23" fillId="0" borderId="7" xfId="0" applyFont="1" applyBorder="1" applyAlignment="1">
      <alignment horizontal="center"/>
    </xf>
    <xf numFmtId="0" fontId="23" fillId="0" borderId="6" xfId="0" applyFont="1" applyBorder="1" applyAlignment="1">
      <alignment horizontal="center"/>
    </xf>
    <xf numFmtId="0" fontId="20" fillId="32" borderId="0" xfId="0" applyFont="1" applyFill="1" applyAlignment="1">
      <alignment horizontal="center" vertical="center" wrapText="1"/>
    </xf>
    <xf numFmtId="0" fontId="20" fillId="54" borderId="0" xfId="0" applyFont="1" applyFill="1" applyAlignment="1">
      <alignment horizontal="center" vertical="center" wrapText="1"/>
    </xf>
    <xf numFmtId="0" fontId="60" fillId="0" borderId="8" xfId="0" applyFont="1" applyBorder="1" applyAlignment="1">
      <alignment horizontal="center"/>
    </xf>
    <xf numFmtId="0" fontId="60" fillId="0" borderId="7" xfId="0" applyFont="1" applyBorder="1" applyAlignment="1">
      <alignment horizontal="center"/>
    </xf>
    <xf numFmtId="0" fontId="20" fillId="21" borderId="0" xfId="0" applyFont="1" applyFill="1" applyAlignment="1">
      <alignment horizontal="center" vertical="center"/>
    </xf>
    <xf numFmtId="0" fontId="21" fillId="23" borderId="0" xfId="0" applyFont="1" applyFill="1" applyAlignment="1">
      <alignment horizontal="center" wrapText="1"/>
    </xf>
    <xf numFmtId="0" fontId="21" fillId="23" borderId="0" xfId="0" applyFont="1" applyFill="1" applyAlignment="1">
      <alignment horizontal="center" vertical="center" wrapText="1"/>
    </xf>
    <xf numFmtId="0" fontId="33" fillId="23" borderId="0" xfId="0" applyFont="1" applyFill="1" applyAlignment="1">
      <alignment horizontal="center" vertical="center" wrapText="1"/>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1" fontId="23" fillId="0" borderId="5" xfId="0" applyNumberFormat="1" applyFont="1" applyBorder="1" applyAlignment="1">
      <alignment horizontal="center" vertical="center"/>
    </xf>
    <xf numFmtId="0" fontId="4" fillId="0" borderId="0" xfId="1" applyFont="1" applyAlignment="1">
      <alignment vertical="center" wrapText="1"/>
    </xf>
    <xf numFmtId="0" fontId="6" fillId="7" borderId="1" xfId="1" applyFont="1" applyFill="1" applyBorder="1" applyAlignment="1">
      <alignment horizontal="center"/>
    </xf>
    <xf numFmtId="0" fontId="6" fillId="7" borderId="2" xfId="1" applyFont="1" applyFill="1" applyBorder="1" applyAlignment="1">
      <alignment horizontal="center"/>
    </xf>
    <xf numFmtId="0" fontId="6" fillId="7" borderId="3" xfId="1" applyFont="1" applyFill="1" applyBorder="1" applyAlignment="1">
      <alignment horizontal="center"/>
    </xf>
    <xf numFmtId="0" fontId="3" fillId="5" borderId="1" xfId="1" applyFill="1" applyBorder="1" applyAlignment="1">
      <alignment horizontal="center" wrapText="1"/>
    </xf>
    <xf numFmtId="0" fontId="3" fillId="5" borderId="62" xfId="1" applyFill="1" applyBorder="1" applyAlignment="1">
      <alignment horizontal="center" wrapText="1"/>
    </xf>
    <xf numFmtId="0" fontId="3" fillId="5" borderId="63" xfId="1" applyFill="1" applyBorder="1" applyAlignment="1">
      <alignment horizontal="center" wrapText="1"/>
    </xf>
    <xf numFmtId="0" fontId="3" fillId="5" borderId="66" xfId="1" applyFill="1" applyBorder="1" applyAlignment="1">
      <alignment horizontal="center" wrapText="1"/>
    </xf>
    <xf numFmtId="0" fontId="3" fillId="5" borderId="11" xfId="1" applyFill="1" applyBorder="1" applyAlignment="1">
      <alignment horizontal="center" wrapText="1"/>
    </xf>
    <xf numFmtId="0" fontId="3" fillId="5" borderId="67" xfId="1" applyFill="1" applyBorder="1" applyAlignment="1">
      <alignment horizontal="center" wrapText="1"/>
    </xf>
    <xf numFmtId="0" fontId="5" fillId="40" borderId="64" xfId="2" applyFill="1" applyBorder="1" applyAlignment="1">
      <alignment horizontal="center"/>
    </xf>
    <xf numFmtId="0" fontId="5" fillId="40" borderId="12" xfId="2" applyFill="1" applyBorder="1" applyAlignment="1">
      <alignment horizontal="center"/>
    </xf>
    <xf numFmtId="0" fontId="5" fillId="40" borderId="65" xfId="2" applyFill="1" applyBorder="1" applyAlignment="1">
      <alignment horizontal="center"/>
    </xf>
    <xf numFmtId="0" fontId="5" fillId="9" borderId="64" xfId="2" applyFill="1" applyBorder="1" applyAlignment="1">
      <alignment horizontal="center"/>
    </xf>
    <xf numFmtId="0" fontId="5" fillId="9" borderId="65" xfId="2" applyFill="1" applyBorder="1" applyAlignment="1">
      <alignment horizontal="center"/>
    </xf>
    <xf numFmtId="0" fontId="5" fillId="34" borderId="64" xfId="2" applyFill="1" applyBorder="1" applyAlignment="1">
      <alignment horizontal="center"/>
    </xf>
    <xf numFmtId="0" fontId="5" fillId="34" borderId="65" xfId="2" applyFill="1" applyBorder="1" applyAlignment="1">
      <alignment horizontal="center"/>
    </xf>
    <xf numFmtId="0" fontId="49" fillId="27" borderId="64" xfId="1" applyFont="1" applyFill="1" applyBorder="1" applyAlignment="1">
      <alignment horizontal="center"/>
    </xf>
    <xf numFmtId="0" fontId="49" fillId="27" borderId="12" xfId="1" applyFont="1" applyFill="1" applyBorder="1" applyAlignment="1">
      <alignment horizontal="center"/>
    </xf>
    <xf numFmtId="0" fontId="49" fillId="27" borderId="65" xfId="1" applyFont="1" applyFill="1" applyBorder="1" applyAlignment="1">
      <alignment horizontal="center"/>
    </xf>
    <xf numFmtId="0" fontId="5" fillId="34" borderId="12" xfId="2" applyFill="1" applyBorder="1" applyAlignment="1">
      <alignment horizontal="center"/>
    </xf>
    <xf numFmtId="0" fontId="11" fillId="0" borderId="62" xfId="1" applyFont="1" applyBorder="1" applyAlignment="1">
      <alignment horizontal="left" vertical="center"/>
    </xf>
    <xf numFmtId="0" fontId="3" fillId="51" borderId="64" xfId="1" applyFill="1" applyBorder="1" applyAlignment="1">
      <alignment horizontal="center"/>
    </xf>
    <xf numFmtId="0" fontId="3" fillId="51" borderId="12" xfId="1" applyFill="1" applyBorder="1" applyAlignment="1">
      <alignment horizontal="center"/>
    </xf>
    <xf numFmtId="0" fontId="3" fillId="51" borderId="65" xfId="1" applyFill="1" applyBorder="1" applyAlignment="1">
      <alignment horizontal="center"/>
    </xf>
    <xf numFmtId="0" fontId="49" fillId="52" borderId="64" xfId="1" applyFont="1" applyFill="1" applyBorder="1" applyAlignment="1">
      <alignment horizontal="center"/>
    </xf>
    <xf numFmtId="0" fontId="49" fillId="52" borderId="12" xfId="1" applyFont="1" applyFill="1" applyBorder="1" applyAlignment="1">
      <alignment horizontal="center"/>
    </xf>
    <xf numFmtId="0" fontId="49" fillId="52" borderId="65" xfId="1" applyFont="1" applyFill="1" applyBorder="1" applyAlignment="1">
      <alignment horizontal="center"/>
    </xf>
    <xf numFmtId="0" fontId="3" fillId="3" borderId="8" xfId="1" applyFill="1" applyBorder="1" applyAlignment="1">
      <alignment horizontal="center"/>
    </xf>
    <xf numFmtId="0" fontId="3" fillId="3" borderId="7" xfId="1" applyFill="1" applyBorder="1" applyAlignment="1">
      <alignment horizontal="center"/>
    </xf>
    <xf numFmtId="0" fontId="3" fillId="3" borderId="6" xfId="1" applyFill="1" applyBorder="1" applyAlignment="1">
      <alignment horizontal="center"/>
    </xf>
    <xf numFmtId="0" fontId="10" fillId="13" borderId="8" xfId="1" applyFont="1" applyFill="1" applyBorder="1" applyAlignment="1">
      <alignment horizontal="center"/>
    </xf>
    <xf numFmtId="0" fontId="10" fillId="13" borderId="7" xfId="1" applyFont="1" applyFill="1" applyBorder="1" applyAlignment="1">
      <alignment horizontal="center"/>
    </xf>
    <xf numFmtId="0" fontId="10" fillId="13" borderId="6" xfId="1" applyFont="1" applyFill="1" applyBorder="1" applyAlignment="1">
      <alignment horizontal="center"/>
    </xf>
    <xf numFmtId="0" fontId="10" fillId="11" borderId="8" xfId="1" applyFont="1" applyFill="1" applyBorder="1" applyAlignment="1">
      <alignment horizontal="center"/>
    </xf>
    <xf numFmtId="0" fontId="10" fillId="11" borderId="7" xfId="1" applyFont="1" applyFill="1" applyBorder="1" applyAlignment="1">
      <alignment horizontal="center"/>
    </xf>
    <xf numFmtId="0" fontId="3" fillId="11" borderId="8" xfId="1" applyFill="1" applyBorder="1" applyAlignment="1">
      <alignment horizontal="center"/>
    </xf>
    <xf numFmtId="0" fontId="3" fillId="11" borderId="7" xfId="1" applyFill="1" applyBorder="1" applyAlignment="1">
      <alignment horizontal="center"/>
    </xf>
    <xf numFmtId="0" fontId="3" fillId="11" borderId="6" xfId="1" applyFill="1" applyBorder="1" applyAlignment="1">
      <alignment horizontal="center"/>
    </xf>
    <xf numFmtId="0" fontId="10" fillId="11" borderId="10" xfId="1" applyFont="1" applyFill="1" applyBorder="1" applyAlignment="1">
      <alignment horizontal="center"/>
    </xf>
    <xf numFmtId="0" fontId="10" fillId="11" borderId="9" xfId="1" applyFont="1" applyFill="1" applyBorder="1" applyAlignment="1">
      <alignment horizontal="center"/>
    </xf>
    <xf numFmtId="0" fontId="10" fillId="11" borderId="6" xfId="1" applyFont="1" applyFill="1" applyBorder="1" applyAlignment="1">
      <alignment horizontal="center"/>
    </xf>
    <xf numFmtId="0" fontId="3" fillId="18" borderId="10" xfId="1" applyFill="1" applyBorder="1" applyAlignment="1">
      <alignment horizontal="center"/>
    </xf>
    <xf numFmtId="0" fontId="3" fillId="18" borderId="9" xfId="1" applyFill="1" applyBorder="1" applyAlignment="1">
      <alignment horizontal="center"/>
    </xf>
    <xf numFmtId="0" fontId="3" fillId="18" borderId="7" xfId="1" applyFill="1" applyBorder="1" applyAlignment="1">
      <alignment horizontal="center"/>
    </xf>
    <xf numFmtId="0" fontId="3" fillId="18" borderId="6" xfId="1" applyFill="1" applyBorder="1" applyAlignment="1">
      <alignment horizontal="center"/>
    </xf>
    <xf numFmtId="0" fontId="12" fillId="17" borderId="10" xfId="1" applyFont="1" applyFill="1" applyBorder="1" applyAlignment="1">
      <alignment horizontal="center"/>
    </xf>
    <xf numFmtId="0" fontId="12" fillId="17" borderId="9" xfId="1" applyFont="1" applyFill="1" applyBorder="1" applyAlignment="1">
      <alignment horizontal="center"/>
    </xf>
    <xf numFmtId="0" fontId="12" fillId="17" borderId="7" xfId="1" applyFont="1" applyFill="1" applyBorder="1" applyAlignment="1">
      <alignment horizontal="center"/>
    </xf>
    <xf numFmtId="0" fontId="12" fillId="17" borderId="6" xfId="1" applyFont="1" applyFill="1" applyBorder="1" applyAlignment="1">
      <alignment horizontal="center"/>
    </xf>
    <xf numFmtId="0" fontId="3" fillId="16" borderId="8" xfId="1" applyFill="1" applyBorder="1" applyAlignment="1">
      <alignment horizontal="center"/>
    </xf>
    <xf numFmtId="0" fontId="3" fillId="16" borderId="7" xfId="1" applyFill="1" applyBorder="1" applyAlignment="1">
      <alignment horizontal="center"/>
    </xf>
    <xf numFmtId="0" fontId="3" fillId="16" borderId="6" xfId="1" applyFill="1" applyBorder="1" applyAlignment="1">
      <alignment horizontal="center"/>
    </xf>
    <xf numFmtId="0" fontId="3" fillId="15" borderId="8" xfId="1" applyFill="1" applyBorder="1" applyAlignment="1">
      <alignment horizontal="center"/>
    </xf>
    <xf numFmtId="0" fontId="3" fillId="15" borderId="7" xfId="1" applyFill="1" applyBorder="1" applyAlignment="1">
      <alignment horizontal="center"/>
    </xf>
    <xf numFmtId="0" fontId="3" fillId="15" borderId="6" xfId="1" applyFill="1" applyBorder="1" applyAlignment="1">
      <alignment horizontal="center"/>
    </xf>
    <xf numFmtId="0" fontId="3" fillId="5" borderId="8" xfId="1" applyFill="1" applyBorder="1" applyAlignment="1">
      <alignment horizontal="center"/>
    </xf>
    <xf numFmtId="0" fontId="3" fillId="5" borderId="7" xfId="1" applyFill="1" applyBorder="1" applyAlignment="1">
      <alignment horizontal="center"/>
    </xf>
    <xf numFmtId="0" fontId="3" fillId="5" borderId="6" xfId="1" applyFill="1" applyBorder="1" applyAlignment="1">
      <alignment horizontal="center"/>
    </xf>
  </cellXfs>
  <cellStyles count="15">
    <cellStyle name="Comma" xfId="14" builtinId="3"/>
    <cellStyle name="Comma 2" xfId="12" xr:uid="{00000000-0005-0000-0000-000000000000}"/>
    <cellStyle name="Currency" xfId="4" builtinId="4"/>
    <cellStyle name="Hyperlink" xfId="2" builtinId="8"/>
    <cellStyle name="Hyperlink 2" xfId="8" xr:uid="{00000000-0005-0000-0000-000001000000}"/>
    <cellStyle name="Hyperlink 2 2" xfId="11" xr:uid="{00000000-0005-0000-0000-000002000000}"/>
    <cellStyle name="Normal" xfId="0" builtinId="0"/>
    <cellStyle name="Normal 2" xfId="1" xr:uid="{00000000-0005-0000-0000-000003000000}"/>
    <cellStyle name="Normal 2 2" xfId="7" xr:uid="{00000000-0005-0000-0000-000004000000}"/>
    <cellStyle name="Normal 2 2 2" xfId="9" xr:uid="{00000000-0005-0000-0000-000005000000}"/>
    <cellStyle name="Normal 3" xfId="6" xr:uid="{00000000-0005-0000-0000-000006000000}"/>
    <cellStyle name="Normal 5" xfId="10" xr:uid="{00000000-0005-0000-0000-000007000000}"/>
    <cellStyle name="Normal_checklst" xfId="13" xr:uid="{00000000-0005-0000-0000-000008000000}"/>
    <cellStyle name="Normal_Qualification Plan" xfId="5" xr:uid="{00000000-0005-0000-0000-000009000000}"/>
    <cellStyle name="Percent" xfId="3" builtinId="5"/>
  </cellStyles>
  <dxfs count="292">
    <dxf>
      <font>
        <b/>
        <i val="0"/>
        <strike val="0"/>
        <color rgb="FFFFFF00"/>
      </font>
      <fill>
        <patternFill>
          <bgColor rgb="FFC00000"/>
        </patternFill>
      </fill>
      <border>
        <left style="thin">
          <color auto="1"/>
        </left>
        <right style="thin">
          <color auto="1"/>
        </right>
        <top style="thin">
          <color auto="1"/>
        </top>
        <bottom style="thin">
          <color auto="1"/>
        </bottom>
        <vertical/>
        <horizontal/>
      </border>
    </dxf>
    <dxf>
      <fill>
        <patternFill patternType="gray0625"/>
      </fill>
    </dxf>
    <dxf>
      <fill>
        <patternFill patternType="gray0625"/>
      </fill>
    </dxf>
    <dxf>
      <fill>
        <patternFill patternType="gray0625"/>
      </fill>
    </dxf>
    <dxf>
      <fill>
        <patternFill patternType="gray0625"/>
      </fill>
    </dxf>
    <dxf>
      <fill>
        <patternFill patternType="gray0625"/>
      </fill>
    </dxf>
    <dxf>
      <font>
        <color rgb="FF006100"/>
      </font>
      <fill>
        <patternFill>
          <bgColor rgb="FFC6EFCE"/>
        </patternFill>
      </fill>
    </dxf>
    <dxf>
      <font>
        <color rgb="FF006100"/>
      </font>
      <fill>
        <patternFill>
          <bgColor rgb="FFC6EFCE"/>
        </patternFill>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ont>
        <color theme="0"/>
      </font>
      <fill>
        <patternFill>
          <bgColor rgb="FFFF0000"/>
        </patternFill>
      </fill>
    </dxf>
    <dxf>
      <font>
        <b/>
        <i val="0"/>
      </font>
      <fill>
        <patternFill>
          <bgColor rgb="FFFFFF00"/>
        </patternFill>
      </fill>
      <border>
        <left style="thin">
          <color auto="1"/>
        </left>
        <right style="thin">
          <color auto="1"/>
        </right>
        <top style="thin">
          <color auto="1"/>
        </top>
        <bottom style="thin">
          <color auto="1"/>
        </bottom>
        <vertical/>
        <horizontal/>
      </border>
    </dxf>
    <dxf>
      <font>
        <b/>
        <i val="0"/>
        <color theme="9" tint="-0.499984740745262"/>
      </font>
    </dxf>
    <dxf>
      <font>
        <color theme="0"/>
      </font>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bgColor rgb="FF00B050"/>
        </patternFill>
      </fill>
    </dxf>
    <dxf>
      <fill>
        <patternFill>
          <bgColor rgb="FF00B050"/>
        </patternFill>
      </fill>
    </dxf>
    <dxf>
      <fill>
        <patternFill>
          <bgColor rgb="FFFF0000"/>
        </patternFill>
      </fill>
    </dxf>
    <dxf>
      <fill>
        <patternFill>
          <bgColor theme="9" tint="0.39994506668294322"/>
        </patternFill>
      </fill>
    </dxf>
    <dxf>
      <fill>
        <patternFill>
          <bgColor rgb="FF00B050"/>
        </patternFill>
      </fill>
    </dxf>
    <dxf>
      <fill>
        <patternFill>
          <bgColor rgb="FFFF0000"/>
        </patternFill>
      </fill>
    </dxf>
    <dxf>
      <fill>
        <patternFill>
          <bgColor theme="4" tint="0.39994506668294322"/>
        </patternFill>
      </fill>
    </dxf>
    <dxf>
      <fill>
        <patternFill>
          <bgColor theme="8" tint="0.79998168889431442"/>
        </patternFill>
      </fill>
    </dxf>
    <dxf>
      <fill>
        <patternFill>
          <bgColor rgb="FF00B050"/>
        </patternFill>
      </fill>
    </dxf>
    <dxf>
      <fill>
        <patternFill>
          <bgColor rgb="FFFF0000"/>
        </patternFill>
      </fill>
    </dxf>
    <dxf>
      <fill>
        <patternFill>
          <bgColor theme="4" tint="0.39994506668294322"/>
        </patternFill>
      </fill>
    </dxf>
    <dxf>
      <fill>
        <patternFill>
          <bgColor theme="8" tint="0.79998168889431442"/>
        </patternFill>
      </fill>
    </dxf>
    <dxf>
      <font>
        <b/>
        <i val="0"/>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0070C0"/>
        </patternFill>
      </fill>
      <border>
        <left style="thin">
          <color auto="1"/>
        </left>
        <right style="thin">
          <color auto="1"/>
        </right>
        <top style="thin">
          <color auto="1"/>
        </top>
        <bottom style="thin">
          <color auto="1"/>
        </bottom>
      </border>
    </dxf>
    <dxf>
      <font>
        <b/>
        <i val="0"/>
        <color theme="0"/>
      </font>
      <fill>
        <patternFill>
          <bgColor rgb="FF00B050"/>
        </patternFill>
      </fill>
      <border>
        <left style="thin">
          <color auto="1"/>
        </left>
        <right style="thin">
          <color auto="1"/>
        </right>
        <top style="thin">
          <color auto="1"/>
        </top>
        <bottom style="thin">
          <color auto="1"/>
        </bottom>
      </border>
    </dxf>
    <dxf>
      <font>
        <b/>
        <i val="0"/>
        <color theme="1"/>
      </font>
      <fill>
        <patternFill>
          <bgColor rgb="FF00B050"/>
        </patternFill>
      </fill>
    </dxf>
    <dxf>
      <font>
        <b/>
        <i val="0"/>
        <color theme="1"/>
      </font>
      <fill>
        <patternFill>
          <bgColor rgb="FFFFFF00"/>
        </patternFill>
      </fill>
    </dxf>
    <dxf>
      <font>
        <b/>
        <i val="0"/>
        <strike val="0"/>
        <color rgb="FFFFFF00"/>
      </font>
      <fill>
        <patternFill>
          <bgColor rgb="FFC00000"/>
        </patternFill>
      </fill>
      <border>
        <left style="thin">
          <color auto="1"/>
        </left>
        <right style="thin">
          <color auto="1"/>
        </right>
        <top style="thin">
          <color auto="1"/>
        </top>
        <bottom style="thin">
          <color auto="1"/>
        </bottom>
        <vertical/>
        <horizontal/>
      </border>
    </dxf>
    <dxf>
      <font>
        <b/>
        <i val="0"/>
        <strike val="0"/>
        <color rgb="FFFFFF00"/>
      </font>
      <fill>
        <patternFill>
          <bgColor rgb="FFC00000"/>
        </patternFill>
      </fill>
      <border>
        <left style="thin">
          <color auto="1"/>
        </left>
        <right style="thin">
          <color auto="1"/>
        </right>
        <top style="thin">
          <color auto="1"/>
        </top>
        <bottom style="thin">
          <color auto="1"/>
        </bottom>
        <vertical/>
        <horizontal/>
      </border>
    </dxf>
    <dxf>
      <font>
        <color rgb="FFFFFF00"/>
      </font>
      <fill>
        <patternFill>
          <bgColor rgb="FFC0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5.xml"/><Relationship Id="rId26" Type="http://schemas.openxmlformats.org/officeDocument/2006/relationships/chartsheet" Target="chartsheets/sheet5.xml"/><Relationship Id="rId39" Type="http://schemas.microsoft.com/office/2006/relationships/vbaProject" Target="vbaProject.bin"/><Relationship Id="rId21" Type="http://schemas.openxmlformats.org/officeDocument/2006/relationships/worksheet" Target="worksheets/sheet18.xml"/><Relationship Id="rId34" Type="http://schemas.openxmlformats.org/officeDocument/2006/relationships/sharedStrings" Target="sharedStrings.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4.xml"/><Relationship Id="rId25" Type="http://schemas.openxmlformats.org/officeDocument/2006/relationships/chartsheet" Target="chartsheets/sheet4.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chartsheet" Target="chartsheets/sheet1.xml"/><Relationship Id="rId16" Type="http://schemas.openxmlformats.org/officeDocument/2006/relationships/worksheet" Target="worksheets/sheet13.xml"/><Relationship Id="rId20" Type="http://schemas.openxmlformats.org/officeDocument/2006/relationships/worksheet" Target="worksheets/sheet17.xml"/><Relationship Id="rId29" Type="http://schemas.openxmlformats.org/officeDocument/2006/relationships/chartsheet" Target="chartsheets/sheet8.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worksheet" Target="worksheets/sheet9.xml"/><Relationship Id="rId24" Type="http://schemas.openxmlformats.org/officeDocument/2006/relationships/worksheet" Target="worksheets/sheet21.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4.xml"/><Relationship Id="rId15" Type="http://schemas.openxmlformats.org/officeDocument/2006/relationships/chartsheet" Target="chartsheets/sheet3.xml"/><Relationship Id="rId23" Type="http://schemas.openxmlformats.org/officeDocument/2006/relationships/worksheet" Target="worksheets/sheet20.xml"/><Relationship Id="rId28" Type="http://schemas.openxmlformats.org/officeDocument/2006/relationships/chartsheet" Target="chartsheets/sheet7.xml"/><Relationship Id="rId36" Type="http://schemas.openxmlformats.org/officeDocument/2006/relationships/customXml" Target="../customXml/item1.xml"/><Relationship Id="rId10" Type="http://schemas.openxmlformats.org/officeDocument/2006/relationships/worksheet" Target="worksheets/sheet8.xml"/><Relationship Id="rId19" Type="http://schemas.openxmlformats.org/officeDocument/2006/relationships/worksheet" Target="worksheets/sheet16.xml"/><Relationship Id="rId31" Type="http://schemas.openxmlformats.org/officeDocument/2006/relationships/worksheet" Target="worksheets/sheet22.xml"/><Relationship Id="rId4" Type="http://schemas.openxmlformats.org/officeDocument/2006/relationships/worksheet" Target="worksheets/sheet3.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19.xml"/><Relationship Id="rId27" Type="http://schemas.openxmlformats.org/officeDocument/2006/relationships/chartsheet" Target="chartsheets/sheet6.xml"/><Relationship Id="rId30" Type="http://schemas.openxmlformats.org/officeDocument/2006/relationships/chartsheet" Target="chartsheets/sheet9.xml"/><Relationship Id="rId35" Type="http://schemas.openxmlformats.org/officeDocument/2006/relationships/calcChain" Target="calcChain.xml"/><Relationship Id="rId8" Type="http://schemas.openxmlformats.org/officeDocument/2006/relationships/worksheet" Target="worksheets/sheet6.xml"/><Relationship Id="rId3"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6.jpeg"/><Relationship Id="rId4" Type="http://schemas.openxmlformats.org/officeDocument/2006/relationships/image" Target="../media/image5.jpeg"/></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6.jpeg"/><Relationship Id="rId4" Type="http://schemas.openxmlformats.org/officeDocument/2006/relationships/image" Target="../media/image5.jpeg"/></Relationships>
</file>

<file path=xl/charts/_rels/chart7.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6.jpeg"/><Relationship Id="rId4" Type="http://schemas.openxmlformats.org/officeDocument/2006/relationships/image" Target="../media/image5.jpe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Anthropometery vs ATD vs</a:t>
            </a:r>
            <a:r>
              <a:rPr lang="en-US" sz="2800" b="1" baseline="0"/>
              <a:t> </a:t>
            </a:r>
            <a:r>
              <a:rPr lang="en-US" sz="2800" b="1"/>
              <a:t>EU-CN-US-CA Regulation </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smoothMarker"/>
        <c:varyColors val="0"/>
        <c:ser>
          <c:idx val="0"/>
          <c:order val="0"/>
          <c:tx>
            <c:strRef>
              <c:f>'R129 Annex 18 Data'!$B$2</c:f>
              <c:strCache>
                <c:ptCount val="1"/>
                <c:pt idx="0">
                  <c:v> B Minimum Sitting height cm 95%ile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0.11241007194244604"/>
                  <c:y val="-2.2222222222222275E-2"/>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9F27-4B32-95D8-8A3EF5BEA3E5}"/>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Data'!$B$3:$B$25</c:f>
              <c:numCache>
                <c:formatCode>General</c:formatCode>
                <c:ptCount val="23"/>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pt idx="15">
                  <c:v>66</c:v>
                </c:pt>
                <c:pt idx="16">
                  <c:v>68.099999999999994</c:v>
                </c:pt>
                <c:pt idx="17">
                  <c:v>70.2</c:v>
                </c:pt>
                <c:pt idx="18">
                  <c:v>72.3</c:v>
                </c:pt>
                <c:pt idx="19">
                  <c:v>74.400000000000006</c:v>
                </c:pt>
                <c:pt idx="20">
                  <c:v>76.5</c:v>
                </c:pt>
                <c:pt idx="21">
                  <c:v>78.599999999999994</c:v>
                </c:pt>
                <c:pt idx="22">
                  <c:v>81.099999999999994</c:v>
                </c:pt>
              </c:numCache>
            </c:numRef>
          </c:yVal>
          <c:smooth val="1"/>
          <c:extLst>
            <c:ext xmlns:c16="http://schemas.microsoft.com/office/drawing/2014/chart" uri="{C3380CC4-5D6E-409C-BE32-E72D297353CC}">
              <c16:uniqueId val="{00000001-9F27-4B32-95D8-8A3EF5BEA3E5}"/>
            </c:ext>
          </c:extLst>
        </c:ser>
        <c:ser>
          <c:idx val="1"/>
          <c:order val="1"/>
          <c:tx>
            <c:strRef>
              <c:f>'R129 Annex 18 Data'!$C$2</c:f>
              <c:strCache>
                <c:ptCount val="1"/>
                <c:pt idx="0">
                  <c:v>C Minimum Shoulder breadth cm 95%ile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5.0315527105874364E-2"/>
                  <c:y val="1.3333333333333334E-2"/>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9F27-4B32-95D8-8A3EF5BEA3E5}"/>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Data'!$C$3:$C$25</c:f>
              <c:numCache>
                <c:formatCode>General</c:formatCode>
                <c:ptCount val="23"/>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pt idx="15">
                  <c:v>32.1</c:v>
                </c:pt>
                <c:pt idx="16">
                  <c:v>33.299999999999997</c:v>
                </c:pt>
                <c:pt idx="17">
                  <c:v>33.299999999999997</c:v>
                </c:pt>
                <c:pt idx="18">
                  <c:v>33.299999999999997</c:v>
                </c:pt>
                <c:pt idx="19">
                  <c:v>33.299999999999997</c:v>
                </c:pt>
                <c:pt idx="20">
                  <c:v>34.200000000000003</c:v>
                </c:pt>
                <c:pt idx="21">
                  <c:v>35.299999999999997</c:v>
                </c:pt>
                <c:pt idx="22">
                  <c:v>36.4</c:v>
                </c:pt>
              </c:numCache>
            </c:numRef>
          </c:yVal>
          <c:smooth val="1"/>
          <c:extLst>
            <c:ext xmlns:c16="http://schemas.microsoft.com/office/drawing/2014/chart" uri="{C3380CC4-5D6E-409C-BE32-E72D297353CC}">
              <c16:uniqueId val="{00000003-9F27-4B32-95D8-8A3EF5BEA3E5}"/>
            </c:ext>
          </c:extLst>
        </c:ser>
        <c:ser>
          <c:idx val="2"/>
          <c:order val="2"/>
          <c:tx>
            <c:strRef>
              <c:f>'R129 Annex 18 Data'!$D$2</c:f>
              <c:strCache>
                <c:ptCount val="1"/>
                <c:pt idx="0">
                  <c:v> D Minimum Hip breadth cm 95%ile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6.5597915368492618E-2"/>
                  <c:y val="-1.6296296296296295E-2"/>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9F27-4B32-95D8-8A3EF5BEA3E5}"/>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Data'!$D$3:$D$25</c:f>
              <c:numCache>
                <c:formatCode>General</c:formatCode>
                <c:ptCount val="23"/>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pt idx="15">
                  <c:v>27.7</c:v>
                </c:pt>
                <c:pt idx="16">
                  <c:v>29.1</c:v>
                </c:pt>
                <c:pt idx="17">
                  <c:v>29.1</c:v>
                </c:pt>
                <c:pt idx="18">
                  <c:v>29.1</c:v>
                </c:pt>
                <c:pt idx="19">
                  <c:v>29.1</c:v>
                </c:pt>
                <c:pt idx="20">
                  <c:v>29.6</c:v>
                </c:pt>
                <c:pt idx="21">
                  <c:v>30.8</c:v>
                </c:pt>
                <c:pt idx="22">
                  <c:v>32</c:v>
                </c:pt>
              </c:numCache>
            </c:numRef>
          </c:yVal>
          <c:smooth val="1"/>
          <c:extLst>
            <c:ext xmlns:c16="http://schemas.microsoft.com/office/drawing/2014/chart" uri="{C3380CC4-5D6E-409C-BE32-E72D297353CC}">
              <c16:uniqueId val="{00000005-9F27-4B32-95D8-8A3EF5BEA3E5}"/>
            </c:ext>
          </c:extLst>
        </c:ser>
        <c:ser>
          <c:idx val="3"/>
          <c:order val="3"/>
          <c:tx>
            <c:strRef>
              <c:f>'R129 Annex 18 Data'!$E$2</c:f>
              <c:strCache>
                <c:ptCount val="1"/>
                <c:pt idx="0">
                  <c:v>E1 Minimum Shoulder height cm 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0.11690647482014388"/>
                  <c:y val="8.8888888888888889E-3"/>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9F27-4B32-95D8-8A3EF5BEA3E5}"/>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Data'!$E$3:$E$25</c:f>
              <c:numCache>
                <c:formatCode>General</c:formatCode>
                <c:ptCount val="23"/>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pt idx="15">
                  <c:v>35.5</c:v>
                </c:pt>
                <c:pt idx="16">
                  <c:v>37</c:v>
                </c:pt>
                <c:pt idx="17">
                  <c:v>38.5</c:v>
                </c:pt>
                <c:pt idx="18">
                  <c:v>40</c:v>
                </c:pt>
                <c:pt idx="19">
                  <c:v>41.5</c:v>
                </c:pt>
                <c:pt idx="20">
                  <c:v>43</c:v>
                </c:pt>
                <c:pt idx="21">
                  <c:v>44.5</c:v>
                </c:pt>
                <c:pt idx="22">
                  <c:v>46.3</c:v>
                </c:pt>
              </c:numCache>
            </c:numRef>
          </c:yVal>
          <c:smooth val="1"/>
          <c:extLst>
            <c:ext xmlns:c16="http://schemas.microsoft.com/office/drawing/2014/chart" uri="{C3380CC4-5D6E-409C-BE32-E72D297353CC}">
              <c16:uniqueId val="{00000007-9F27-4B32-95D8-8A3EF5BEA3E5}"/>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circle"/>
            <c:size val="2"/>
            <c:spPr>
              <a:solidFill>
                <a:schemeClr val="accent5"/>
              </a:solidFill>
              <a:ln w="9525">
                <a:solidFill>
                  <a:schemeClr val="accent5"/>
                </a:solidFill>
              </a:ln>
              <a:effectLst/>
            </c:spPr>
          </c:marker>
          <c:dLbls>
            <c:dLbl>
              <c:idx val="2"/>
              <c:layout>
                <c:manualLayout>
                  <c:x val="-0.10521582733812949"/>
                  <c:y val="-1.1851851851851851E-2"/>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9F27-4B32-95D8-8A3EF5BEA3E5}"/>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09-9F27-4B32-95D8-8A3EF5BEA3E5}"/>
            </c:ext>
          </c:extLst>
        </c:ser>
        <c:ser>
          <c:idx val="5"/>
          <c:order val="5"/>
          <c:tx>
            <c:v>Q1-B</c:v>
          </c:tx>
          <c:spPr>
            <a:ln w="19050" cap="rnd">
              <a:noFill/>
              <a:round/>
            </a:ln>
            <a:effectLst/>
          </c:spPr>
          <c:marker>
            <c:symbol val="circle"/>
            <c:size val="5"/>
            <c:spPr>
              <a:solidFill>
                <a:srgbClr val="0070C0"/>
              </a:solidFill>
              <a:ln w="50800">
                <a:solidFill>
                  <a:srgbClr val="0070C0"/>
                </a:solidFill>
              </a:ln>
              <a:effectLst/>
            </c:spPr>
          </c:marker>
          <c:dLbls>
            <c:dLbl>
              <c:idx val="0"/>
              <c:layout>
                <c:manualLayout>
                  <c:x val="-6.7489634619174774E-2"/>
                  <c:y val="-4.745710285451825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numRef>
          </c:xVal>
          <c:yVal>
            <c:numRef>
              <c:f>Dummies!$C$5</c:f>
              <c:numCache>
                <c:formatCode>0.0</c:formatCode>
                <c:ptCount val="1"/>
                <c:pt idx="0">
                  <c:v>47.9</c:v>
                </c:pt>
              </c:numCache>
            </c:numRef>
          </c:yVal>
          <c:smooth val="1"/>
          <c:extLst>
            <c:ext xmlns:c16="http://schemas.microsoft.com/office/drawing/2014/chart" uri="{C3380CC4-5D6E-409C-BE32-E72D297353CC}">
              <c16:uniqueId val="{0000000B-9F27-4B32-95D8-8A3EF5BEA3E5}"/>
            </c:ext>
          </c:extLst>
        </c:ser>
        <c:ser>
          <c:idx val="6"/>
          <c:order val="6"/>
          <c:tx>
            <c:v>Q1-E</c:v>
          </c:tx>
          <c:spPr>
            <a:ln w="19050" cap="rnd">
              <a:noFill/>
              <a:round/>
            </a:ln>
            <a:effectLst/>
          </c:spPr>
          <c:marker>
            <c:symbol val="circle"/>
            <c:size val="5"/>
            <c:spPr>
              <a:solidFill>
                <a:schemeClr val="accent1">
                  <a:lumMod val="60000"/>
                </a:schemeClr>
              </a:solidFill>
              <a:ln w="44450">
                <a:solidFill>
                  <a:schemeClr val="accent1">
                    <a:lumMod val="60000"/>
                  </a:schemeClr>
                </a:solidFill>
              </a:ln>
              <a:effectLst/>
            </c:spPr>
          </c:marker>
          <c:dLbls>
            <c:dLbl>
              <c:idx val="0"/>
              <c:layout>
                <c:manualLayout>
                  <c:x val="-7.018920296833403E-2"/>
                  <c:y val="-4.291758530183732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numRef>
          </c:xVal>
          <c:yVal>
            <c:numRef>
              <c:f>Dummies!$D$5</c:f>
              <c:numCache>
                <c:formatCode>0.0</c:formatCode>
                <c:ptCount val="1"/>
                <c:pt idx="0">
                  <c:v>29.8</c:v>
                </c:pt>
              </c:numCache>
            </c:numRef>
          </c:yVal>
          <c:smooth val="1"/>
          <c:extLst>
            <c:ext xmlns:c16="http://schemas.microsoft.com/office/drawing/2014/chart" uri="{C3380CC4-5D6E-409C-BE32-E72D297353CC}">
              <c16:uniqueId val="{0000000D-9F27-4B32-95D8-8A3EF5BEA3E5}"/>
            </c:ext>
          </c:extLst>
        </c:ser>
        <c:ser>
          <c:idx val="7"/>
          <c:order val="7"/>
          <c:tx>
            <c:v>Q1.5-B</c:v>
          </c:tx>
          <c:spPr>
            <a:ln w="19050" cap="rnd">
              <a:noFill/>
              <a:round/>
            </a:ln>
            <a:effectLst/>
          </c:spPr>
          <c:marker>
            <c:symbol val="circle"/>
            <c:size val="5"/>
            <c:spPr>
              <a:solidFill>
                <a:schemeClr val="accent2">
                  <a:lumMod val="60000"/>
                </a:schemeClr>
              </a:solidFill>
              <a:ln w="50800">
                <a:solidFill>
                  <a:srgbClr val="0070C0"/>
                </a:solidFill>
              </a:ln>
              <a:effectLst/>
            </c:spPr>
          </c:marker>
          <c:dLbls>
            <c:dLbl>
              <c:idx val="0"/>
              <c:layout>
                <c:manualLayout>
                  <c:x val="-1.5292443210785768E-2"/>
                  <c:y val="4.002974628171473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numRef>
          </c:xVal>
          <c:yVal>
            <c:numRef>
              <c:f>Dummies!$C$7</c:f>
              <c:numCache>
                <c:formatCode>0.0</c:formatCode>
                <c:ptCount val="1"/>
                <c:pt idx="0">
                  <c:v>49.9</c:v>
                </c:pt>
              </c:numCache>
            </c:numRef>
          </c:yVal>
          <c:smooth val="1"/>
          <c:extLst>
            <c:ext xmlns:c16="http://schemas.microsoft.com/office/drawing/2014/chart" uri="{C3380CC4-5D6E-409C-BE32-E72D297353CC}">
              <c16:uniqueId val="{0000000F-9F27-4B32-95D8-8A3EF5BEA3E5}"/>
            </c:ext>
          </c:extLst>
        </c:ser>
        <c:ser>
          <c:idx val="8"/>
          <c:order val="8"/>
          <c:tx>
            <c:v>Q1.5-E</c:v>
          </c:tx>
          <c:spPr>
            <a:ln w="19050" cap="rnd">
              <a:noFill/>
              <a:round/>
            </a:ln>
            <a:effectLst/>
          </c:spPr>
          <c:marker>
            <c:symbol val="circle"/>
            <c:size val="5"/>
            <c:spPr>
              <a:solidFill>
                <a:schemeClr val="accent3">
                  <a:lumMod val="60000"/>
                </a:schemeClr>
              </a:solidFill>
              <a:ln w="50800">
                <a:solidFill>
                  <a:srgbClr val="0070C0"/>
                </a:solidFill>
              </a:ln>
              <a:effectLst/>
            </c:spPr>
          </c:marker>
          <c:dLbls>
            <c:dLbl>
              <c:idx val="0"/>
              <c:layout>
                <c:manualLayout>
                  <c:x val="-2.3839219962612655E-2"/>
                  <c:y val="-4.6691396908719797E-2"/>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ln w="3175">
                        <a:noFill/>
                      </a:ln>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5.4648081453481212E-2"/>
                      <c:h val="2.598614848677441E-2"/>
                    </c:manualLayout>
                  </c15:layout>
                </c:ext>
                <c:ext xmlns:c16="http://schemas.microsoft.com/office/drawing/2014/chart" uri="{C3380CC4-5D6E-409C-BE32-E72D297353CC}">
                  <c16:uniqueId val="{00000010-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ln w="3175">
                      <a:noFill/>
                    </a:ln>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numRef>
          </c:xVal>
          <c:yVal>
            <c:numRef>
              <c:f>Dummies!$D$7</c:f>
              <c:numCache>
                <c:formatCode>0.0</c:formatCode>
                <c:ptCount val="1"/>
                <c:pt idx="0">
                  <c:v>30.9</c:v>
                </c:pt>
              </c:numCache>
            </c:numRef>
          </c:yVal>
          <c:smooth val="1"/>
          <c:extLst>
            <c:ext xmlns:c16="http://schemas.microsoft.com/office/drawing/2014/chart" uri="{C3380CC4-5D6E-409C-BE32-E72D297353CC}">
              <c16:uniqueId val="{00000011-9F27-4B32-95D8-8A3EF5BEA3E5}"/>
            </c:ext>
          </c:extLst>
        </c:ser>
        <c:ser>
          <c:idx val="9"/>
          <c:order val="9"/>
          <c:tx>
            <c:v>Q3-B</c:v>
          </c:tx>
          <c:spPr>
            <a:ln w="19050" cap="rnd">
              <a:noFill/>
              <a:round/>
            </a:ln>
            <a:effectLst/>
          </c:spPr>
          <c:marker>
            <c:symbol val="circle"/>
            <c:size val="5"/>
            <c:spPr>
              <a:solidFill>
                <a:schemeClr val="accent4">
                  <a:lumMod val="60000"/>
                </a:schemeClr>
              </a:solidFill>
              <a:ln w="50800">
                <a:solidFill>
                  <a:srgbClr val="0070C0"/>
                </a:solidFill>
              </a:ln>
              <a:effectLst/>
            </c:spPr>
          </c:marker>
          <c:dLbls>
            <c:dLbl>
              <c:idx val="0"/>
              <c:layout>
                <c:manualLayout>
                  <c:x val="8.101028794951998E-3"/>
                  <c:y val="3.707739724148637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numRef>
          </c:xVal>
          <c:yVal>
            <c:numRef>
              <c:f>Dummies!$C$9</c:f>
              <c:numCache>
                <c:formatCode>0.0</c:formatCode>
                <c:ptCount val="1"/>
                <c:pt idx="0">
                  <c:v>54.4</c:v>
                </c:pt>
              </c:numCache>
            </c:numRef>
          </c:yVal>
          <c:smooth val="1"/>
          <c:extLst>
            <c:ext xmlns:c16="http://schemas.microsoft.com/office/drawing/2014/chart" uri="{C3380CC4-5D6E-409C-BE32-E72D297353CC}">
              <c16:uniqueId val="{00000013-9F27-4B32-95D8-8A3EF5BEA3E5}"/>
            </c:ext>
          </c:extLst>
        </c:ser>
        <c:ser>
          <c:idx val="10"/>
          <c:order val="10"/>
          <c:tx>
            <c:v>Q3-E</c:v>
          </c:tx>
          <c:spPr>
            <a:ln w="19050" cap="rnd">
              <a:noFill/>
              <a:round/>
            </a:ln>
            <a:effectLst/>
          </c:spPr>
          <c:marker>
            <c:symbol val="circle"/>
            <c:size val="5"/>
            <c:spPr>
              <a:solidFill>
                <a:srgbClr val="0070C0"/>
              </a:solidFill>
              <a:ln w="50800">
                <a:solidFill>
                  <a:srgbClr val="0070C0"/>
                </a:solidFill>
              </a:ln>
              <a:effectLst/>
            </c:spPr>
          </c:marker>
          <c:dLbls>
            <c:dLbl>
              <c:idx val="0"/>
              <c:layout>
                <c:manualLayout>
                  <c:x val="8.0973449634726864E-3"/>
                  <c:y val="-6.8189551077673924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numRef>
          </c:xVal>
          <c:yVal>
            <c:numRef>
              <c:f>Dummies!$D$9</c:f>
              <c:numCache>
                <c:formatCode>0.0</c:formatCode>
                <c:ptCount val="1"/>
                <c:pt idx="0">
                  <c:v>32.9</c:v>
                </c:pt>
              </c:numCache>
            </c:numRef>
          </c:yVal>
          <c:smooth val="1"/>
          <c:extLst>
            <c:ext xmlns:c16="http://schemas.microsoft.com/office/drawing/2014/chart" uri="{C3380CC4-5D6E-409C-BE32-E72D297353CC}">
              <c16:uniqueId val="{00000015-9F27-4B32-95D8-8A3EF5BEA3E5}"/>
            </c:ext>
          </c:extLst>
        </c:ser>
        <c:ser>
          <c:idx val="11"/>
          <c:order val="11"/>
          <c:tx>
            <c:v>CRABI 12-B</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4.6785509903910054E-2"/>
                  <c:y val="4.300097055138173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6-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numRef>
          </c:xVal>
          <c:yVal>
            <c:numRef>
              <c:f>Dummies!$C$6</c:f>
              <c:numCache>
                <c:formatCode>0.0</c:formatCode>
                <c:ptCount val="1"/>
                <c:pt idx="0">
                  <c:v>48</c:v>
                </c:pt>
              </c:numCache>
            </c:numRef>
          </c:yVal>
          <c:smooth val="1"/>
          <c:extLst>
            <c:ext xmlns:c16="http://schemas.microsoft.com/office/drawing/2014/chart" uri="{C3380CC4-5D6E-409C-BE32-E72D297353CC}">
              <c16:uniqueId val="{00000017-9F27-4B32-95D8-8A3EF5BEA3E5}"/>
            </c:ext>
          </c:extLst>
        </c:ser>
        <c:ser>
          <c:idx val="12"/>
          <c:order val="12"/>
          <c:tx>
            <c:v>3yr-B</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4.0499759913367621E-2"/>
                  <c:y val="4.152360809333634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numRef>
          </c:xVal>
          <c:yVal>
            <c:numRef>
              <c:f>Dummies!$C$10</c:f>
              <c:numCache>
                <c:formatCode>0.0</c:formatCode>
                <c:ptCount val="1"/>
                <c:pt idx="0">
                  <c:v>54.6</c:v>
                </c:pt>
              </c:numCache>
            </c:numRef>
          </c:yVal>
          <c:smooth val="1"/>
          <c:extLst>
            <c:ext xmlns:c16="http://schemas.microsoft.com/office/drawing/2014/chart" uri="{C3380CC4-5D6E-409C-BE32-E72D297353CC}">
              <c16:uniqueId val="{00000019-9F27-4B32-95D8-8A3EF5BEA3E5}"/>
            </c:ext>
          </c:extLst>
        </c:ser>
        <c:ser>
          <c:idx val="13"/>
          <c:order val="13"/>
          <c:tx>
            <c:v>CRABI 12-E</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4.7702004670248231E-2"/>
                  <c:y val="-4.30089077124109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numRef>
          </c:xVal>
          <c:yVal>
            <c:numRef>
              <c:f>Dummies!$D$6</c:f>
              <c:numCache>
                <c:formatCode>0.0</c:formatCode>
                <c:ptCount val="1"/>
                <c:pt idx="0">
                  <c:v>30.7</c:v>
                </c:pt>
              </c:numCache>
            </c:numRef>
          </c:yVal>
          <c:smooth val="1"/>
          <c:extLst>
            <c:ext xmlns:c16="http://schemas.microsoft.com/office/drawing/2014/chart" uri="{C3380CC4-5D6E-409C-BE32-E72D297353CC}">
              <c16:uniqueId val="{0000001B-9F27-4B32-95D8-8A3EF5BEA3E5}"/>
            </c:ext>
          </c:extLst>
        </c:ser>
        <c:ser>
          <c:idx val="14"/>
          <c:order val="14"/>
          <c:tx>
            <c:v>3yr-E</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3.9587019821422022E-2"/>
                  <c:y val="-6.374240644217346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numRef>
          </c:xVal>
          <c:yVal>
            <c:numRef>
              <c:f>Dummies!$D$10</c:f>
              <c:numCache>
                <c:formatCode>0.0</c:formatCode>
                <c:ptCount val="1"/>
                <c:pt idx="0">
                  <c:v>35.9</c:v>
                </c:pt>
              </c:numCache>
            </c:numRef>
          </c:yVal>
          <c:smooth val="1"/>
          <c:extLst>
            <c:ext xmlns:c16="http://schemas.microsoft.com/office/drawing/2014/chart" uri="{C3380CC4-5D6E-409C-BE32-E72D297353CC}">
              <c16:uniqueId val="{0000001D-9F27-4B32-95D8-8A3EF5BEA3E5}"/>
            </c:ext>
          </c:extLst>
        </c:ser>
        <c:ser>
          <c:idx val="15"/>
          <c:order val="15"/>
          <c:tx>
            <c:v>6yr-E</c:v>
          </c:tx>
          <c:spPr>
            <a:ln w="50800" cap="rnd">
              <a:noFill/>
              <a:round/>
            </a:ln>
            <a:effectLst/>
          </c:spPr>
          <c:marker>
            <c:symbol val="circle"/>
            <c:size val="5"/>
            <c:spPr>
              <a:solidFill>
                <a:srgbClr val="FF0000"/>
              </a:solidFill>
              <a:ln w="50800">
                <a:solidFill>
                  <a:srgbClr val="FF0000"/>
                </a:solidFill>
              </a:ln>
              <a:effectLst/>
            </c:spPr>
          </c:marker>
          <c:dLbls>
            <c:dLbl>
              <c:idx val="0"/>
              <c:layout>
                <c:manualLayout>
                  <c:x val="2.6991149878240967E-3"/>
                  <c:y val="-7.11543141680075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E-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Dummies!$B$12</c:f>
              <c:numCache>
                <c:formatCode>0.0</c:formatCode>
                <c:ptCount val="1"/>
                <c:pt idx="0">
                  <c:v>114.5</c:v>
                </c:pt>
              </c:numCache>
            </c:numRef>
          </c:xVal>
          <c:yVal>
            <c:numRef>
              <c:f>Dummies!$D$12</c:f>
              <c:numCache>
                <c:formatCode>0.0</c:formatCode>
                <c:ptCount val="1"/>
                <c:pt idx="0">
                  <c:v>39.25</c:v>
                </c:pt>
              </c:numCache>
            </c:numRef>
          </c:yVal>
          <c:smooth val="1"/>
          <c:extLst>
            <c:ext xmlns:c16="http://schemas.microsoft.com/office/drawing/2014/chart" uri="{C3380CC4-5D6E-409C-BE32-E72D297353CC}">
              <c16:uniqueId val="{0000001F-9F27-4B32-95D8-8A3EF5BEA3E5}"/>
            </c:ext>
          </c:extLst>
        </c:ser>
        <c:ser>
          <c:idx val="16"/>
          <c:order val="16"/>
          <c:tx>
            <c:v>6yr-B</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3.5988199837655062E-3"/>
                  <c:y val="6.2260024897006584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Dummies!$B$12</c:f>
              <c:numCache>
                <c:formatCode>0.0</c:formatCode>
                <c:ptCount val="1"/>
                <c:pt idx="0">
                  <c:v>114.5</c:v>
                </c:pt>
              </c:numCache>
            </c:numRef>
          </c:xVal>
          <c:yVal>
            <c:numRef>
              <c:f>Dummies!$C$12</c:f>
              <c:numCache>
                <c:formatCode>0.0</c:formatCode>
                <c:ptCount val="1"/>
                <c:pt idx="0">
                  <c:v>63.5</c:v>
                </c:pt>
              </c:numCache>
            </c:numRef>
          </c:yVal>
          <c:smooth val="1"/>
          <c:extLst>
            <c:ext xmlns:c16="http://schemas.microsoft.com/office/drawing/2014/chart" uri="{C3380CC4-5D6E-409C-BE32-E72D297353CC}">
              <c16:uniqueId val="{00000021-9F27-4B32-95D8-8A3EF5BEA3E5}"/>
            </c:ext>
          </c:extLst>
        </c:ser>
        <c:ser>
          <c:idx val="17"/>
          <c:order val="17"/>
          <c:tx>
            <c:v>Q6-B</c:v>
          </c:tx>
          <c:spPr>
            <a:ln w="19050" cap="rnd">
              <a:noFill/>
              <a:round/>
            </a:ln>
            <a:effectLst/>
          </c:spPr>
          <c:marker>
            <c:symbol val="circle"/>
            <c:size val="5"/>
            <c:spPr>
              <a:solidFill>
                <a:srgbClr val="0070C0"/>
              </a:solidFill>
              <a:ln w="50800">
                <a:solidFill>
                  <a:srgbClr val="0070C0"/>
                </a:solidFill>
              </a:ln>
              <a:effectLst/>
            </c:spPr>
          </c:marker>
          <c:dLbls>
            <c:dLbl>
              <c:idx val="0"/>
              <c:layout>
                <c:manualLayout>
                  <c:x val="-3.598819983765638E-2"/>
                  <c:y val="4.447144635500464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2-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Dummies!$B$11</c:f>
              <c:numCache>
                <c:formatCode>0.0</c:formatCode>
                <c:ptCount val="1"/>
                <c:pt idx="0">
                  <c:v>114.3</c:v>
                </c:pt>
              </c:numCache>
            </c:numRef>
          </c:xVal>
          <c:yVal>
            <c:numRef>
              <c:f>Dummies!$C$11</c:f>
              <c:numCache>
                <c:formatCode>0.0</c:formatCode>
                <c:ptCount val="1"/>
                <c:pt idx="0">
                  <c:v>60.1</c:v>
                </c:pt>
              </c:numCache>
            </c:numRef>
          </c:yVal>
          <c:smooth val="1"/>
          <c:extLst>
            <c:ext xmlns:c16="http://schemas.microsoft.com/office/drawing/2014/chart" uri="{C3380CC4-5D6E-409C-BE32-E72D297353CC}">
              <c16:uniqueId val="{00000023-9F27-4B32-95D8-8A3EF5BEA3E5}"/>
            </c:ext>
          </c:extLst>
        </c:ser>
        <c:ser>
          <c:idx val="18"/>
          <c:order val="18"/>
          <c:tx>
            <c:v>Q6-E</c:v>
          </c:tx>
          <c:spPr>
            <a:ln w="19050" cap="rnd">
              <a:noFill/>
              <a:round/>
            </a:ln>
            <a:effectLst/>
          </c:spPr>
          <c:marker>
            <c:symbol val="circle"/>
            <c:size val="5"/>
            <c:spPr>
              <a:solidFill>
                <a:srgbClr val="0070C0"/>
              </a:solidFill>
              <a:ln w="50800">
                <a:solidFill>
                  <a:srgbClr val="0070C0"/>
                </a:solidFill>
              </a:ln>
              <a:effectLst/>
            </c:spPr>
          </c:marker>
          <c:dLbls>
            <c:dLbl>
              <c:idx val="0"/>
              <c:layout>
                <c:manualLayout>
                  <c:x val="-3.598819983765638E-2"/>
                  <c:y val="-8.894289271000940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Dummies!$B$11</c:f>
              <c:numCache>
                <c:formatCode>0.0</c:formatCode>
                <c:ptCount val="1"/>
                <c:pt idx="0">
                  <c:v>114.3</c:v>
                </c:pt>
              </c:numCache>
            </c:numRef>
          </c:xVal>
          <c:yVal>
            <c:numRef>
              <c:f>Dummies!$D$11</c:f>
              <c:numCache>
                <c:formatCode>0.0</c:formatCode>
                <c:ptCount val="1"/>
                <c:pt idx="0">
                  <c:v>36.200000000000003</c:v>
                </c:pt>
              </c:numCache>
            </c:numRef>
          </c:yVal>
          <c:smooth val="1"/>
          <c:extLst>
            <c:ext xmlns:c16="http://schemas.microsoft.com/office/drawing/2014/chart" uri="{C3380CC4-5D6E-409C-BE32-E72D297353CC}">
              <c16:uniqueId val="{00000025-9F27-4B32-95D8-8A3EF5BEA3E5}"/>
            </c:ext>
          </c:extLst>
        </c:ser>
        <c:ser>
          <c:idx val="19"/>
          <c:order val="19"/>
          <c:tx>
            <c:v>6yr wtd-B</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4.4985249797070475E-3"/>
                  <c:y val="2.81652493581695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Dummies!$B$13</c:f>
              <c:numCache>
                <c:formatCode>0.0</c:formatCode>
                <c:ptCount val="1"/>
                <c:pt idx="0">
                  <c:v>115.25</c:v>
                </c:pt>
              </c:numCache>
            </c:numRef>
          </c:xVal>
          <c:yVal>
            <c:numRef>
              <c:f>Dummies!$C$13</c:f>
              <c:numCache>
                <c:formatCode>0.0</c:formatCode>
                <c:ptCount val="1"/>
                <c:pt idx="0">
                  <c:v>64.25</c:v>
                </c:pt>
              </c:numCache>
            </c:numRef>
          </c:yVal>
          <c:smooth val="1"/>
          <c:extLst>
            <c:ext xmlns:c16="http://schemas.microsoft.com/office/drawing/2014/chart" uri="{C3380CC4-5D6E-409C-BE32-E72D297353CC}">
              <c16:uniqueId val="{00000027-9F27-4B32-95D8-8A3EF5BEA3E5}"/>
            </c:ext>
          </c:extLst>
        </c:ser>
        <c:ser>
          <c:idx val="20"/>
          <c:order val="20"/>
          <c:tx>
            <c:v>6yr wtd-E</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7.1976399675312761E-3"/>
                  <c:y val="-3.557715708400381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8-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Dummies!$B$13</c:f>
              <c:numCache>
                <c:formatCode>0.0</c:formatCode>
                <c:ptCount val="1"/>
                <c:pt idx="0">
                  <c:v>115.25</c:v>
                </c:pt>
              </c:numCache>
            </c:numRef>
          </c:xVal>
          <c:yVal>
            <c:numRef>
              <c:f>Dummies!$D$13</c:f>
              <c:numCache>
                <c:formatCode>0.0</c:formatCode>
                <c:ptCount val="1"/>
                <c:pt idx="0">
                  <c:v>40</c:v>
                </c:pt>
              </c:numCache>
            </c:numRef>
          </c:yVal>
          <c:smooth val="1"/>
          <c:extLst>
            <c:ext xmlns:c16="http://schemas.microsoft.com/office/drawing/2014/chart" uri="{C3380CC4-5D6E-409C-BE32-E72D297353CC}">
              <c16:uniqueId val="{00000029-9F27-4B32-95D8-8A3EF5BEA3E5}"/>
            </c:ext>
          </c:extLst>
        </c:ser>
        <c:ser>
          <c:idx val="21"/>
          <c:order val="21"/>
          <c:tx>
            <c:v>10yr-B</c:v>
          </c:tx>
          <c:spPr>
            <a:ln w="19050" cap="rnd">
              <a:noFill/>
              <a:round/>
            </a:ln>
            <a:effectLst/>
          </c:spPr>
          <c:marker>
            <c:symbol val="circle"/>
            <c:size val="5"/>
            <c:spPr>
              <a:solidFill>
                <a:srgbClr val="0070C0"/>
              </a:solidFill>
              <a:ln w="50800">
                <a:solidFill>
                  <a:srgbClr val="0070C0"/>
                </a:solidFill>
              </a:ln>
              <a:effectLst/>
            </c:spPr>
          </c:marker>
          <c:dLbls>
            <c:dLbl>
              <c:idx val="0"/>
              <c:layout>
                <c:manualLayout>
                  <c:x val="1.0771992818671455E-2"/>
                  <c:y val="4.146100852154310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Dummies!$B$15</c:f>
              <c:numCache>
                <c:formatCode>0.0</c:formatCode>
                <c:ptCount val="1"/>
                <c:pt idx="0">
                  <c:v>144.30000000000001</c:v>
                </c:pt>
              </c:numCache>
            </c:numRef>
          </c:xVal>
          <c:yVal>
            <c:numRef>
              <c:f>Dummies!$C$15</c:f>
              <c:numCache>
                <c:formatCode>0.0</c:formatCode>
                <c:ptCount val="1"/>
                <c:pt idx="0">
                  <c:v>74.8</c:v>
                </c:pt>
              </c:numCache>
            </c:numRef>
          </c:yVal>
          <c:smooth val="1"/>
          <c:extLst>
            <c:ext xmlns:c16="http://schemas.microsoft.com/office/drawing/2014/chart" uri="{C3380CC4-5D6E-409C-BE32-E72D297353CC}">
              <c16:uniqueId val="{0000002B-9F27-4B32-95D8-8A3EF5BEA3E5}"/>
            </c:ext>
          </c:extLst>
        </c:ser>
        <c:ser>
          <c:idx val="22"/>
          <c:order val="22"/>
          <c:tx>
            <c:v>10yr-E</c:v>
          </c:tx>
          <c:spPr>
            <a:ln w="19050" cap="rnd">
              <a:noFill/>
              <a:round/>
            </a:ln>
            <a:effectLst/>
          </c:spPr>
          <c:marker>
            <c:symbol val="circle"/>
            <c:size val="5"/>
            <c:spPr>
              <a:solidFill>
                <a:srgbClr val="0070C0"/>
              </a:solidFill>
              <a:ln w="50800">
                <a:solidFill>
                  <a:srgbClr val="0070C0"/>
                </a:solidFill>
              </a:ln>
              <a:effectLst/>
            </c:spPr>
          </c:marker>
          <c:dLbls>
            <c:dLbl>
              <c:idx val="0"/>
              <c:layout>
                <c:manualLayout>
                  <c:x val="7.1813285457809697E-3"/>
                  <c:y val="-7.107601460835967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C-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Dummies!$B$15</c:f>
              <c:numCache>
                <c:formatCode>0.0</c:formatCode>
                <c:ptCount val="1"/>
                <c:pt idx="0">
                  <c:v>144.30000000000001</c:v>
                </c:pt>
              </c:numCache>
            </c:numRef>
          </c:xVal>
          <c:yVal>
            <c:numRef>
              <c:f>Dummies!$D$15</c:f>
              <c:numCache>
                <c:formatCode>0.0</c:formatCode>
                <c:ptCount val="1"/>
                <c:pt idx="0">
                  <c:v>47.3</c:v>
                </c:pt>
              </c:numCache>
            </c:numRef>
          </c:yVal>
          <c:smooth val="1"/>
          <c:extLst>
            <c:ext xmlns:c16="http://schemas.microsoft.com/office/drawing/2014/chart" uri="{C3380CC4-5D6E-409C-BE32-E72D297353CC}">
              <c16:uniqueId val="{0000002D-9F27-4B32-95D8-8A3EF5BEA3E5}"/>
            </c:ext>
          </c:extLst>
        </c:ser>
        <c:ser>
          <c:idx val="23"/>
          <c:order val="23"/>
          <c:tx>
            <c:v>Q10-B</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2.244165170556553E-2"/>
                  <c:y val="5.330701095626973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E-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Dummies!$B$14</c:f>
              <c:numCache>
                <c:formatCode>0.0</c:formatCode>
                <c:ptCount val="1"/>
                <c:pt idx="0">
                  <c:v>130</c:v>
                </c:pt>
              </c:numCache>
            </c:numRef>
          </c:xVal>
          <c:yVal>
            <c:numRef>
              <c:f>Dummies!$C$14</c:f>
              <c:numCache>
                <c:formatCode>0.0</c:formatCode>
                <c:ptCount val="1"/>
                <c:pt idx="0">
                  <c:v>74</c:v>
                </c:pt>
              </c:numCache>
            </c:numRef>
          </c:yVal>
          <c:smooth val="1"/>
          <c:extLst>
            <c:ext xmlns:c16="http://schemas.microsoft.com/office/drawing/2014/chart" uri="{C3380CC4-5D6E-409C-BE32-E72D297353CC}">
              <c16:uniqueId val="{0000002F-9F27-4B32-95D8-8A3EF5BEA3E5}"/>
            </c:ext>
          </c:extLst>
        </c:ser>
        <c:ser>
          <c:idx val="24"/>
          <c:order val="24"/>
          <c:tx>
            <c:v>Q10-E</c:v>
          </c:tx>
          <c:spPr>
            <a:ln w="19050" cap="rnd">
              <a:noFill/>
              <a:round/>
            </a:ln>
            <a:effectLst/>
          </c:spPr>
          <c:marker>
            <c:symbol val="circle"/>
            <c:size val="5"/>
            <c:spPr>
              <a:solidFill>
                <a:srgbClr val="FF0000"/>
              </a:solidFill>
              <a:ln w="50800">
                <a:solidFill>
                  <a:srgbClr val="FF0000"/>
                </a:solidFill>
              </a:ln>
              <a:effectLst/>
            </c:spPr>
          </c:marker>
          <c:dLbls>
            <c:dLbl>
              <c:idx val="0"/>
              <c:layout>
                <c:manualLayout>
                  <c:x val="2.423698384201077E-2"/>
                  <c:y val="-8.14412667387453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0-9F27-4B32-95D8-8A3EF5BEA3E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Dummies!$B$14</c:f>
              <c:numCache>
                <c:formatCode>0.0</c:formatCode>
                <c:ptCount val="1"/>
                <c:pt idx="0">
                  <c:v>130</c:v>
                </c:pt>
              </c:numCache>
            </c:numRef>
          </c:xVal>
          <c:yVal>
            <c:numRef>
              <c:f>Dummies!$D$14</c:f>
              <c:numCache>
                <c:formatCode>0.0</c:formatCode>
                <c:ptCount val="1"/>
                <c:pt idx="0">
                  <c:v>44.5</c:v>
                </c:pt>
              </c:numCache>
            </c:numRef>
          </c:yVal>
          <c:smooth val="1"/>
          <c:extLst>
            <c:ext xmlns:c16="http://schemas.microsoft.com/office/drawing/2014/chart" uri="{C3380CC4-5D6E-409C-BE32-E72D297353CC}">
              <c16:uniqueId val="{00000031-9F27-4B32-95D8-8A3EF5BEA3E5}"/>
            </c:ext>
          </c:extLst>
        </c:ser>
        <c:ser>
          <c:idx val="25"/>
          <c:order val="25"/>
          <c:tx>
            <c:strRef>
              <c:f>'US Child Data'!$M$1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Data'!$M$3:$M$17</c:f>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32-9F27-4B32-95D8-8A3EF5BEA3E5}"/>
            </c:ext>
          </c:extLst>
        </c:ser>
        <c:ser>
          <c:idx val="26"/>
          <c:order val="26"/>
          <c:tx>
            <c:strRef>
              <c:f>'US Child Data'!$O$1</c:f>
              <c:strCache>
                <c:ptCount val="1"/>
                <c:pt idx="0">
                  <c:v>US Shoulder Seated</c:v>
                </c:pt>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Pt>
            <c:idx val="0"/>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3-9F27-4B32-95D8-8A3EF5BEA3E5}"/>
              </c:ext>
            </c:extLst>
          </c:dPt>
          <c:dPt>
            <c:idx val="1"/>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4-9F27-4B32-95D8-8A3EF5BEA3E5}"/>
              </c:ext>
            </c:extLst>
          </c:dPt>
          <c:dPt>
            <c:idx val="2"/>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5-9F27-4B32-95D8-8A3EF5BEA3E5}"/>
              </c:ext>
            </c:extLst>
          </c:dPt>
          <c:dPt>
            <c:idx val="3"/>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6-9F27-4B32-95D8-8A3EF5BEA3E5}"/>
              </c:ext>
            </c:extLst>
          </c:dPt>
          <c:dPt>
            <c:idx val="4"/>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7-9F27-4B32-95D8-8A3EF5BEA3E5}"/>
              </c:ext>
            </c:extLst>
          </c:dPt>
          <c:dPt>
            <c:idx val="5"/>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8-9F27-4B32-95D8-8A3EF5BEA3E5}"/>
              </c:ext>
            </c:extLst>
          </c:dPt>
          <c:dPt>
            <c:idx val="6"/>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39-9F27-4B32-95D8-8A3EF5BEA3E5}"/>
              </c:ext>
            </c:extLst>
          </c:dPt>
          <c:dLbls>
            <c:dLbl>
              <c:idx val="0"/>
              <c:layout>
                <c:manualLayout>
                  <c:x val="-1.5287769784172662E-2"/>
                  <c:y val="8.8888888888888889E-3"/>
                </c:manualLayout>
              </c:layout>
              <c:tx>
                <c:rich>
                  <a:bodyPr/>
                  <a:lstStyle/>
                  <a:p>
                    <a:r>
                      <a:rPr lang="en-US"/>
                      <a:t>Nx1=222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9F27-4B32-95D8-8A3EF5BEA3E5}"/>
                </c:ext>
              </c:extLst>
            </c:dLbl>
            <c:dLbl>
              <c:idx val="1"/>
              <c:layout>
                <c:manualLayout>
                  <c:x val="-1.4388489208633094E-2"/>
                  <c:y val="1.037037037037037E-2"/>
                </c:manualLayout>
              </c:layout>
              <c:tx>
                <c:rich>
                  <a:bodyPr/>
                  <a:lstStyle/>
                  <a:p>
                    <a:r>
                      <a:rPr lang="en-US"/>
                      <a:t>Nx2=284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9F27-4B32-95D8-8A3EF5BEA3E5}"/>
                </c:ext>
              </c:extLst>
            </c:dLbl>
            <c:dLbl>
              <c:idx val="2"/>
              <c:layout>
                <c:manualLayout>
                  <c:x val="-1.8884892086330936E-2"/>
                  <c:y val="1.1851851851851851E-2"/>
                </c:manualLayout>
              </c:layout>
              <c:tx>
                <c:rich>
                  <a:bodyPr/>
                  <a:lstStyle/>
                  <a:p>
                    <a:r>
                      <a:rPr lang="en-US"/>
                      <a:t>Nx3=159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9F27-4B32-95D8-8A3EF5BEA3E5}"/>
                </c:ext>
              </c:extLst>
            </c:dLbl>
            <c:dLbl>
              <c:idx val="3"/>
              <c:layout>
                <c:manualLayout>
                  <c:x val="-1.7086330935251734E-2"/>
                  <c:y val="1.0370370370370263E-2"/>
                </c:manualLayout>
              </c:layout>
              <c:tx>
                <c:rich>
                  <a:bodyPr/>
                  <a:lstStyle/>
                  <a:p>
                    <a:r>
                      <a:rPr lang="en-US"/>
                      <a:t>Nx4=119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9F27-4B32-95D8-8A3EF5BEA3E5}"/>
                </c:ext>
              </c:extLst>
            </c:dLbl>
            <c:dLbl>
              <c:idx val="4"/>
              <c:layout>
                <c:manualLayout>
                  <c:x val="-1.7985611510791366E-2"/>
                  <c:y val="7.4074074074074077E-3"/>
                </c:manualLayout>
              </c:layout>
              <c:tx>
                <c:rich>
                  <a:bodyPr/>
                  <a:lstStyle/>
                  <a:p>
                    <a:r>
                      <a:rPr lang="en-US"/>
                      <a:t>Nx5=138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9F27-4B32-95D8-8A3EF5BEA3E5}"/>
                </c:ext>
              </c:extLst>
            </c:dLbl>
            <c:dLbl>
              <c:idx val="5"/>
              <c:layout>
                <c:manualLayout>
                  <c:x val="-2.1582733812949641E-2"/>
                  <c:y val="-1.7777777777777833E-2"/>
                </c:manualLayout>
              </c:layout>
              <c:tx>
                <c:rich>
                  <a:bodyPr/>
                  <a:lstStyle/>
                  <a:p>
                    <a:r>
                      <a:rPr lang="en-US"/>
                      <a:t>Nx6=166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9F27-4B32-95D8-8A3EF5BEA3E5}"/>
                </c:ext>
              </c:extLst>
            </c:dLbl>
            <c:dLbl>
              <c:idx val="6"/>
              <c:layout>
                <c:manualLayout>
                  <c:x val="-1.9784172661870502E-2"/>
                  <c:y val="-1.7777777777777833E-2"/>
                </c:manualLayout>
              </c:layout>
              <c:tx>
                <c:rich>
                  <a:bodyPr/>
                  <a:lstStyle/>
                  <a:p>
                    <a:r>
                      <a:rPr lang="en-US"/>
                      <a:t>Nx7=301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9F27-4B32-95D8-8A3EF5BEA3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3A-9F27-4B32-95D8-8A3EF5BEA3E5}"/>
            </c:ext>
          </c:extLst>
        </c:ser>
        <c:ser>
          <c:idx val="30"/>
          <c:order val="30"/>
          <c:tx>
            <c:v>Q0-B</c:v>
          </c:tx>
          <c:spPr>
            <a:ln w="19050" cap="rnd">
              <a:solidFill>
                <a:schemeClr val="accent1">
                  <a:lumMod val="50000"/>
                </a:schemeClr>
              </a:solidFill>
              <a:round/>
            </a:ln>
            <a:effectLst/>
          </c:spPr>
          <c:marker>
            <c:symbol val="circle"/>
            <c:size val="5"/>
            <c:spPr>
              <a:solidFill>
                <a:srgbClr val="FF0000"/>
              </a:solidFill>
              <a:ln w="9525">
                <a:solidFill>
                  <a:srgbClr val="FF0000"/>
                </a:solidFill>
              </a:ln>
              <a:effectLst/>
            </c:spPr>
          </c:marker>
          <c:dLbls>
            <c:dLbl>
              <c:idx val="0"/>
              <c:layout>
                <c:manualLayout>
                  <c:x val="-6.6546762589928074E-2"/>
                  <c:y val="-1.03703703703703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B-9F27-4B32-95D8-8A3EF5BEA3E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Dummies!$C$2</c:f>
              <c:numCache>
                <c:formatCode>0.0</c:formatCode>
                <c:ptCount val="1"/>
                <c:pt idx="0">
                  <c:v>34.299999999999997</c:v>
                </c:pt>
              </c:numCache>
            </c:numRef>
          </c:yVal>
          <c:smooth val="1"/>
          <c:extLst>
            <c:ext xmlns:c16="http://schemas.microsoft.com/office/drawing/2014/chart" uri="{C3380CC4-5D6E-409C-BE32-E72D297353CC}">
              <c16:uniqueId val="{0000003C-9F27-4B32-95D8-8A3EF5BEA3E5}"/>
            </c:ext>
          </c:extLst>
        </c:ser>
        <c:ser>
          <c:idx val="31"/>
          <c:order val="31"/>
          <c:tx>
            <c:v>Q0-E</c:v>
          </c:tx>
          <c:spPr>
            <a:ln w="19050" cap="rnd">
              <a:solidFill>
                <a:schemeClr val="accent2">
                  <a:lumMod val="50000"/>
                </a:schemeClr>
              </a:solidFill>
              <a:round/>
            </a:ln>
            <a:effectLst/>
          </c:spPr>
          <c:marker>
            <c:symbol val="circle"/>
            <c:size val="5"/>
            <c:spPr>
              <a:solidFill>
                <a:srgbClr val="FF0000"/>
              </a:solidFill>
              <a:ln w="9525">
                <a:solidFill>
                  <a:srgbClr val="FF0000"/>
                </a:solidFill>
              </a:ln>
              <a:effectLst/>
            </c:spPr>
          </c:marker>
          <c:dLbls>
            <c:dLbl>
              <c:idx val="0"/>
              <c:layout>
                <c:manualLayout>
                  <c:x val="-8.0035971223021585E-2"/>
                  <c:y val="1.481481481481481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D-9F27-4B32-95D8-8A3EF5BEA3E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Dummies!$D$2</c:f>
              <c:numCache>
                <c:formatCode>0.0</c:formatCode>
                <c:ptCount val="1"/>
                <c:pt idx="0">
                  <c:v>24.7</c:v>
                </c:pt>
              </c:numCache>
            </c:numRef>
          </c:yVal>
          <c:smooth val="1"/>
          <c:extLst>
            <c:ext xmlns:c16="http://schemas.microsoft.com/office/drawing/2014/chart" uri="{C3380CC4-5D6E-409C-BE32-E72D297353CC}">
              <c16:uniqueId val="{0000003E-9F27-4B32-95D8-8A3EF5BEA3E5}"/>
            </c:ext>
          </c:extLst>
        </c:ser>
        <c:ser>
          <c:idx val="32"/>
          <c:order val="32"/>
          <c:tx>
            <c:v>Newborn-B</c:v>
          </c:tx>
          <c:spPr>
            <a:ln w="19050" cap="rnd">
              <a:solidFill>
                <a:schemeClr val="accent3">
                  <a:lumMod val="50000"/>
                </a:schemeClr>
              </a:solidFill>
              <a:round/>
            </a:ln>
            <a:effectLst/>
          </c:spPr>
          <c:marker>
            <c:symbol val="circle"/>
            <c:size val="5"/>
            <c:spPr>
              <a:solidFill>
                <a:srgbClr val="0070C0"/>
              </a:solidFill>
              <a:ln w="9525">
                <a:solidFill>
                  <a:srgbClr val="0070C0"/>
                </a:solidFill>
              </a:ln>
              <a:effectLst/>
            </c:spPr>
          </c:marker>
          <c:dLbls>
            <c:dLbl>
              <c:idx val="0"/>
              <c:layout>
                <c:manualLayout>
                  <c:x val="3.5971223021582736E-3"/>
                  <c:y val="-1.925925925925931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F-9F27-4B32-95D8-8A3EF5BEA3E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Dummies!$B$4</c:f>
              <c:numCache>
                <c:formatCode>0.0</c:formatCode>
                <c:ptCount val="1"/>
                <c:pt idx="0">
                  <c:v>63.322147651006709</c:v>
                </c:pt>
              </c:numCache>
            </c:numRef>
          </c:xVal>
          <c:yVal>
            <c:numRef>
              <c:f>Dummies!$C$4</c:f>
              <c:numCache>
                <c:formatCode>0.0</c:formatCode>
                <c:ptCount val="1"/>
                <c:pt idx="0">
                  <c:v>35.5</c:v>
                </c:pt>
              </c:numCache>
            </c:numRef>
          </c:yVal>
          <c:smooth val="1"/>
          <c:extLst>
            <c:ext xmlns:c16="http://schemas.microsoft.com/office/drawing/2014/chart" uri="{C3380CC4-5D6E-409C-BE32-E72D297353CC}">
              <c16:uniqueId val="{00000040-9F27-4B32-95D8-8A3EF5BEA3E5}"/>
            </c:ext>
          </c:extLst>
        </c:ser>
        <c:ser>
          <c:idx val="33"/>
          <c:order val="33"/>
          <c:tx>
            <c:v>Newborn-E</c:v>
          </c:tx>
          <c:spPr>
            <a:ln w="19050" cap="rnd">
              <a:solidFill>
                <a:schemeClr val="accent4">
                  <a:lumMod val="50000"/>
                </a:schemeClr>
              </a:solidFill>
              <a:round/>
            </a:ln>
            <a:effectLst/>
          </c:spPr>
          <c:marker>
            <c:symbol val="circle"/>
            <c:size val="5"/>
            <c:spPr>
              <a:solidFill>
                <a:srgbClr val="0070C0"/>
              </a:solidFill>
              <a:ln w="9525">
                <a:solidFill>
                  <a:srgbClr val="0070C0"/>
                </a:solidFill>
              </a:ln>
              <a:effectLst/>
            </c:spPr>
          </c:marker>
          <c:dLbls>
            <c:dLbl>
              <c:idx val="0"/>
              <c:layout>
                <c:manualLayout>
                  <c:x val="2.2482014388489208E-2"/>
                  <c:y val="3.407407407407407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1-9F27-4B32-95D8-8A3EF5BEA3E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Dummies!$B$4</c:f>
              <c:numCache>
                <c:formatCode>0.0</c:formatCode>
                <c:ptCount val="1"/>
                <c:pt idx="0">
                  <c:v>63.322147651006709</c:v>
                </c:pt>
              </c:numCache>
            </c:numRef>
          </c:xVal>
          <c:yVal>
            <c:numRef>
              <c:f>Dummies!$D$4</c:f>
              <c:numCache>
                <c:formatCode>0.0</c:formatCode>
                <c:ptCount val="1"/>
                <c:pt idx="0">
                  <c:v>25.5</c:v>
                </c:pt>
              </c:numCache>
            </c:numRef>
          </c:yVal>
          <c:smooth val="1"/>
          <c:extLst>
            <c:ext xmlns:c16="http://schemas.microsoft.com/office/drawing/2014/chart" uri="{C3380CC4-5D6E-409C-BE32-E72D297353CC}">
              <c16:uniqueId val="{00000042-9F27-4B32-95D8-8A3EF5BEA3E5}"/>
            </c:ext>
          </c:extLst>
        </c:ser>
        <c:ser>
          <c:idx val="34"/>
          <c:order val="34"/>
          <c:tx>
            <c:v>UMTRI Hip Breadth 5th</c:v>
          </c:tx>
          <c:spPr>
            <a:ln w="19050" cap="rnd">
              <a:solidFill>
                <a:srgbClr val="FF0000"/>
              </a:solidFill>
              <a:round/>
            </a:ln>
            <a:effectLst/>
          </c:spPr>
          <c:marker>
            <c:symbol val="circle"/>
            <c:size val="2"/>
            <c:spPr>
              <a:solidFill>
                <a:schemeClr val="accent5">
                  <a:lumMod val="50000"/>
                </a:schemeClr>
              </a:solidFill>
              <a:ln w="9525">
                <a:solidFill>
                  <a:srgbClr val="FF0000"/>
                </a:solidFill>
              </a:ln>
              <a:effectLst/>
            </c:spPr>
          </c:marker>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Data'!$S$3:$S$17</c:f>
              <c:numCache>
                <c:formatCode>0.0</c:formatCode>
                <c:ptCount val="15"/>
                <c:pt idx="0">
                  <c:v>9.3979999999999997</c:v>
                </c:pt>
                <c:pt idx="1">
                  <c:v>12.446</c:v>
                </c:pt>
                <c:pt idx="2">
                  <c:v>14.986000000000001</c:v>
                </c:pt>
                <c:pt idx="3">
                  <c:v>13.97</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3-9F27-4B32-95D8-8A3EF5BEA3E5}"/>
            </c:ext>
          </c:extLst>
        </c:ser>
        <c:dLbls>
          <c:showLegendKey val="0"/>
          <c:showVal val="0"/>
          <c:showCatName val="0"/>
          <c:showSerName val="0"/>
          <c:showPercent val="0"/>
          <c:showBubbleSize val="0"/>
        </c:dLbls>
        <c:axId val="403575200"/>
        <c:axId val="403576376"/>
        <c:extLst>
          <c:ext xmlns:c15="http://schemas.microsoft.com/office/drawing/2012/chart" uri="{02D57815-91ED-43cb-92C2-25804820EDAC}">
            <c15:filteredScatterSeries>
              <c15:ser>
                <c:idx val="27"/>
                <c:order val="27"/>
                <c:tx>
                  <c:strRef>
                    <c:extLst>
                      <c:ext uri="{02D57815-91ED-43cb-92C2-25804820EDAC}">
                        <c15:formulaRef>
                          <c15:sqref>'US Child Data'!$Q$1</c15:sqref>
                        </c15:formulaRef>
                      </c:ext>
                    </c:extLst>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Pt>
                  <c:idx val="0"/>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4-9F27-4B32-95D8-8A3EF5BEA3E5}"/>
                    </c:ext>
                  </c:extLst>
                </c:dPt>
                <c:dPt>
                  <c:idx val="1"/>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5-9F27-4B32-95D8-8A3EF5BEA3E5}"/>
                    </c:ext>
                  </c:extLst>
                </c:dPt>
                <c:dPt>
                  <c:idx val="2"/>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6-9F27-4B32-95D8-8A3EF5BEA3E5}"/>
                    </c:ext>
                  </c:extLst>
                </c:dPt>
                <c:dPt>
                  <c:idx val="3"/>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7-9F27-4B32-95D8-8A3EF5BEA3E5}"/>
                    </c:ext>
                  </c:extLst>
                </c:dPt>
                <c:dPt>
                  <c:idx val="4"/>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8-9F27-4B32-95D8-8A3EF5BEA3E5}"/>
                    </c:ext>
                  </c:extLst>
                </c:dPt>
                <c:dPt>
                  <c:idx val="5"/>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9-9F27-4B32-95D8-8A3EF5BEA3E5}"/>
                    </c:ext>
                  </c:extLst>
                </c:dPt>
                <c:dPt>
                  <c:idx val="6"/>
                  <c:marker>
                    <c:symbol val="circle"/>
                    <c:size val="5"/>
                    <c:spPr>
                      <a:solidFill>
                        <a:srgbClr val="FF0000"/>
                      </a:solidFill>
                      <a:ln w="15875">
                        <a:solidFill>
                          <a:schemeClr val="tx1"/>
                        </a:solidFill>
                      </a:ln>
                      <a:effectLst/>
                    </c:spPr>
                  </c:marker>
                  <c:bubble3D val="0"/>
                  <c:extLst>
                    <c:ext xmlns:c16="http://schemas.microsoft.com/office/drawing/2014/chart" uri="{C3380CC4-5D6E-409C-BE32-E72D297353CC}">
                      <c16:uniqueId val="{0000004A-9F27-4B32-95D8-8A3EF5BEA3E5}"/>
                    </c:ext>
                  </c:extLst>
                </c:dPt>
                <c:dLbls>
                  <c:dLbl>
                    <c:idx val="0"/>
                    <c:layout>
                      <c:manualLayout>
                        <c:x val="-2.4280575539568378E-2"/>
                        <c:y val="-1.9259259259259205E-2"/>
                      </c:manualLayout>
                    </c:layout>
                    <c:tx>
                      <c:rich>
                        <a:bodyPr/>
                        <a:lstStyle/>
                        <a:p>
                          <a:r>
                            <a:rPr lang="en-US"/>
                            <a:t>Ny1=30</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4-9F27-4B32-95D8-8A3EF5BEA3E5}"/>
                      </c:ext>
                    </c:extLst>
                  </c:dLbl>
                  <c:dLbl>
                    <c:idx val="1"/>
                    <c:layout>
                      <c:manualLayout>
                        <c:x val="-1.5287769784172662E-2"/>
                        <c:y val="-1.0370370370370424E-2"/>
                      </c:manualLayout>
                    </c:layout>
                    <c:tx>
                      <c:rich>
                        <a:bodyPr/>
                        <a:lstStyle/>
                        <a:p>
                          <a:r>
                            <a:rPr lang="en-US"/>
                            <a:t>Ny2=57</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5-9F27-4B32-95D8-8A3EF5BEA3E5}"/>
                      </c:ext>
                    </c:extLst>
                  </c:dLbl>
                  <c:dLbl>
                    <c:idx val="2"/>
                    <c:layout>
                      <c:manualLayout>
                        <c:x val="-4.4964028776978415E-3"/>
                        <c:y val="2.9629629629629086E-3"/>
                      </c:manualLayout>
                    </c:layout>
                    <c:tx>
                      <c:rich>
                        <a:bodyPr/>
                        <a:lstStyle/>
                        <a:p>
                          <a:r>
                            <a:rPr lang="en-US"/>
                            <a:t>Ny3=42</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6-9F27-4B32-95D8-8A3EF5BEA3E5}"/>
                      </c:ext>
                    </c:extLst>
                  </c:dLbl>
                  <c:dLbl>
                    <c:idx val="3"/>
                    <c:layout>
                      <c:manualLayout>
                        <c:x val="-8.9928057553956839E-4"/>
                        <c:y val="-4.4444444444444991E-3"/>
                      </c:manualLayout>
                    </c:layout>
                    <c:tx>
                      <c:rich>
                        <a:bodyPr/>
                        <a:lstStyle/>
                        <a:p>
                          <a:r>
                            <a:rPr lang="en-US"/>
                            <a:t>Ny4=26</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7-9F27-4B32-95D8-8A3EF5BEA3E5}"/>
                      </c:ext>
                    </c:extLst>
                  </c:dLbl>
                  <c:dLbl>
                    <c:idx val="4"/>
                    <c:layout>
                      <c:manualLayout>
                        <c:x val="-6.2949640287770442E-3"/>
                        <c:y val="1.0370370370370316E-2"/>
                      </c:manualLayout>
                    </c:layout>
                    <c:tx>
                      <c:rich>
                        <a:bodyPr/>
                        <a:lstStyle/>
                        <a:p>
                          <a:r>
                            <a:rPr lang="en-US"/>
                            <a:t>Ny5=55</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8-9F27-4B32-95D8-8A3EF5BEA3E5}"/>
                      </c:ext>
                    </c:extLst>
                  </c:dLbl>
                  <c:dLbl>
                    <c:idx val="5"/>
                    <c:layout>
                      <c:manualLayout>
                        <c:x val="-8.9928057553950236E-4"/>
                        <c:y val="5.9259259259259256E-3"/>
                      </c:manualLayout>
                    </c:layout>
                    <c:tx>
                      <c:rich>
                        <a:bodyPr/>
                        <a:lstStyle/>
                        <a:p>
                          <a:r>
                            <a:rPr lang="en-US"/>
                            <a:t>Ny6=98</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9-9F27-4B32-95D8-8A3EF5BEA3E5}"/>
                      </c:ext>
                    </c:extLst>
                  </c:dLbl>
                  <c:dLbl>
                    <c:idx val="6"/>
                    <c:layout>
                      <c:manualLayout>
                        <c:x val="-2.0683453237410138E-2"/>
                        <c:y val="-1.6296296296296295E-2"/>
                      </c:manualLayout>
                    </c:layout>
                    <c:tx>
                      <c:rich>
                        <a:bodyPr/>
                        <a:lstStyle/>
                        <a:p>
                          <a:r>
                            <a:rPr lang="en-US"/>
                            <a:t>Ny7=210</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4A-9F27-4B32-95D8-8A3EF5BEA3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c:ex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c:ext uri="{02D57815-91ED-43cb-92C2-25804820EDAC}">
                        <c15:formulaRef>
                          <c15:sqref>'US Child Data'!$Q$3:$Q$17</c15:sqref>
                        </c15:formulaRef>
                      </c:ext>
                    </c:extLst>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B-9F27-4B32-95D8-8A3EF5BEA3E5}"/>
                  </c:ext>
                </c:extLst>
              </c15:ser>
            </c15:filteredScatterSeries>
            <c15:filteredScatterSeries>
              <c15:ser>
                <c:idx val="28"/>
                <c:order val="28"/>
                <c:tx>
                  <c:strRef>
                    <c:extLst xmlns:c15="http://schemas.microsoft.com/office/drawing/2012/chart">
                      <c:ext xmlns:c15="http://schemas.microsoft.com/office/drawing/2012/chart" uri="{02D57815-91ED-43cb-92C2-25804820EDAC}">
                        <c15:formulaRef>
                          <c15:sqref>'US Child Data'!$Y$1</c15:sqref>
                        </c15:formulaRef>
                      </c:ext>
                    </c:extLst>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Data'!$Y$3:$Y$17</c15:sqref>
                        </c15:formulaRef>
                      </c:ext>
                    </c:extLst>
                    <c:numCache>
                      <c:formatCode>0.0</c:formatCode>
                      <c:ptCount val="15"/>
                      <c:pt idx="0">
                        <c:v>19.812000000000001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4C-9F27-4B32-95D8-8A3EF5BEA3E5}"/>
                  </c:ext>
                </c:extLst>
              </c15:ser>
            </c15:filteredScatterSeries>
            <c15:filteredScatterSeries>
              <c15:ser>
                <c:idx val="29"/>
                <c:order val="29"/>
                <c:tx>
                  <c:strRef>
                    <c:extLst xmlns:c15="http://schemas.microsoft.com/office/drawing/2012/chart">
                      <c:ext xmlns:c15="http://schemas.microsoft.com/office/drawing/2012/chart" uri="{02D57815-91ED-43cb-92C2-25804820EDAC}">
                        <c15:formulaRef>
                          <c15:sqref>'US Child Data'!$U$1</c15:sqref>
                        </c15:formulaRef>
                      </c:ext>
                    </c:extLst>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Data'!$U$3:$U$17</c15:sqref>
                        </c15:formulaRef>
                      </c:ext>
                    </c:extLst>
                    <c:numCache>
                      <c:formatCode>0.0</c:formatCode>
                      <c:ptCount val="15"/>
                      <c:pt idx="0">
                        <c:v>17.526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4D-9F27-4B32-95D8-8A3EF5BEA3E5}"/>
                  </c:ext>
                </c:extLst>
              </c15:ser>
            </c15:filteredScatterSeries>
          </c:ext>
        </c:extLst>
      </c:scatterChart>
      <c:valAx>
        <c:axId val="403575200"/>
        <c:scaling>
          <c:orientation val="minMax"/>
          <c:max val="160"/>
          <c:min val="4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Ax,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3576376"/>
        <c:crosses val="autoZero"/>
        <c:crossBetween val="midCat"/>
        <c:majorUnit val="5"/>
      </c:valAx>
      <c:valAx>
        <c:axId val="40357637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By, Cy, Dy, Ey1, Ey2,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3575200"/>
        <c:crosses val="autoZero"/>
        <c:crossBetween val="midCat"/>
        <c:majorUnit val="5"/>
      </c:valAx>
      <c:spPr>
        <a:noFill/>
        <a:ln w="50800">
          <a:noFill/>
        </a:ln>
        <a:effectLst/>
      </c:spPr>
    </c:plotArea>
    <c:legend>
      <c:legendPos val="b"/>
      <c:layout>
        <c:manualLayout>
          <c:xMode val="edge"/>
          <c:yMode val="edge"/>
          <c:x val="3.4794638438316157E-2"/>
          <c:y val="0.77375192519926084"/>
          <c:w val="0.78484889253951173"/>
          <c:h val="0.1726937284861263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1135495073538504E-2"/>
          <c:y val="1.1328529128754207E-2"/>
          <c:w val="0.93651285408653562"/>
          <c:h val="0.97734294174249159"/>
        </c:manualLayout>
      </c:layout>
      <c:scatterChart>
        <c:scatterStyle val="smoothMarker"/>
        <c:varyColors val="0"/>
        <c:ser>
          <c:idx val="9"/>
          <c:order val="0"/>
          <c:tx>
            <c:v>US ATD CAMI-Newborn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1.3229556551210884E-2"/>
                  <c:y val="2.8200389284564208E-2"/>
                </c:manualLayout>
              </c:layout>
              <c:numFmt formatCode="#&quot;&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0821958620489198"/>
                      <c:h val="2.7540579064904411E-2"/>
                    </c:manualLayout>
                  </c15:layout>
                </c:ext>
                <c:ext xmlns:c16="http://schemas.microsoft.com/office/drawing/2014/chart" uri="{C3380CC4-5D6E-409C-BE32-E72D297353CC}">
                  <c16:uniqueId val="{00000000-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Solution!$AN$26:$AN$29</c:f>
              <c:numCache>
                <c:formatCode>0.0</c:formatCode>
                <c:ptCount val="4"/>
                <c:pt idx="0">
                  <c:v>-6</c:v>
                </c:pt>
                <c:pt idx="1">
                  <c:v>-5.5200000000000005</c:v>
                </c:pt>
                <c:pt idx="2">
                  <c:v>-2.5760000000000005</c:v>
                </c:pt>
                <c:pt idx="3">
                  <c:v>0</c:v>
                </c:pt>
              </c:numCache>
            </c:numRef>
          </c:xVal>
          <c:yVal>
            <c:numRef>
              <c:f>Solution!$AO$26:$AO$29</c:f>
              <c:numCache>
                <c:formatCode>0.0</c:formatCode>
                <c:ptCount val="4"/>
                <c:pt idx="0">
                  <c:v>-2</c:v>
                </c:pt>
                <c:pt idx="1">
                  <c:v>-5.2200000000000006</c:v>
                </c:pt>
                <c:pt idx="2">
                  <c:v>-8.4400000000000013</c:v>
                </c:pt>
                <c:pt idx="3">
                  <c:v>-9</c:v>
                </c:pt>
              </c:numCache>
            </c:numRef>
          </c:yVal>
          <c:smooth val="1"/>
          <c:extLst>
            <c:ext xmlns:c16="http://schemas.microsoft.com/office/drawing/2014/chart" uri="{C3380CC4-5D6E-409C-BE32-E72D297353CC}">
              <c16:uniqueId val="{00000001-BD2D-4991-9D42-84343DE074F2}"/>
            </c:ext>
          </c:extLst>
        </c:ser>
        <c:ser>
          <c:idx val="10"/>
          <c:order val="1"/>
          <c:tx>
            <c:v>US ATD CAMI-6mo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4.5039450456342993E-2"/>
                  <c:y val="2.637301043214000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prstDash val="sysDash"/>
                      <a:round/>
                    </a:ln>
                    <a:effectLst/>
                  </c:spPr>
                </c15:leaderLines>
              </c:ext>
            </c:extLst>
          </c:dLbls>
          <c:xVal>
            <c:numRef>
              <c:f>Solution!$AN$33:$AN$36</c:f>
              <c:numCache>
                <c:formatCode>0.0</c:formatCode>
                <c:ptCount val="4"/>
                <c:pt idx="0">
                  <c:v>-7.5</c:v>
                </c:pt>
                <c:pt idx="1">
                  <c:v>-6.9</c:v>
                </c:pt>
                <c:pt idx="2">
                  <c:v>-4.0480000000000009</c:v>
                </c:pt>
                <c:pt idx="3">
                  <c:v>0</c:v>
                </c:pt>
              </c:numCache>
            </c:numRef>
          </c:xVal>
          <c:yVal>
            <c:numRef>
              <c:f>Solution!$AO$33:$AO$36</c:f>
              <c:numCache>
                <c:formatCode>0.0</c:formatCode>
                <c:ptCount val="4"/>
                <c:pt idx="0">
                  <c:v>-2</c:v>
                </c:pt>
                <c:pt idx="1">
                  <c:v>-7.0600000000000005</c:v>
                </c:pt>
                <c:pt idx="2">
                  <c:v>-12.120000000000001</c:v>
                </c:pt>
                <c:pt idx="3">
                  <c:v>-13</c:v>
                </c:pt>
              </c:numCache>
            </c:numRef>
          </c:yVal>
          <c:smooth val="1"/>
          <c:extLst>
            <c:ext xmlns:c16="http://schemas.microsoft.com/office/drawing/2014/chart" uri="{C3380CC4-5D6E-409C-BE32-E72D297353CC}">
              <c16:uniqueId val="{00000003-BD2D-4991-9D42-84343DE074F2}"/>
            </c:ext>
          </c:extLst>
        </c:ser>
        <c:ser>
          <c:idx val="11"/>
          <c:order val="2"/>
          <c:tx>
            <c:v>EU ATD Q0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8138747884940772E-2"/>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Solution!$AN$42:$AN$45</c:f>
              <c:numCache>
                <c:formatCode>0.0</c:formatCode>
                <c:ptCount val="4"/>
                <c:pt idx="0">
                  <c:v>0</c:v>
                </c:pt>
                <c:pt idx="1">
                  <c:v>0</c:v>
                </c:pt>
                <c:pt idx="2">
                  <c:v>0</c:v>
                </c:pt>
                <c:pt idx="3">
                  <c:v>0</c:v>
                </c:pt>
              </c:numCache>
            </c:numRef>
          </c:xVal>
          <c:yVal>
            <c:numRef>
              <c:f>Solution!$AO$42:$AO$45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5-BD2D-4991-9D42-84343DE074F2}"/>
            </c:ext>
          </c:extLst>
        </c:ser>
        <c:ser>
          <c:idx val="12"/>
          <c:order val="3"/>
          <c:tx>
            <c:v>EU ATD Q1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9678510998307953E-2"/>
                  <c:y val="1.21268656716417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BD2D-4991-9D42-84343DE074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Solution!$AN$49:$AN$52</c:f>
              <c:numCache>
                <c:formatCode>0.0</c:formatCode>
                <c:ptCount val="4"/>
                <c:pt idx="0">
                  <c:v>0</c:v>
                </c:pt>
                <c:pt idx="1">
                  <c:v>0</c:v>
                </c:pt>
                <c:pt idx="2">
                  <c:v>0</c:v>
                </c:pt>
                <c:pt idx="3">
                  <c:v>0</c:v>
                </c:pt>
              </c:numCache>
            </c:numRef>
          </c:xVal>
          <c:yVal>
            <c:numRef>
              <c:f>Solution!$AO$49:$AO$52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7-BD2D-4991-9D42-84343DE074F2}"/>
            </c:ext>
          </c:extLst>
        </c:ser>
        <c:ser>
          <c:idx val="13"/>
          <c:order val="4"/>
          <c:tx>
            <c:v>US ATD CRABI 12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30148879863007882"/>
                  <c:y val="2.104576352745567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Solution!$AN$54:$AN$57</c:f>
              <c:numCache>
                <c:formatCode>0.0</c:formatCode>
                <c:ptCount val="4"/>
                <c:pt idx="0">
                  <c:v>-8.5</c:v>
                </c:pt>
                <c:pt idx="1">
                  <c:v>-7.82</c:v>
                </c:pt>
                <c:pt idx="2">
                  <c:v>-4.1915200000000006</c:v>
                </c:pt>
                <c:pt idx="3">
                  <c:v>0</c:v>
                </c:pt>
              </c:numCache>
            </c:numRef>
          </c:xVal>
          <c:yVal>
            <c:numRef>
              <c:f>Solution!$AO$54:$AO$57</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9-BD2D-4991-9D42-84343DE074F2}"/>
            </c:ext>
          </c:extLst>
        </c:ser>
        <c:ser>
          <c:idx val="14"/>
          <c:order val="5"/>
          <c:tx>
            <c:v>EU ATD Q1.5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9830795262267222E-2"/>
                  <c:y val="-2.33208955223881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Solution!$AN$63:$AN$66</c:f>
              <c:numCache>
                <c:formatCode>0.0</c:formatCode>
                <c:ptCount val="4"/>
                <c:pt idx="0">
                  <c:v>0</c:v>
                </c:pt>
                <c:pt idx="1">
                  <c:v>0</c:v>
                </c:pt>
                <c:pt idx="2">
                  <c:v>0</c:v>
                </c:pt>
                <c:pt idx="3">
                  <c:v>0</c:v>
                </c:pt>
              </c:numCache>
            </c:numRef>
          </c:xVal>
          <c:yVal>
            <c:numRef>
              <c:f>Solution!$AO$63:$AO$66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B-BD2D-4991-9D42-84343DE074F2}"/>
            </c:ext>
          </c:extLst>
        </c:ser>
        <c:ser>
          <c:idx val="15"/>
          <c:order val="6"/>
          <c:tx>
            <c:v>US ATD CRABI 18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25920962675843545"/>
                  <c:y val="-8.8020901152094828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Solution!$AN$68:$AN$71</c:f>
              <c:numCache>
                <c:formatCode>0.0</c:formatCode>
                <c:ptCount val="4"/>
                <c:pt idx="0">
                  <c:v>-8.5</c:v>
                </c:pt>
                <c:pt idx="1">
                  <c:v>-7.82</c:v>
                </c:pt>
                <c:pt idx="2">
                  <c:v>-4.1915200000000006</c:v>
                </c:pt>
                <c:pt idx="3">
                  <c:v>0</c:v>
                </c:pt>
              </c:numCache>
            </c:numRef>
          </c:xVal>
          <c:yVal>
            <c:numRef>
              <c:f>Solution!$AO$68:$AO$71</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D-BD2D-4991-9D42-84343DE074F2}"/>
            </c:ext>
          </c:extLst>
        </c:ser>
        <c:ser>
          <c:idx val="16"/>
          <c:order val="7"/>
          <c:tx>
            <c:v>EU ATD Q3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1218274111675121E-2"/>
                  <c:y val="-9.3283582089553601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Solution!$AN$77:$AN$80</c:f>
              <c:numCache>
                <c:formatCode>0.0</c:formatCode>
                <c:ptCount val="4"/>
                <c:pt idx="0">
                  <c:v>0</c:v>
                </c:pt>
                <c:pt idx="1">
                  <c:v>0</c:v>
                </c:pt>
                <c:pt idx="2">
                  <c:v>0</c:v>
                </c:pt>
                <c:pt idx="3">
                  <c:v>0</c:v>
                </c:pt>
              </c:numCache>
            </c:numRef>
          </c:xVal>
          <c:yVal>
            <c:numRef>
              <c:f>Solution!$AO$77:$AO$80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F-BD2D-4991-9D42-84343DE074F2}"/>
            </c:ext>
          </c:extLst>
        </c:ser>
        <c:ser>
          <c:idx val="17"/>
          <c:order val="8"/>
          <c:tx>
            <c:v>US ATD HIII-3yr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4890016920473773"/>
                  <c:y val="1.8656716417909079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Solution!$AN$82:$AN$85</c:f>
              <c:numCache>
                <c:formatCode>0.0</c:formatCode>
                <c:ptCount val="4"/>
                <c:pt idx="0">
                  <c:v>0</c:v>
                </c:pt>
                <c:pt idx="1">
                  <c:v>0</c:v>
                </c:pt>
                <c:pt idx="2">
                  <c:v>0</c:v>
                </c:pt>
                <c:pt idx="3">
                  <c:v>0</c:v>
                </c:pt>
              </c:numCache>
            </c:numRef>
          </c:xVal>
          <c:yVal>
            <c:numRef>
              <c:f>Solution!$AO$82:$AO$85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1-BD2D-4991-9D42-84343DE074F2}"/>
            </c:ext>
          </c:extLst>
        </c:ser>
        <c:ser>
          <c:idx val="18"/>
          <c:order val="9"/>
          <c:tx>
            <c:v>EU ATD Q6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6.4297800338409469E-2"/>
                  <c:y val="-2.798507462686567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Solution!$AN$91:$AN$94</c:f>
              <c:numCache>
                <c:formatCode>0.0</c:formatCode>
                <c:ptCount val="4"/>
                <c:pt idx="0">
                  <c:v>0</c:v>
                </c:pt>
                <c:pt idx="1">
                  <c:v>0</c:v>
                </c:pt>
                <c:pt idx="2">
                  <c:v>0</c:v>
                </c:pt>
                <c:pt idx="3">
                  <c:v>0</c:v>
                </c:pt>
              </c:numCache>
            </c:numRef>
          </c:xVal>
          <c:yVal>
            <c:numRef>
              <c:f>Solution!$AO$91:$AO$94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3-BD2D-4991-9D42-84343DE074F2}"/>
            </c:ext>
          </c:extLst>
        </c:ser>
        <c:ser>
          <c:idx val="19"/>
          <c:order val="10"/>
          <c:tx>
            <c:v>US ATD HIII-6yr Hip</c:v>
          </c:tx>
          <c:spPr>
            <a:ln w="19050" cap="rnd">
              <a:solidFill>
                <a:srgbClr val="FF0000"/>
              </a:solidFill>
              <a:round/>
            </a:ln>
            <a:effectLst/>
          </c:spPr>
          <c:marker>
            <c:symbol val="circle"/>
            <c:size val="2"/>
            <c:spPr>
              <a:solidFill>
                <a:srgbClr val="FF0000"/>
              </a:solidFill>
              <a:ln w="9525">
                <a:solidFill>
                  <a:srgbClr val="FF0000"/>
                </a:solidFill>
              </a:ln>
              <a:effectLst/>
            </c:spPr>
          </c:marker>
          <c:xVal>
            <c:numRef>
              <c:f>Solution!$AN$96:$AN$99</c:f>
              <c:numCache>
                <c:formatCode>0.0</c:formatCode>
                <c:ptCount val="4"/>
                <c:pt idx="0">
                  <c:v>0</c:v>
                </c:pt>
                <c:pt idx="1">
                  <c:v>0</c:v>
                </c:pt>
                <c:pt idx="2">
                  <c:v>0</c:v>
                </c:pt>
                <c:pt idx="3">
                  <c:v>0</c:v>
                </c:pt>
              </c:numCache>
            </c:numRef>
          </c:xVal>
          <c:yVal>
            <c:numRef>
              <c:f>Solution!$AO$96:$AO$99</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4-BD2D-4991-9D42-84343DE074F2}"/>
            </c:ext>
          </c:extLst>
        </c:ser>
        <c:ser>
          <c:idx val="20"/>
          <c:order val="11"/>
          <c:tx>
            <c:v>US ATD HIII-6yr wtd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381993548492579"/>
                  <c:y val="3.9944681982476736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Solution!$AN$103:$AN$106</c:f>
              <c:numCache>
                <c:formatCode>0.0</c:formatCode>
                <c:ptCount val="4"/>
                <c:pt idx="0">
                  <c:v>0</c:v>
                </c:pt>
                <c:pt idx="1">
                  <c:v>0</c:v>
                </c:pt>
                <c:pt idx="2">
                  <c:v>0</c:v>
                </c:pt>
                <c:pt idx="3">
                  <c:v>0</c:v>
                </c:pt>
              </c:numCache>
            </c:numRef>
          </c:xVal>
          <c:yVal>
            <c:numRef>
              <c:f>Solution!$AO$103:$AO$106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6-BD2D-4991-9D42-84343DE074F2}"/>
            </c:ext>
          </c:extLst>
        </c:ser>
        <c:ser>
          <c:idx val="21"/>
          <c:order val="12"/>
          <c:tx>
            <c:v>US ATD HIII-10yr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550214757565868"/>
                  <c:y val="7.8941579852154339E-4"/>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Solution!$AN$110:$AN$113</c:f>
              <c:numCache>
                <c:formatCode>0.0</c:formatCode>
                <c:ptCount val="4"/>
                <c:pt idx="0">
                  <c:v>0</c:v>
                </c:pt>
                <c:pt idx="1">
                  <c:v>0</c:v>
                </c:pt>
                <c:pt idx="2">
                  <c:v>0</c:v>
                </c:pt>
                <c:pt idx="3">
                  <c:v>0</c:v>
                </c:pt>
              </c:numCache>
            </c:numRef>
          </c:xVal>
          <c:yVal>
            <c:numRef>
              <c:f>Solution!$AO$110:$AO$114</c:f>
              <c:numCache>
                <c:formatCode>0.0</c:formatCode>
                <c:ptCount val="5"/>
                <c:pt idx="0">
                  <c:v>-2</c:v>
                </c:pt>
                <c:pt idx="1">
                  <c:v>-2</c:v>
                </c:pt>
                <c:pt idx="2">
                  <c:v>-2</c:v>
                </c:pt>
                <c:pt idx="3">
                  <c:v>-2</c:v>
                </c:pt>
              </c:numCache>
            </c:numRef>
          </c:yVal>
          <c:smooth val="1"/>
          <c:extLst>
            <c:ext xmlns:c16="http://schemas.microsoft.com/office/drawing/2014/chart" uri="{C3380CC4-5D6E-409C-BE32-E72D297353CC}">
              <c16:uniqueId val="{00000018-BD2D-4991-9D42-84343DE074F2}"/>
            </c:ext>
          </c:extLst>
        </c:ser>
        <c:ser>
          <c:idx val="22"/>
          <c:order val="13"/>
          <c:tx>
            <c:v>EU ATD Q10.5 Hip</c:v>
          </c:tx>
          <c:spPr>
            <a:ln w="19050" cap="rnd">
              <a:solidFill>
                <a:schemeClr val="accent5">
                  <a:lumMod val="80000"/>
                </a:schemeClr>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Solution!$AN$119:$AN$122</c:f>
              <c:numCache>
                <c:formatCode>0.0</c:formatCode>
                <c:ptCount val="4"/>
                <c:pt idx="0">
                  <c:v>0</c:v>
                </c:pt>
                <c:pt idx="1">
                  <c:v>0</c:v>
                </c:pt>
                <c:pt idx="2">
                  <c:v>0</c:v>
                </c:pt>
                <c:pt idx="3">
                  <c:v>0</c:v>
                </c:pt>
              </c:numCache>
            </c:numRef>
          </c:xVal>
          <c:yVal>
            <c:numRef>
              <c:f>Solution!$AO$119:$AO$122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A-BD2D-4991-9D42-84343DE074F2}"/>
            </c:ext>
          </c:extLst>
        </c:ser>
        <c:ser>
          <c:idx val="23"/>
          <c:order val="14"/>
          <c:tx>
            <c:v>Row 12 Left</c:v>
          </c:tx>
          <c:spPr>
            <a:ln w="50800" cap="rnd">
              <a:solidFill>
                <a:schemeClr val="tx1"/>
              </a:solidFill>
              <a:round/>
            </a:ln>
            <a:effectLst/>
          </c:spPr>
          <c:marker>
            <c:symbol val="circle"/>
            <c:size val="5"/>
            <c:spPr>
              <a:noFill/>
              <a:ln w="9525">
                <a:noFill/>
              </a:ln>
              <a:effectLst/>
            </c:spPr>
          </c:marker>
          <c:xVal>
            <c:numRef>
              <c:f>Solution!$AU$3:$AU$4</c:f>
              <c:numCache>
                <c:formatCode>0.0</c:formatCode>
                <c:ptCount val="2"/>
                <c:pt idx="0">
                  <c:v>0</c:v>
                </c:pt>
                <c:pt idx="1">
                  <c:v>0</c:v>
                </c:pt>
              </c:numCache>
            </c:numRef>
          </c:xVal>
          <c:yVal>
            <c:numRef>
              <c:f>Solution!$AV$3:$AV$4</c:f>
              <c:numCache>
                <c:formatCode>0.0</c:formatCode>
                <c:ptCount val="2"/>
                <c:pt idx="0">
                  <c:v>0</c:v>
                </c:pt>
                <c:pt idx="1">
                  <c:v>0</c:v>
                </c:pt>
              </c:numCache>
            </c:numRef>
          </c:yVal>
          <c:smooth val="1"/>
          <c:extLst>
            <c:ext xmlns:c16="http://schemas.microsoft.com/office/drawing/2014/chart" uri="{C3380CC4-5D6E-409C-BE32-E72D297353CC}">
              <c16:uniqueId val="{0000001B-BD2D-4991-9D42-84343DE074F2}"/>
            </c:ext>
          </c:extLst>
        </c:ser>
        <c:ser>
          <c:idx val="24"/>
          <c:order val="15"/>
          <c:tx>
            <c:v>Row 12 Right</c:v>
          </c:tx>
          <c:spPr>
            <a:ln w="50800" cap="rnd">
              <a:solidFill>
                <a:schemeClr val="tx1"/>
              </a:solidFill>
              <a:round/>
            </a:ln>
            <a:effectLst/>
          </c:spPr>
          <c:marker>
            <c:symbol val="circle"/>
            <c:size val="2"/>
            <c:spPr>
              <a:noFill/>
              <a:ln w="9525">
                <a:noFill/>
              </a:ln>
              <a:effectLst/>
            </c:spPr>
          </c:marker>
          <c:xVal>
            <c:numRef>
              <c:f>Solution!$BA$3:$BA$4</c:f>
              <c:numCache>
                <c:formatCode>0.0</c:formatCode>
                <c:ptCount val="2"/>
                <c:pt idx="0">
                  <c:v>0</c:v>
                </c:pt>
                <c:pt idx="1">
                  <c:v>0</c:v>
                </c:pt>
              </c:numCache>
            </c:numRef>
          </c:xVal>
          <c:yVal>
            <c:numRef>
              <c:f>Solution!$BB$3:$BB$4</c:f>
              <c:numCache>
                <c:formatCode>0.0</c:formatCode>
                <c:ptCount val="2"/>
                <c:pt idx="0">
                  <c:v>0</c:v>
                </c:pt>
                <c:pt idx="1">
                  <c:v>0</c:v>
                </c:pt>
              </c:numCache>
            </c:numRef>
          </c:yVal>
          <c:smooth val="1"/>
          <c:extLst>
            <c:ext xmlns:c16="http://schemas.microsoft.com/office/drawing/2014/chart" uri="{C3380CC4-5D6E-409C-BE32-E72D297353CC}">
              <c16:uniqueId val="{0000001C-BD2D-4991-9D42-84343DE074F2}"/>
            </c:ext>
          </c:extLst>
        </c:ser>
        <c:ser>
          <c:idx val="25"/>
          <c:order val="16"/>
          <c:tx>
            <c:v>Row 11 Left</c:v>
          </c:tx>
          <c:spPr>
            <a:ln w="50800" cap="rnd">
              <a:solidFill>
                <a:schemeClr val="tx1"/>
              </a:solidFill>
              <a:round/>
            </a:ln>
            <a:effectLst/>
          </c:spPr>
          <c:marker>
            <c:symbol val="circle"/>
            <c:size val="5"/>
            <c:spPr>
              <a:noFill/>
              <a:ln w="9525">
                <a:noFill/>
              </a:ln>
              <a:effectLst/>
            </c:spPr>
          </c:marker>
          <c:xVal>
            <c:numRef>
              <c:f>Solution!$AU$5:$AU$6</c:f>
              <c:numCache>
                <c:formatCode>0.0</c:formatCode>
                <c:ptCount val="2"/>
                <c:pt idx="0">
                  <c:v>0</c:v>
                </c:pt>
                <c:pt idx="1">
                  <c:v>0</c:v>
                </c:pt>
              </c:numCache>
            </c:numRef>
          </c:xVal>
          <c:yVal>
            <c:numRef>
              <c:f>Solution!$AV$5:$AV$6</c:f>
              <c:numCache>
                <c:formatCode>0.0</c:formatCode>
                <c:ptCount val="2"/>
                <c:pt idx="0">
                  <c:v>0</c:v>
                </c:pt>
                <c:pt idx="1">
                  <c:v>0</c:v>
                </c:pt>
              </c:numCache>
            </c:numRef>
          </c:yVal>
          <c:smooth val="1"/>
          <c:extLst>
            <c:ext xmlns:c16="http://schemas.microsoft.com/office/drawing/2014/chart" uri="{C3380CC4-5D6E-409C-BE32-E72D297353CC}">
              <c16:uniqueId val="{0000001D-BD2D-4991-9D42-84343DE074F2}"/>
            </c:ext>
          </c:extLst>
        </c:ser>
        <c:ser>
          <c:idx val="26"/>
          <c:order val="17"/>
          <c:tx>
            <c:v>Row 11 Right</c:v>
          </c:tx>
          <c:spPr>
            <a:ln w="50800" cap="rnd">
              <a:solidFill>
                <a:schemeClr val="tx1"/>
              </a:solidFill>
              <a:round/>
            </a:ln>
            <a:effectLst/>
          </c:spPr>
          <c:marker>
            <c:symbol val="circle"/>
            <c:size val="5"/>
            <c:spPr>
              <a:noFill/>
              <a:ln w="9525">
                <a:noFill/>
              </a:ln>
              <a:effectLst/>
            </c:spPr>
          </c:marker>
          <c:xVal>
            <c:numRef>
              <c:f>Solution!$BA$5:$BA$6</c:f>
              <c:numCache>
                <c:formatCode>0.0</c:formatCode>
                <c:ptCount val="2"/>
                <c:pt idx="0">
                  <c:v>0</c:v>
                </c:pt>
                <c:pt idx="1">
                  <c:v>0</c:v>
                </c:pt>
              </c:numCache>
            </c:numRef>
          </c:xVal>
          <c:yVal>
            <c:numRef>
              <c:f>Solution!$BB$5:$BB$6</c:f>
              <c:numCache>
                <c:formatCode>0.0</c:formatCode>
                <c:ptCount val="2"/>
                <c:pt idx="0">
                  <c:v>0</c:v>
                </c:pt>
                <c:pt idx="1">
                  <c:v>0</c:v>
                </c:pt>
              </c:numCache>
            </c:numRef>
          </c:yVal>
          <c:smooth val="1"/>
          <c:extLst>
            <c:ext xmlns:c16="http://schemas.microsoft.com/office/drawing/2014/chart" uri="{C3380CC4-5D6E-409C-BE32-E72D297353CC}">
              <c16:uniqueId val="{0000001E-BD2D-4991-9D42-84343DE074F2}"/>
            </c:ext>
          </c:extLst>
        </c:ser>
        <c:ser>
          <c:idx val="27"/>
          <c:order val="18"/>
          <c:tx>
            <c:v>Row 10 Left</c:v>
          </c:tx>
          <c:spPr>
            <a:ln w="50800" cap="rnd">
              <a:solidFill>
                <a:schemeClr val="tx1"/>
              </a:solidFill>
              <a:round/>
            </a:ln>
            <a:effectLst/>
          </c:spPr>
          <c:marker>
            <c:symbol val="circle"/>
            <c:size val="5"/>
            <c:spPr>
              <a:noFill/>
              <a:ln w="9525">
                <a:noFill/>
              </a:ln>
              <a:effectLst/>
            </c:spPr>
          </c:marker>
          <c:xVal>
            <c:numRef>
              <c:f>Solution!$AU$7:$AU$8</c:f>
              <c:numCache>
                <c:formatCode>0.0</c:formatCode>
                <c:ptCount val="2"/>
                <c:pt idx="0">
                  <c:v>0</c:v>
                </c:pt>
                <c:pt idx="1">
                  <c:v>0</c:v>
                </c:pt>
              </c:numCache>
            </c:numRef>
          </c:xVal>
          <c:yVal>
            <c:numRef>
              <c:f>Solution!$AV$7:$AV$8</c:f>
              <c:numCache>
                <c:formatCode>0.0</c:formatCode>
                <c:ptCount val="2"/>
                <c:pt idx="0">
                  <c:v>0</c:v>
                </c:pt>
                <c:pt idx="1">
                  <c:v>0</c:v>
                </c:pt>
              </c:numCache>
            </c:numRef>
          </c:yVal>
          <c:smooth val="1"/>
          <c:extLst>
            <c:ext xmlns:c16="http://schemas.microsoft.com/office/drawing/2014/chart" uri="{C3380CC4-5D6E-409C-BE32-E72D297353CC}">
              <c16:uniqueId val="{0000001F-BD2D-4991-9D42-84343DE074F2}"/>
            </c:ext>
          </c:extLst>
        </c:ser>
        <c:ser>
          <c:idx val="28"/>
          <c:order val="19"/>
          <c:tx>
            <c:v>Row 10 Right</c:v>
          </c:tx>
          <c:spPr>
            <a:ln w="50800" cap="rnd">
              <a:solidFill>
                <a:schemeClr val="tx1"/>
              </a:solidFill>
              <a:round/>
            </a:ln>
            <a:effectLst/>
          </c:spPr>
          <c:marker>
            <c:symbol val="circle"/>
            <c:size val="5"/>
            <c:spPr>
              <a:noFill/>
              <a:ln w="9525">
                <a:noFill/>
              </a:ln>
              <a:effectLst/>
            </c:spPr>
          </c:marker>
          <c:xVal>
            <c:numRef>
              <c:f>Solution!$BA$7:$BA$8</c:f>
              <c:numCache>
                <c:formatCode>0.0</c:formatCode>
                <c:ptCount val="2"/>
                <c:pt idx="0">
                  <c:v>0</c:v>
                </c:pt>
                <c:pt idx="1">
                  <c:v>0</c:v>
                </c:pt>
              </c:numCache>
            </c:numRef>
          </c:xVal>
          <c:yVal>
            <c:numRef>
              <c:f>Solution!$BB$7:$BB$8</c:f>
              <c:numCache>
                <c:formatCode>0.0</c:formatCode>
                <c:ptCount val="2"/>
                <c:pt idx="0">
                  <c:v>0</c:v>
                </c:pt>
                <c:pt idx="1">
                  <c:v>0</c:v>
                </c:pt>
              </c:numCache>
            </c:numRef>
          </c:yVal>
          <c:smooth val="1"/>
          <c:extLst>
            <c:ext xmlns:c16="http://schemas.microsoft.com/office/drawing/2014/chart" uri="{C3380CC4-5D6E-409C-BE32-E72D297353CC}">
              <c16:uniqueId val="{00000020-BD2D-4991-9D42-84343DE074F2}"/>
            </c:ext>
          </c:extLst>
        </c:ser>
        <c:ser>
          <c:idx val="29"/>
          <c:order val="20"/>
          <c:tx>
            <c:v>Row 9 Left</c:v>
          </c:tx>
          <c:spPr>
            <a:ln w="50800" cap="rnd">
              <a:solidFill>
                <a:schemeClr val="tx1"/>
              </a:solidFill>
              <a:round/>
            </a:ln>
            <a:effectLst/>
          </c:spPr>
          <c:marker>
            <c:symbol val="circle"/>
            <c:size val="5"/>
            <c:spPr>
              <a:noFill/>
              <a:ln w="9525">
                <a:noFill/>
              </a:ln>
              <a:effectLst/>
            </c:spPr>
          </c:marker>
          <c:xVal>
            <c:numRef>
              <c:f>Solution!$AU$9:$AU$10</c:f>
              <c:numCache>
                <c:formatCode>0.0</c:formatCode>
                <c:ptCount val="2"/>
                <c:pt idx="0">
                  <c:v>0</c:v>
                </c:pt>
                <c:pt idx="1">
                  <c:v>0</c:v>
                </c:pt>
              </c:numCache>
            </c:numRef>
          </c:xVal>
          <c:yVal>
            <c:numRef>
              <c:f>Solution!$AV$9:$AV$10</c:f>
              <c:numCache>
                <c:formatCode>0.0</c:formatCode>
                <c:ptCount val="2"/>
                <c:pt idx="0">
                  <c:v>0</c:v>
                </c:pt>
                <c:pt idx="1">
                  <c:v>0</c:v>
                </c:pt>
              </c:numCache>
            </c:numRef>
          </c:yVal>
          <c:smooth val="1"/>
          <c:extLst>
            <c:ext xmlns:c16="http://schemas.microsoft.com/office/drawing/2014/chart" uri="{C3380CC4-5D6E-409C-BE32-E72D297353CC}">
              <c16:uniqueId val="{00000021-BD2D-4991-9D42-84343DE074F2}"/>
            </c:ext>
          </c:extLst>
        </c:ser>
        <c:ser>
          <c:idx val="30"/>
          <c:order val="21"/>
          <c:tx>
            <c:v>Row 9 Right</c:v>
          </c:tx>
          <c:spPr>
            <a:ln w="50800" cap="rnd">
              <a:solidFill>
                <a:schemeClr val="tx1"/>
              </a:solidFill>
              <a:round/>
            </a:ln>
            <a:effectLst/>
          </c:spPr>
          <c:marker>
            <c:symbol val="circle"/>
            <c:size val="5"/>
            <c:spPr>
              <a:noFill/>
              <a:ln w="9525">
                <a:noFill/>
              </a:ln>
              <a:effectLst/>
            </c:spPr>
          </c:marker>
          <c:xVal>
            <c:numRef>
              <c:f>Solution!$BA$9:$BA$10</c:f>
              <c:numCache>
                <c:formatCode>0.0</c:formatCode>
                <c:ptCount val="2"/>
                <c:pt idx="0">
                  <c:v>0</c:v>
                </c:pt>
                <c:pt idx="1">
                  <c:v>0</c:v>
                </c:pt>
              </c:numCache>
            </c:numRef>
          </c:xVal>
          <c:yVal>
            <c:numRef>
              <c:f>Solution!$BB$9:$BB$10</c:f>
              <c:numCache>
                <c:formatCode>0.0</c:formatCode>
                <c:ptCount val="2"/>
                <c:pt idx="0">
                  <c:v>0</c:v>
                </c:pt>
                <c:pt idx="1">
                  <c:v>0</c:v>
                </c:pt>
              </c:numCache>
            </c:numRef>
          </c:yVal>
          <c:smooth val="1"/>
          <c:extLst>
            <c:ext xmlns:c16="http://schemas.microsoft.com/office/drawing/2014/chart" uri="{C3380CC4-5D6E-409C-BE32-E72D297353CC}">
              <c16:uniqueId val="{00000022-BD2D-4991-9D42-84343DE074F2}"/>
            </c:ext>
          </c:extLst>
        </c:ser>
        <c:ser>
          <c:idx val="31"/>
          <c:order val="22"/>
          <c:tx>
            <c:v>Row 8 Left</c:v>
          </c:tx>
          <c:spPr>
            <a:ln w="50800" cap="rnd">
              <a:solidFill>
                <a:schemeClr val="tx1"/>
              </a:solidFill>
              <a:round/>
            </a:ln>
            <a:effectLst/>
          </c:spPr>
          <c:marker>
            <c:symbol val="circle"/>
            <c:size val="5"/>
            <c:spPr>
              <a:noFill/>
              <a:ln w="9525">
                <a:noFill/>
              </a:ln>
              <a:effectLst/>
            </c:spPr>
          </c:marker>
          <c:xVal>
            <c:numRef>
              <c:f>Solution!$AU$11:$AU$12</c:f>
              <c:numCache>
                <c:formatCode>0.0</c:formatCode>
                <c:ptCount val="2"/>
                <c:pt idx="0">
                  <c:v>0</c:v>
                </c:pt>
                <c:pt idx="1">
                  <c:v>0</c:v>
                </c:pt>
              </c:numCache>
            </c:numRef>
          </c:xVal>
          <c:yVal>
            <c:numRef>
              <c:f>Solution!$AV$11:$AV$12</c:f>
              <c:numCache>
                <c:formatCode>0.0</c:formatCode>
                <c:ptCount val="2"/>
                <c:pt idx="0">
                  <c:v>0</c:v>
                </c:pt>
                <c:pt idx="1">
                  <c:v>0</c:v>
                </c:pt>
              </c:numCache>
            </c:numRef>
          </c:yVal>
          <c:smooth val="1"/>
          <c:extLst>
            <c:ext xmlns:c16="http://schemas.microsoft.com/office/drawing/2014/chart" uri="{C3380CC4-5D6E-409C-BE32-E72D297353CC}">
              <c16:uniqueId val="{00000023-BD2D-4991-9D42-84343DE074F2}"/>
            </c:ext>
          </c:extLst>
        </c:ser>
        <c:ser>
          <c:idx val="32"/>
          <c:order val="23"/>
          <c:tx>
            <c:v>Row 8 Right</c:v>
          </c:tx>
          <c:spPr>
            <a:ln w="50800" cap="rnd">
              <a:solidFill>
                <a:schemeClr val="tx1"/>
              </a:solidFill>
              <a:round/>
            </a:ln>
            <a:effectLst/>
          </c:spPr>
          <c:marker>
            <c:symbol val="circle"/>
            <c:size val="5"/>
            <c:spPr>
              <a:noFill/>
              <a:ln w="9525">
                <a:noFill/>
              </a:ln>
              <a:effectLst/>
            </c:spPr>
          </c:marker>
          <c:xVal>
            <c:numRef>
              <c:f>Solution!$BA$11:$BA$12</c:f>
              <c:numCache>
                <c:formatCode>0.0</c:formatCode>
                <c:ptCount val="2"/>
                <c:pt idx="0">
                  <c:v>0</c:v>
                </c:pt>
                <c:pt idx="1">
                  <c:v>0</c:v>
                </c:pt>
              </c:numCache>
            </c:numRef>
          </c:xVal>
          <c:yVal>
            <c:numRef>
              <c:f>Solution!$BB$11:$BB$12</c:f>
              <c:numCache>
                <c:formatCode>0.0</c:formatCode>
                <c:ptCount val="2"/>
                <c:pt idx="0">
                  <c:v>0</c:v>
                </c:pt>
                <c:pt idx="1">
                  <c:v>0</c:v>
                </c:pt>
              </c:numCache>
            </c:numRef>
          </c:yVal>
          <c:smooth val="1"/>
          <c:extLst>
            <c:ext xmlns:c16="http://schemas.microsoft.com/office/drawing/2014/chart" uri="{C3380CC4-5D6E-409C-BE32-E72D297353CC}">
              <c16:uniqueId val="{00000024-BD2D-4991-9D42-84343DE074F2}"/>
            </c:ext>
          </c:extLst>
        </c:ser>
        <c:ser>
          <c:idx val="33"/>
          <c:order val="24"/>
          <c:tx>
            <c:v>Row 7 Left</c:v>
          </c:tx>
          <c:spPr>
            <a:ln w="50800" cap="rnd">
              <a:solidFill>
                <a:schemeClr val="tx1"/>
              </a:solidFill>
              <a:round/>
            </a:ln>
            <a:effectLst/>
          </c:spPr>
          <c:marker>
            <c:symbol val="circle"/>
            <c:size val="5"/>
            <c:spPr>
              <a:noFill/>
              <a:ln w="9525">
                <a:noFill/>
              </a:ln>
              <a:effectLst/>
            </c:spPr>
          </c:marker>
          <c:xVal>
            <c:numRef>
              <c:f>Solution!$AU$13:$AU$14</c:f>
              <c:numCache>
                <c:formatCode>0.0</c:formatCode>
                <c:ptCount val="2"/>
                <c:pt idx="0">
                  <c:v>0</c:v>
                </c:pt>
                <c:pt idx="1">
                  <c:v>0</c:v>
                </c:pt>
              </c:numCache>
            </c:numRef>
          </c:xVal>
          <c:yVal>
            <c:numRef>
              <c:f>Solution!$AV$13:$AV$14</c:f>
              <c:numCache>
                <c:formatCode>0.0</c:formatCode>
                <c:ptCount val="2"/>
                <c:pt idx="0">
                  <c:v>0</c:v>
                </c:pt>
                <c:pt idx="1">
                  <c:v>0</c:v>
                </c:pt>
              </c:numCache>
            </c:numRef>
          </c:yVal>
          <c:smooth val="1"/>
          <c:extLst>
            <c:ext xmlns:c16="http://schemas.microsoft.com/office/drawing/2014/chart" uri="{C3380CC4-5D6E-409C-BE32-E72D297353CC}">
              <c16:uniqueId val="{00000025-BD2D-4991-9D42-84343DE074F2}"/>
            </c:ext>
          </c:extLst>
        </c:ser>
        <c:ser>
          <c:idx val="34"/>
          <c:order val="25"/>
          <c:tx>
            <c:v>Row 7 Right</c:v>
          </c:tx>
          <c:spPr>
            <a:ln w="50800" cap="rnd">
              <a:solidFill>
                <a:schemeClr val="tx1"/>
              </a:solidFill>
              <a:round/>
            </a:ln>
            <a:effectLst/>
          </c:spPr>
          <c:marker>
            <c:symbol val="circle"/>
            <c:size val="5"/>
            <c:spPr>
              <a:noFill/>
              <a:ln w="9525">
                <a:noFill/>
              </a:ln>
              <a:effectLst/>
            </c:spPr>
          </c:marker>
          <c:xVal>
            <c:numRef>
              <c:f>Solution!$BA$13:$BA$14</c:f>
              <c:numCache>
                <c:formatCode>0.0</c:formatCode>
                <c:ptCount val="2"/>
                <c:pt idx="0">
                  <c:v>0</c:v>
                </c:pt>
                <c:pt idx="1">
                  <c:v>0</c:v>
                </c:pt>
              </c:numCache>
            </c:numRef>
          </c:xVal>
          <c:yVal>
            <c:numRef>
              <c:f>Solution!$BB$13:$BB$14</c:f>
              <c:numCache>
                <c:formatCode>0.0</c:formatCode>
                <c:ptCount val="2"/>
                <c:pt idx="0">
                  <c:v>0</c:v>
                </c:pt>
                <c:pt idx="1">
                  <c:v>0</c:v>
                </c:pt>
              </c:numCache>
            </c:numRef>
          </c:yVal>
          <c:smooth val="1"/>
          <c:extLst>
            <c:ext xmlns:c16="http://schemas.microsoft.com/office/drawing/2014/chart" uri="{C3380CC4-5D6E-409C-BE32-E72D297353CC}">
              <c16:uniqueId val="{00000026-BD2D-4991-9D42-84343DE074F2}"/>
            </c:ext>
          </c:extLst>
        </c:ser>
        <c:ser>
          <c:idx val="35"/>
          <c:order val="26"/>
          <c:tx>
            <c:v>Row 6 Left</c:v>
          </c:tx>
          <c:spPr>
            <a:ln w="25400" cap="rnd">
              <a:gradFill>
                <a:gsLst>
                  <a:gs pos="0">
                    <a:srgbClr val="FF0000"/>
                  </a:gs>
                  <a:gs pos="56000">
                    <a:srgbClr val="0070C0"/>
                  </a:gs>
                  <a:gs pos="100000">
                    <a:schemeClr val="accent1">
                      <a:lumMod val="30000"/>
                      <a:lumOff val="70000"/>
                    </a:schemeClr>
                  </a:gs>
                </a:gsLst>
                <a:lin ang="5400000" scaled="1"/>
              </a:gradFill>
              <a:round/>
            </a:ln>
            <a:effectLst/>
          </c:spPr>
          <c:marker>
            <c:symbol val="circle"/>
            <c:size val="5"/>
            <c:spPr>
              <a:noFill/>
              <a:ln w="9525">
                <a:noFill/>
              </a:ln>
              <a:effectLst/>
            </c:spPr>
          </c:marker>
          <c:dPt>
            <c:idx val="1"/>
            <c:bubble3D val="0"/>
            <c:spPr>
              <a:ln w="50800" cap="rnd">
                <a:solidFill>
                  <a:schemeClr val="tx1"/>
                </a:solidFill>
                <a:round/>
              </a:ln>
              <a:effectLst/>
            </c:spPr>
            <c:extLst>
              <c:ext xmlns:c16="http://schemas.microsoft.com/office/drawing/2014/chart" uri="{C3380CC4-5D6E-409C-BE32-E72D297353CC}">
                <c16:uniqueId val="{00000028-BD2D-4991-9D42-84343DE074F2}"/>
              </c:ext>
            </c:extLst>
          </c:dPt>
          <c:xVal>
            <c:numRef>
              <c:f>Solution!$AX$3:$AX$4</c:f>
              <c:numCache>
                <c:formatCode>0.0</c:formatCode>
                <c:ptCount val="2"/>
                <c:pt idx="0">
                  <c:v>0</c:v>
                </c:pt>
                <c:pt idx="1">
                  <c:v>0</c:v>
                </c:pt>
              </c:numCache>
            </c:numRef>
          </c:xVal>
          <c:yVal>
            <c:numRef>
              <c:f>Solution!$AY$3:$AY$4</c:f>
              <c:numCache>
                <c:formatCode>0.0</c:formatCode>
                <c:ptCount val="2"/>
                <c:pt idx="0">
                  <c:v>0</c:v>
                </c:pt>
                <c:pt idx="1">
                  <c:v>0</c:v>
                </c:pt>
              </c:numCache>
            </c:numRef>
          </c:yVal>
          <c:smooth val="1"/>
          <c:extLst>
            <c:ext xmlns:c16="http://schemas.microsoft.com/office/drawing/2014/chart" uri="{C3380CC4-5D6E-409C-BE32-E72D297353CC}">
              <c16:uniqueId val="{00000029-BD2D-4991-9D42-84343DE074F2}"/>
            </c:ext>
          </c:extLst>
        </c:ser>
        <c:ser>
          <c:idx val="36"/>
          <c:order val="27"/>
          <c:tx>
            <c:v>Row 6 Right</c:v>
          </c:tx>
          <c:spPr>
            <a:ln w="50800" cap="rnd">
              <a:solidFill>
                <a:schemeClr val="tx1"/>
              </a:solidFill>
              <a:round/>
            </a:ln>
            <a:effectLst/>
          </c:spPr>
          <c:marker>
            <c:symbol val="circle"/>
            <c:size val="5"/>
            <c:spPr>
              <a:noFill/>
              <a:ln w="9525">
                <a:noFill/>
              </a:ln>
              <a:effectLst/>
            </c:spPr>
          </c:marker>
          <c:xVal>
            <c:numRef>
              <c:f>Solution!$BD$3:$BD$4</c:f>
              <c:numCache>
                <c:formatCode>0.0</c:formatCode>
                <c:ptCount val="2"/>
                <c:pt idx="0">
                  <c:v>0</c:v>
                </c:pt>
                <c:pt idx="1">
                  <c:v>0</c:v>
                </c:pt>
              </c:numCache>
            </c:numRef>
          </c:xVal>
          <c:yVal>
            <c:numRef>
              <c:f>Solution!$BE$3:$BE$4</c:f>
              <c:numCache>
                <c:formatCode>0.0</c:formatCode>
                <c:ptCount val="2"/>
                <c:pt idx="0">
                  <c:v>0</c:v>
                </c:pt>
                <c:pt idx="1">
                  <c:v>0</c:v>
                </c:pt>
              </c:numCache>
            </c:numRef>
          </c:yVal>
          <c:smooth val="1"/>
          <c:extLst>
            <c:ext xmlns:c16="http://schemas.microsoft.com/office/drawing/2014/chart" uri="{C3380CC4-5D6E-409C-BE32-E72D297353CC}">
              <c16:uniqueId val="{0000002A-BD2D-4991-9D42-84343DE074F2}"/>
            </c:ext>
          </c:extLst>
        </c:ser>
        <c:ser>
          <c:idx val="37"/>
          <c:order val="28"/>
          <c:tx>
            <c:v>Row 5 Left</c:v>
          </c:tx>
          <c:spPr>
            <a:ln w="50800" cap="rnd">
              <a:solidFill>
                <a:schemeClr val="tx1"/>
              </a:solidFill>
              <a:round/>
            </a:ln>
            <a:effectLst/>
          </c:spPr>
          <c:marker>
            <c:symbol val="circle"/>
            <c:size val="5"/>
            <c:spPr>
              <a:noFill/>
              <a:ln w="9525">
                <a:noFill/>
              </a:ln>
              <a:effectLst/>
            </c:spPr>
          </c:marker>
          <c:xVal>
            <c:numRef>
              <c:f>Solution!$AX$5:$AX$6</c:f>
              <c:numCache>
                <c:formatCode>0.0</c:formatCode>
                <c:ptCount val="2"/>
                <c:pt idx="0">
                  <c:v>0</c:v>
                </c:pt>
                <c:pt idx="1">
                  <c:v>0</c:v>
                </c:pt>
              </c:numCache>
            </c:numRef>
          </c:xVal>
          <c:yVal>
            <c:numRef>
              <c:f>Solution!$AY$5:$AY$6</c:f>
              <c:numCache>
                <c:formatCode>0.0</c:formatCode>
                <c:ptCount val="2"/>
                <c:pt idx="0">
                  <c:v>0</c:v>
                </c:pt>
                <c:pt idx="1">
                  <c:v>0</c:v>
                </c:pt>
              </c:numCache>
            </c:numRef>
          </c:yVal>
          <c:smooth val="1"/>
          <c:extLst>
            <c:ext xmlns:c16="http://schemas.microsoft.com/office/drawing/2014/chart" uri="{C3380CC4-5D6E-409C-BE32-E72D297353CC}">
              <c16:uniqueId val="{0000002B-BD2D-4991-9D42-84343DE074F2}"/>
            </c:ext>
          </c:extLst>
        </c:ser>
        <c:ser>
          <c:idx val="38"/>
          <c:order val="29"/>
          <c:tx>
            <c:v>Row 5 Right</c:v>
          </c:tx>
          <c:spPr>
            <a:ln w="50800" cap="rnd">
              <a:solidFill>
                <a:schemeClr val="tx1"/>
              </a:solidFill>
              <a:round/>
            </a:ln>
            <a:effectLst/>
          </c:spPr>
          <c:marker>
            <c:symbol val="circle"/>
            <c:size val="5"/>
            <c:spPr>
              <a:noFill/>
              <a:ln w="9525">
                <a:noFill/>
              </a:ln>
              <a:effectLst/>
            </c:spPr>
          </c:marker>
          <c:xVal>
            <c:numRef>
              <c:f>Solution!$BD$5:$BD$6</c:f>
              <c:numCache>
                <c:formatCode>0.0</c:formatCode>
                <c:ptCount val="2"/>
                <c:pt idx="0">
                  <c:v>0</c:v>
                </c:pt>
                <c:pt idx="1">
                  <c:v>0</c:v>
                </c:pt>
              </c:numCache>
            </c:numRef>
          </c:xVal>
          <c:yVal>
            <c:numRef>
              <c:f>Solution!$BE$5:$BE$6</c:f>
              <c:numCache>
                <c:formatCode>0.0</c:formatCode>
                <c:ptCount val="2"/>
                <c:pt idx="0">
                  <c:v>0</c:v>
                </c:pt>
                <c:pt idx="1">
                  <c:v>0</c:v>
                </c:pt>
              </c:numCache>
            </c:numRef>
          </c:yVal>
          <c:smooth val="1"/>
          <c:extLst>
            <c:ext xmlns:c16="http://schemas.microsoft.com/office/drawing/2014/chart" uri="{C3380CC4-5D6E-409C-BE32-E72D297353CC}">
              <c16:uniqueId val="{0000002C-BD2D-4991-9D42-84343DE074F2}"/>
            </c:ext>
          </c:extLst>
        </c:ser>
        <c:ser>
          <c:idx val="39"/>
          <c:order val="30"/>
          <c:tx>
            <c:v>Row 4 Left</c:v>
          </c:tx>
          <c:spPr>
            <a:ln w="50800" cap="rnd">
              <a:solidFill>
                <a:schemeClr val="tx1"/>
              </a:solidFill>
              <a:round/>
            </a:ln>
            <a:effectLst/>
          </c:spPr>
          <c:marker>
            <c:symbol val="circle"/>
            <c:size val="5"/>
            <c:spPr>
              <a:noFill/>
              <a:ln w="9525">
                <a:noFill/>
              </a:ln>
              <a:effectLst/>
            </c:spPr>
          </c:marker>
          <c:xVal>
            <c:numRef>
              <c:f>Solution!$AX$7:$AX$8</c:f>
              <c:numCache>
                <c:formatCode>0.0</c:formatCode>
                <c:ptCount val="2"/>
                <c:pt idx="0">
                  <c:v>0</c:v>
                </c:pt>
                <c:pt idx="1">
                  <c:v>0</c:v>
                </c:pt>
              </c:numCache>
            </c:numRef>
          </c:xVal>
          <c:yVal>
            <c:numRef>
              <c:f>Solution!$AY$7:$AY$8</c:f>
              <c:numCache>
                <c:formatCode>0.0</c:formatCode>
                <c:ptCount val="2"/>
                <c:pt idx="0">
                  <c:v>0</c:v>
                </c:pt>
                <c:pt idx="1">
                  <c:v>0</c:v>
                </c:pt>
              </c:numCache>
            </c:numRef>
          </c:yVal>
          <c:smooth val="1"/>
          <c:extLst>
            <c:ext xmlns:c16="http://schemas.microsoft.com/office/drawing/2014/chart" uri="{C3380CC4-5D6E-409C-BE32-E72D297353CC}">
              <c16:uniqueId val="{0000002D-BD2D-4991-9D42-84343DE074F2}"/>
            </c:ext>
          </c:extLst>
        </c:ser>
        <c:ser>
          <c:idx val="40"/>
          <c:order val="31"/>
          <c:tx>
            <c:v>Row 4 Right</c:v>
          </c:tx>
          <c:spPr>
            <a:ln w="50800" cap="rnd">
              <a:solidFill>
                <a:schemeClr val="tx1"/>
              </a:solidFill>
              <a:round/>
            </a:ln>
            <a:effectLst/>
          </c:spPr>
          <c:marker>
            <c:symbol val="circle"/>
            <c:size val="5"/>
            <c:spPr>
              <a:noFill/>
              <a:ln w="9525">
                <a:noFill/>
              </a:ln>
              <a:effectLst/>
            </c:spPr>
          </c:marker>
          <c:xVal>
            <c:numRef>
              <c:f>Solution!$BD$7:$BD$8</c:f>
              <c:numCache>
                <c:formatCode>0.0</c:formatCode>
                <c:ptCount val="2"/>
                <c:pt idx="0">
                  <c:v>0</c:v>
                </c:pt>
                <c:pt idx="1">
                  <c:v>0</c:v>
                </c:pt>
              </c:numCache>
            </c:numRef>
          </c:xVal>
          <c:yVal>
            <c:numRef>
              <c:f>Solution!$BE$7:$BE$8</c:f>
              <c:numCache>
                <c:formatCode>0.0</c:formatCode>
                <c:ptCount val="2"/>
                <c:pt idx="0">
                  <c:v>0</c:v>
                </c:pt>
                <c:pt idx="1">
                  <c:v>0</c:v>
                </c:pt>
              </c:numCache>
            </c:numRef>
          </c:yVal>
          <c:smooth val="1"/>
          <c:extLst>
            <c:ext xmlns:c16="http://schemas.microsoft.com/office/drawing/2014/chart" uri="{C3380CC4-5D6E-409C-BE32-E72D297353CC}">
              <c16:uniqueId val="{0000002E-BD2D-4991-9D42-84343DE074F2}"/>
            </c:ext>
          </c:extLst>
        </c:ser>
        <c:ser>
          <c:idx val="41"/>
          <c:order val="32"/>
          <c:tx>
            <c:v>Row 3 Left</c:v>
          </c:tx>
          <c:spPr>
            <a:ln w="50800" cap="rnd">
              <a:solidFill>
                <a:schemeClr val="tx1"/>
              </a:solidFill>
              <a:round/>
            </a:ln>
            <a:effectLst/>
          </c:spPr>
          <c:marker>
            <c:symbol val="circle"/>
            <c:size val="5"/>
            <c:spPr>
              <a:noFill/>
              <a:ln w="9525">
                <a:noFill/>
              </a:ln>
              <a:effectLst/>
            </c:spPr>
          </c:marker>
          <c:xVal>
            <c:numRef>
              <c:f>Solution!$AX$9:$AX$10</c:f>
              <c:numCache>
                <c:formatCode>0.0</c:formatCode>
                <c:ptCount val="2"/>
                <c:pt idx="0">
                  <c:v>3.4289999999999998</c:v>
                </c:pt>
                <c:pt idx="1">
                  <c:v>7.2389999999999999</c:v>
                </c:pt>
              </c:numCache>
            </c:numRef>
          </c:xVal>
          <c:yVal>
            <c:numRef>
              <c:f>Solution!$AY$9:$AY$10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2F-BD2D-4991-9D42-84343DE074F2}"/>
            </c:ext>
          </c:extLst>
        </c:ser>
        <c:ser>
          <c:idx val="42"/>
          <c:order val="33"/>
          <c:tx>
            <c:v>Row 3 Right</c:v>
          </c:tx>
          <c:spPr>
            <a:ln w="50800" cap="rnd">
              <a:solidFill>
                <a:schemeClr val="tx1"/>
              </a:solidFill>
              <a:round/>
            </a:ln>
            <a:effectLst/>
          </c:spPr>
          <c:marker>
            <c:symbol val="circle"/>
            <c:size val="5"/>
            <c:spPr>
              <a:noFill/>
              <a:ln w="9525">
                <a:noFill/>
              </a:ln>
              <a:effectLst/>
            </c:spPr>
          </c:marker>
          <c:xVal>
            <c:numRef>
              <c:f>Solution!$BD$9:$BD$10</c:f>
              <c:numCache>
                <c:formatCode>0.0</c:formatCode>
                <c:ptCount val="2"/>
                <c:pt idx="0">
                  <c:v>-3.4289999999999998</c:v>
                </c:pt>
                <c:pt idx="1">
                  <c:v>-7.2389999999999999</c:v>
                </c:pt>
              </c:numCache>
            </c:numRef>
          </c:xVal>
          <c:yVal>
            <c:numRef>
              <c:f>Solution!$BE$9:$BE$10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30-BD2D-4991-9D42-84343DE074F2}"/>
            </c:ext>
          </c:extLst>
        </c:ser>
        <c:ser>
          <c:idx val="43"/>
          <c:order val="34"/>
          <c:tx>
            <c:v>Row 2 Left</c:v>
          </c:tx>
          <c:spPr>
            <a:ln w="50800" cap="rnd">
              <a:solidFill>
                <a:schemeClr val="tx1"/>
              </a:solidFill>
              <a:round/>
            </a:ln>
            <a:effectLst/>
          </c:spPr>
          <c:marker>
            <c:symbol val="circle"/>
            <c:size val="5"/>
            <c:spPr>
              <a:noFill/>
              <a:ln w="9525">
                <a:noFill/>
              </a:ln>
              <a:effectLst/>
            </c:spPr>
          </c:marker>
          <c:xVal>
            <c:numRef>
              <c:f>Solution!$AX$11:$AX$12</c:f>
              <c:numCache>
                <c:formatCode>0.0</c:formatCode>
                <c:ptCount val="2"/>
                <c:pt idx="0">
                  <c:v>2.9209999999999998</c:v>
                </c:pt>
                <c:pt idx="1">
                  <c:v>6.7309999999999999</c:v>
                </c:pt>
              </c:numCache>
            </c:numRef>
          </c:xVal>
          <c:yVal>
            <c:numRef>
              <c:f>Solution!$AY$11:$AY$12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1-BD2D-4991-9D42-84343DE074F2}"/>
            </c:ext>
          </c:extLst>
        </c:ser>
        <c:ser>
          <c:idx val="44"/>
          <c:order val="35"/>
          <c:tx>
            <c:v>Row 2 Right</c:v>
          </c:tx>
          <c:spPr>
            <a:ln w="50800" cap="rnd">
              <a:solidFill>
                <a:schemeClr val="tx1"/>
              </a:solidFill>
              <a:round/>
            </a:ln>
            <a:effectLst/>
          </c:spPr>
          <c:marker>
            <c:symbol val="circle"/>
            <c:size val="5"/>
            <c:spPr>
              <a:noFill/>
              <a:ln w="9525">
                <a:noFill/>
              </a:ln>
              <a:effectLst/>
            </c:spPr>
          </c:marker>
          <c:xVal>
            <c:numRef>
              <c:f>Solution!$BD$11:$BD$12</c:f>
              <c:numCache>
                <c:formatCode>0.0</c:formatCode>
                <c:ptCount val="2"/>
                <c:pt idx="0">
                  <c:v>-2.9209999999999998</c:v>
                </c:pt>
                <c:pt idx="1">
                  <c:v>-6.7309999999999999</c:v>
                </c:pt>
              </c:numCache>
            </c:numRef>
          </c:xVal>
          <c:yVal>
            <c:numRef>
              <c:f>Solution!$BE$11:$BE$12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2-BD2D-4991-9D42-84343DE074F2}"/>
            </c:ext>
          </c:extLst>
        </c:ser>
        <c:ser>
          <c:idx val="45"/>
          <c:order val="36"/>
          <c:tx>
            <c:v>Row 1 Left</c:v>
          </c:tx>
          <c:spPr>
            <a:ln w="50800" cap="rnd">
              <a:solidFill>
                <a:schemeClr val="tx1"/>
              </a:solidFill>
              <a:round/>
            </a:ln>
            <a:effectLst/>
          </c:spPr>
          <c:marker>
            <c:symbol val="circle"/>
            <c:size val="5"/>
            <c:spPr>
              <a:noFill/>
              <a:ln w="9525">
                <a:noFill/>
              </a:ln>
              <a:effectLst/>
            </c:spPr>
          </c:marker>
          <c:xVal>
            <c:numRef>
              <c:f>Solution!$AX$13:$AX$14</c:f>
              <c:numCache>
                <c:formatCode>0.0</c:formatCode>
                <c:ptCount val="2"/>
                <c:pt idx="0">
                  <c:v>2.4129999999999998</c:v>
                </c:pt>
                <c:pt idx="1">
                  <c:v>6.2229999999999999</c:v>
                </c:pt>
              </c:numCache>
            </c:numRef>
          </c:xVal>
          <c:yVal>
            <c:numRef>
              <c:f>Solution!$AY$13:$AY$14</c:f>
              <c:numCache>
                <c:formatCode>0.0</c:formatCode>
                <c:ptCount val="2"/>
                <c:pt idx="0">
                  <c:v>23.59</c:v>
                </c:pt>
                <c:pt idx="1">
                  <c:v>23.59</c:v>
                </c:pt>
              </c:numCache>
            </c:numRef>
          </c:yVal>
          <c:smooth val="1"/>
          <c:extLst>
            <c:ext xmlns:c16="http://schemas.microsoft.com/office/drawing/2014/chart" uri="{C3380CC4-5D6E-409C-BE32-E72D297353CC}">
              <c16:uniqueId val="{00000033-BD2D-4991-9D42-84343DE074F2}"/>
            </c:ext>
          </c:extLst>
        </c:ser>
        <c:ser>
          <c:idx val="46"/>
          <c:order val="37"/>
          <c:tx>
            <c:v>Row 1 Right</c:v>
          </c:tx>
          <c:spPr>
            <a:ln w="50800" cap="rnd">
              <a:solidFill>
                <a:schemeClr val="tx1"/>
              </a:solidFill>
              <a:round/>
            </a:ln>
            <a:effectLst/>
          </c:spPr>
          <c:marker>
            <c:symbol val="circle"/>
            <c:size val="5"/>
            <c:spPr>
              <a:noFill/>
              <a:ln w="9525">
                <a:noFill/>
              </a:ln>
              <a:effectLst/>
            </c:spPr>
          </c:marker>
          <c:xVal>
            <c:numRef>
              <c:f>Solution!$BD$13:$BD$14</c:f>
              <c:numCache>
                <c:formatCode>0.0</c:formatCode>
                <c:ptCount val="2"/>
                <c:pt idx="0">
                  <c:v>-2.4129999999999998</c:v>
                </c:pt>
                <c:pt idx="1">
                  <c:v>-6.2229999999999999</c:v>
                </c:pt>
              </c:numCache>
            </c:numRef>
          </c:xVal>
          <c:yVal>
            <c:numRef>
              <c:f>Solution!$BE$13:$BE$14</c:f>
              <c:numCache>
                <c:formatCode>0.0</c:formatCode>
                <c:ptCount val="2"/>
                <c:pt idx="0">
                  <c:v>23.59</c:v>
                </c:pt>
                <c:pt idx="1">
                  <c:v>23.59</c:v>
                </c:pt>
              </c:numCache>
            </c:numRef>
          </c:yVal>
          <c:smooth val="1"/>
          <c:extLst>
            <c:ext xmlns:c16="http://schemas.microsoft.com/office/drawing/2014/chart" uri="{C3380CC4-5D6E-409C-BE32-E72D297353CC}">
              <c16:uniqueId val="{00000034-BD2D-4991-9D42-84343DE074F2}"/>
            </c:ext>
          </c:extLst>
        </c:ser>
        <c:ser>
          <c:idx val="47"/>
          <c:order val="38"/>
          <c:tx>
            <c:v>Crotch 1</c:v>
          </c:tx>
          <c:spPr>
            <a:ln w="50800" cap="rnd">
              <a:solidFill>
                <a:schemeClr val="tx1"/>
              </a:solidFill>
              <a:round/>
            </a:ln>
            <a:effectLst/>
          </c:spPr>
          <c:marker>
            <c:symbol val="circle"/>
            <c:size val="5"/>
            <c:spPr>
              <a:noFill/>
              <a:ln w="9525">
                <a:noFill/>
              </a:ln>
              <a:effectLst/>
            </c:spPr>
          </c:marker>
          <c:xVal>
            <c:numRef>
              <c:f>Solution!$BA$26:$BA$27</c:f>
              <c:numCache>
                <c:formatCode>General</c:formatCode>
                <c:ptCount val="2"/>
                <c:pt idx="0">
                  <c:v>-1.9</c:v>
                </c:pt>
                <c:pt idx="1">
                  <c:v>1.9</c:v>
                </c:pt>
              </c:numCache>
            </c:numRef>
          </c:xVal>
          <c:yVal>
            <c:numRef>
              <c:f>Solution!$BB$26:$BB$27</c:f>
              <c:numCache>
                <c:formatCode>0.0</c:formatCode>
                <c:ptCount val="2"/>
                <c:pt idx="0">
                  <c:v>-13.641839999999998</c:v>
                </c:pt>
                <c:pt idx="1">
                  <c:v>-13.641839999999998</c:v>
                </c:pt>
              </c:numCache>
            </c:numRef>
          </c:yVal>
          <c:smooth val="1"/>
          <c:extLst>
            <c:ext xmlns:c16="http://schemas.microsoft.com/office/drawing/2014/chart" uri="{C3380CC4-5D6E-409C-BE32-E72D297353CC}">
              <c16:uniqueId val="{00000035-BD2D-4991-9D42-84343DE074F2}"/>
            </c:ext>
          </c:extLst>
        </c:ser>
        <c:ser>
          <c:idx val="48"/>
          <c:order val="39"/>
          <c:tx>
            <c:v>Crotch 2</c:v>
          </c:tx>
          <c:spPr>
            <a:ln w="47625" cap="rnd">
              <a:solidFill>
                <a:schemeClr val="tx1"/>
              </a:solidFill>
              <a:round/>
            </a:ln>
            <a:effectLst/>
          </c:spPr>
          <c:marker>
            <c:symbol val="circle"/>
            <c:size val="5"/>
            <c:spPr>
              <a:noFill/>
              <a:ln w="9525">
                <a:noFill/>
              </a:ln>
              <a:effectLst/>
            </c:spPr>
          </c:marker>
          <c:xVal>
            <c:numRef>
              <c:f>Solution!$BA$28:$BA$29</c:f>
              <c:numCache>
                <c:formatCode>General</c:formatCode>
                <c:ptCount val="2"/>
                <c:pt idx="0">
                  <c:v>0</c:v>
                </c:pt>
                <c:pt idx="1">
                  <c:v>0</c:v>
                </c:pt>
              </c:numCache>
            </c:numRef>
          </c:xVal>
          <c:yVal>
            <c:numRef>
              <c:f>Solution!$BB$28:$BB$29</c:f>
              <c:numCache>
                <c:formatCode>0.0</c:formatCode>
                <c:ptCount val="2"/>
                <c:pt idx="0">
                  <c:v>0</c:v>
                </c:pt>
                <c:pt idx="1">
                  <c:v>0</c:v>
                </c:pt>
              </c:numCache>
            </c:numRef>
          </c:yVal>
          <c:smooth val="1"/>
          <c:extLst>
            <c:ext xmlns:c16="http://schemas.microsoft.com/office/drawing/2014/chart" uri="{C3380CC4-5D6E-409C-BE32-E72D297353CC}">
              <c16:uniqueId val="{00000036-BD2D-4991-9D42-84343DE074F2}"/>
            </c:ext>
          </c:extLst>
        </c:ser>
        <c:ser>
          <c:idx val="49"/>
          <c:order val="40"/>
          <c:tx>
            <c:v>Crotch 3</c:v>
          </c:tx>
          <c:spPr>
            <a:ln w="50800" cap="rnd">
              <a:solidFill>
                <a:schemeClr val="tx1"/>
              </a:solidFill>
              <a:round/>
            </a:ln>
            <a:effectLst/>
          </c:spPr>
          <c:marker>
            <c:symbol val="circle"/>
            <c:size val="5"/>
            <c:spPr>
              <a:noFill/>
              <a:ln w="9525">
                <a:noFill/>
              </a:ln>
              <a:effectLst/>
            </c:spPr>
          </c:marker>
          <c:xVal>
            <c:numRef>
              <c:f>Solution!$BA$30:$BA$31</c:f>
              <c:numCache>
                <c:formatCode>General</c:formatCode>
                <c:ptCount val="2"/>
                <c:pt idx="0">
                  <c:v>0</c:v>
                </c:pt>
                <c:pt idx="1">
                  <c:v>0</c:v>
                </c:pt>
              </c:numCache>
            </c:numRef>
          </c:xVal>
          <c:yVal>
            <c:numRef>
              <c:f>Solution!$BB$30:$BB$31</c:f>
              <c:numCache>
                <c:formatCode>0.0</c:formatCode>
                <c:ptCount val="2"/>
                <c:pt idx="0">
                  <c:v>0</c:v>
                </c:pt>
                <c:pt idx="1">
                  <c:v>0</c:v>
                </c:pt>
              </c:numCache>
            </c:numRef>
          </c:yVal>
          <c:smooth val="1"/>
          <c:extLst>
            <c:ext xmlns:c16="http://schemas.microsoft.com/office/drawing/2014/chart" uri="{C3380CC4-5D6E-409C-BE32-E72D297353CC}">
              <c16:uniqueId val="{00000037-BD2D-4991-9D42-84343DE074F2}"/>
            </c:ext>
          </c:extLst>
        </c:ser>
        <c:ser>
          <c:idx val="50"/>
          <c:order val="41"/>
          <c:tx>
            <c:v>Crotch 4</c:v>
          </c:tx>
          <c:spPr>
            <a:ln w="50800" cap="rnd">
              <a:solidFill>
                <a:schemeClr val="tx1"/>
              </a:solidFill>
              <a:round/>
            </a:ln>
            <a:effectLst/>
          </c:spPr>
          <c:marker>
            <c:symbol val="circle"/>
            <c:size val="5"/>
            <c:spPr>
              <a:noFill/>
              <a:ln w="9525">
                <a:noFill/>
              </a:ln>
              <a:effectLst/>
            </c:spPr>
          </c:marker>
          <c:xVal>
            <c:numRef>
              <c:f>Solution!$BA$32:$BA$33</c:f>
              <c:numCache>
                <c:formatCode>General</c:formatCode>
                <c:ptCount val="2"/>
                <c:pt idx="0">
                  <c:v>0</c:v>
                </c:pt>
                <c:pt idx="1">
                  <c:v>0</c:v>
                </c:pt>
              </c:numCache>
            </c:numRef>
          </c:xVal>
          <c:yVal>
            <c:numRef>
              <c:f>Solution!$BB$32:$BB$33</c:f>
              <c:numCache>
                <c:formatCode>0.0</c:formatCode>
                <c:ptCount val="2"/>
                <c:pt idx="0">
                  <c:v>0</c:v>
                </c:pt>
                <c:pt idx="1">
                  <c:v>0</c:v>
                </c:pt>
              </c:numCache>
            </c:numRef>
          </c:yVal>
          <c:smooth val="1"/>
          <c:extLst>
            <c:ext xmlns:c16="http://schemas.microsoft.com/office/drawing/2014/chart" uri="{C3380CC4-5D6E-409C-BE32-E72D297353CC}">
              <c16:uniqueId val="{00000038-BD2D-4991-9D42-84343DE074F2}"/>
            </c:ext>
          </c:extLst>
        </c:ser>
        <c:ser>
          <c:idx val="51"/>
          <c:order val="42"/>
          <c:tx>
            <c:v>Hip Slot 1 Left</c:v>
          </c:tx>
          <c:spPr>
            <a:ln w="50800" cap="rnd">
              <a:solidFill>
                <a:schemeClr val="tx1"/>
              </a:solidFill>
              <a:round/>
            </a:ln>
            <a:effectLst/>
          </c:spPr>
          <c:marker>
            <c:symbol val="circle"/>
            <c:size val="5"/>
            <c:spPr>
              <a:noFill/>
              <a:ln w="9525">
                <a:noFill/>
              </a:ln>
              <a:effectLst/>
            </c:spPr>
          </c:marker>
          <c:xVal>
            <c:numRef>
              <c:f>Solution!$BA$36:$BA$37</c:f>
              <c:numCache>
                <c:formatCode>0.0</c:formatCode>
                <c:ptCount val="2"/>
                <c:pt idx="0">
                  <c:v>-6.7309999999999999</c:v>
                </c:pt>
                <c:pt idx="1">
                  <c:v>-6.7309999999999999</c:v>
                </c:pt>
              </c:numCache>
            </c:numRef>
          </c:xVal>
          <c:yVal>
            <c:numRef>
              <c:f>Solution!$BB$36:$BB$37</c:f>
              <c:numCache>
                <c:formatCode>0.0</c:formatCode>
                <c:ptCount val="2"/>
                <c:pt idx="0">
                  <c:v>0</c:v>
                </c:pt>
                <c:pt idx="1">
                  <c:v>-3.8</c:v>
                </c:pt>
              </c:numCache>
            </c:numRef>
          </c:yVal>
          <c:smooth val="1"/>
          <c:extLst>
            <c:ext xmlns:c16="http://schemas.microsoft.com/office/drawing/2014/chart" uri="{C3380CC4-5D6E-409C-BE32-E72D297353CC}">
              <c16:uniqueId val="{00000039-BD2D-4991-9D42-84343DE074F2}"/>
            </c:ext>
          </c:extLst>
        </c:ser>
        <c:ser>
          <c:idx val="52"/>
          <c:order val="43"/>
          <c:tx>
            <c:v>Hip Slot 1 Right</c:v>
          </c:tx>
          <c:spPr>
            <a:ln w="50800" cap="rnd">
              <a:solidFill>
                <a:schemeClr val="tx1"/>
              </a:solidFill>
              <a:round/>
            </a:ln>
            <a:effectLst/>
          </c:spPr>
          <c:marker>
            <c:symbol val="circle"/>
            <c:size val="5"/>
            <c:spPr>
              <a:noFill/>
              <a:ln w="9525">
                <a:noFill/>
              </a:ln>
              <a:effectLst/>
            </c:spPr>
          </c:marker>
          <c:xVal>
            <c:numRef>
              <c:f>Solution!$BD$36:$BD$37</c:f>
              <c:numCache>
                <c:formatCode>0.0</c:formatCode>
                <c:ptCount val="2"/>
                <c:pt idx="0">
                  <c:v>6.7309999999999999</c:v>
                </c:pt>
                <c:pt idx="1">
                  <c:v>6.7309999999999999</c:v>
                </c:pt>
              </c:numCache>
            </c:numRef>
          </c:xVal>
          <c:yVal>
            <c:numRef>
              <c:f>Solution!$BE$36:$BE$37</c:f>
              <c:numCache>
                <c:formatCode>0.0</c:formatCode>
                <c:ptCount val="2"/>
                <c:pt idx="0">
                  <c:v>0</c:v>
                </c:pt>
                <c:pt idx="1">
                  <c:v>-3.8</c:v>
                </c:pt>
              </c:numCache>
            </c:numRef>
          </c:yVal>
          <c:smooth val="1"/>
          <c:extLst>
            <c:ext xmlns:c16="http://schemas.microsoft.com/office/drawing/2014/chart" uri="{C3380CC4-5D6E-409C-BE32-E72D297353CC}">
              <c16:uniqueId val="{0000003A-BD2D-4991-9D42-84343DE074F2}"/>
            </c:ext>
          </c:extLst>
        </c:ser>
        <c:ser>
          <c:idx val="53"/>
          <c:order val="44"/>
          <c:tx>
            <c:v>Hip Slot 2 Left</c:v>
          </c:tx>
          <c:spPr>
            <a:ln w="50800" cap="rnd">
              <a:solidFill>
                <a:schemeClr val="tx1"/>
              </a:solidFill>
              <a:round/>
            </a:ln>
            <a:effectLst/>
          </c:spPr>
          <c:marker>
            <c:symbol val="circle"/>
            <c:size val="5"/>
            <c:spPr>
              <a:noFill/>
              <a:ln w="9525">
                <a:noFill/>
              </a:ln>
              <a:effectLst/>
            </c:spPr>
          </c:marker>
          <c:xVal>
            <c:numRef>
              <c:f>Solution!$BA$38:$BA$39</c:f>
              <c:numCache>
                <c:formatCode>0.0</c:formatCode>
                <c:ptCount val="2"/>
                <c:pt idx="0">
                  <c:v>0</c:v>
                </c:pt>
                <c:pt idx="1">
                  <c:v>0</c:v>
                </c:pt>
              </c:numCache>
            </c:numRef>
          </c:xVal>
          <c:yVal>
            <c:numRef>
              <c:f>Solution!$BB$38:$BB$39</c:f>
              <c:numCache>
                <c:formatCode>0.0</c:formatCode>
                <c:ptCount val="2"/>
                <c:pt idx="0">
                  <c:v>0</c:v>
                </c:pt>
                <c:pt idx="1">
                  <c:v>0</c:v>
                </c:pt>
              </c:numCache>
            </c:numRef>
          </c:yVal>
          <c:smooth val="1"/>
          <c:extLst>
            <c:ext xmlns:c16="http://schemas.microsoft.com/office/drawing/2014/chart" uri="{C3380CC4-5D6E-409C-BE32-E72D297353CC}">
              <c16:uniqueId val="{0000003B-BD2D-4991-9D42-84343DE074F2}"/>
            </c:ext>
          </c:extLst>
        </c:ser>
        <c:ser>
          <c:idx val="54"/>
          <c:order val="45"/>
          <c:tx>
            <c:v>Hip Slot 2 Right</c:v>
          </c:tx>
          <c:spPr>
            <a:ln w="50800" cap="rnd">
              <a:solidFill>
                <a:schemeClr val="tx1"/>
              </a:solidFill>
              <a:round/>
            </a:ln>
            <a:effectLst/>
          </c:spPr>
          <c:marker>
            <c:symbol val="circle"/>
            <c:size val="5"/>
            <c:spPr>
              <a:noFill/>
              <a:ln w="9525">
                <a:noFill/>
              </a:ln>
              <a:effectLst/>
            </c:spPr>
          </c:marker>
          <c:xVal>
            <c:numRef>
              <c:f>Solution!$BD$38:$BD$39</c:f>
              <c:numCache>
                <c:formatCode>0.0</c:formatCode>
                <c:ptCount val="2"/>
                <c:pt idx="0">
                  <c:v>0</c:v>
                </c:pt>
                <c:pt idx="1">
                  <c:v>0</c:v>
                </c:pt>
              </c:numCache>
            </c:numRef>
          </c:xVal>
          <c:yVal>
            <c:numRef>
              <c:f>Solution!$BE$38:$BE$39</c:f>
              <c:numCache>
                <c:formatCode>0.0</c:formatCode>
                <c:ptCount val="2"/>
                <c:pt idx="0">
                  <c:v>0</c:v>
                </c:pt>
                <c:pt idx="1">
                  <c:v>0</c:v>
                </c:pt>
              </c:numCache>
            </c:numRef>
          </c:yVal>
          <c:smooth val="1"/>
          <c:extLst>
            <c:ext xmlns:c16="http://schemas.microsoft.com/office/drawing/2014/chart" uri="{C3380CC4-5D6E-409C-BE32-E72D297353CC}">
              <c16:uniqueId val="{0000003C-BD2D-4991-9D42-84343DE074F2}"/>
            </c:ext>
          </c:extLst>
        </c:ser>
        <c:ser>
          <c:idx val="55"/>
          <c:order val="46"/>
          <c:tx>
            <c:v>Hip Slot 3 Left</c:v>
          </c:tx>
          <c:spPr>
            <a:ln w="50800" cap="rnd">
              <a:solidFill>
                <a:schemeClr val="tx1"/>
              </a:solidFill>
              <a:round/>
            </a:ln>
            <a:effectLst/>
          </c:spPr>
          <c:marker>
            <c:symbol val="circle"/>
            <c:size val="5"/>
            <c:spPr>
              <a:noFill/>
              <a:ln w="9525">
                <a:noFill/>
              </a:ln>
              <a:effectLst/>
            </c:spPr>
          </c:marker>
          <c:xVal>
            <c:numRef>
              <c:f>Solution!$BA$40:$BA$41</c:f>
              <c:numCache>
                <c:formatCode>0.0</c:formatCode>
                <c:ptCount val="2"/>
                <c:pt idx="0">
                  <c:v>0</c:v>
                </c:pt>
                <c:pt idx="1">
                  <c:v>0</c:v>
                </c:pt>
              </c:numCache>
            </c:numRef>
          </c:xVal>
          <c:yVal>
            <c:numRef>
              <c:f>Solution!$BB$40:$BB$41</c:f>
              <c:numCache>
                <c:formatCode>0.0</c:formatCode>
                <c:ptCount val="2"/>
                <c:pt idx="0">
                  <c:v>0</c:v>
                </c:pt>
                <c:pt idx="1">
                  <c:v>0</c:v>
                </c:pt>
              </c:numCache>
            </c:numRef>
          </c:yVal>
          <c:smooth val="1"/>
          <c:extLst>
            <c:ext xmlns:c16="http://schemas.microsoft.com/office/drawing/2014/chart" uri="{C3380CC4-5D6E-409C-BE32-E72D297353CC}">
              <c16:uniqueId val="{0000003D-BD2D-4991-9D42-84343DE074F2}"/>
            </c:ext>
          </c:extLst>
        </c:ser>
        <c:ser>
          <c:idx val="56"/>
          <c:order val="47"/>
          <c:tx>
            <c:v>Hip Slot 3 Right</c:v>
          </c:tx>
          <c:spPr>
            <a:ln w="50800" cap="rnd">
              <a:solidFill>
                <a:schemeClr val="tx1"/>
              </a:solidFill>
              <a:round/>
            </a:ln>
            <a:effectLst/>
          </c:spPr>
          <c:marker>
            <c:symbol val="circle"/>
            <c:size val="5"/>
            <c:spPr>
              <a:noFill/>
              <a:ln w="9525">
                <a:noFill/>
              </a:ln>
              <a:effectLst/>
            </c:spPr>
          </c:marker>
          <c:xVal>
            <c:numRef>
              <c:f>Solution!$BD$40:$BD$41</c:f>
              <c:numCache>
                <c:formatCode>0.0</c:formatCode>
                <c:ptCount val="2"/>
                <c:pt idx="0">
                  <c:v>0</c:v>
                </c:pt>
                <c:pt idx="1">
                  <c:v>0</c:v>
                </c:pt>
              </c:numCache>
            </c:numRef>
          </c:xVal>
          <c:yVal>
            <c:numRef>
              <c:f>Solution!$BE$40:$BE$41</c:f>
              <c:numCache>
                <c:formatCode>0.0</c:formatCode>
                <c:ptCount val="2"/>
                <c:pt idx="0">
                  <c:v>0</c:v>
                </c:pt>
                <c:pt idx="1">
                  <c:v>0</c:v>
                </c:pt>
              </c:numCache>
            </c:numRef>
          </c:yVal>
          <c:smooth val="1"/>
          <c:extLst>
            <c:ext xmlns:c16="http://schemas.microsoft.com/office/drawing/2014/chart" uri="{C3380CC4-5D6E-409C-BE32-E72D297353CC}">
              <c16:uniqueId val="{0000003E-BD2D-4991-9D42-84343DE074F2}"/>
            </c:ext>
          </c:extLst>
        </c:ser>
        <c:ser>
          <c:idx val="69"/>
          <c:order val="48"/>
          <c:tx>
            <c:v>Hip Slot 4 Left</c:v>
          </c:tx>
          <c:spPr>
            <a:ln w="50800" cap="rnd">
              <a:solidFill>
                <a:schemeClr val="tx1"/>
              </a:solidFill>
              <a:round/>
            </a:ln>
            <a:effectLst/>
          </c:spPr>
          <c:marker>
            <c:symbol val="circle"/>
            <c:size val="5"/>
            <c:spPr>
              <a:noFill/>
              <a:ln w="9525">
                <a:noFill/>
              </a:ln>
              <a:effectLst/>
            </c:spPr>
          </c:marker>
          <c:xVal>
            <c:numRef>
              <c:f>Solution!$BD$42:$BD$43</c:f>
              <c:numCache>
                <c:formatCode>0.0</c:formatCode>
                <c:ptCount val="2"/>
                <c:pt idx="0">
                  <c:v>0</c:v>
                </c:pt>
                <c:pt idx="1">
                  <c:v>0</c:v>
                </c:pt>
              </c:numCache>
            </c:numRef>
          </c:xVal>
          <c:yVal>
            <c:numRef>
              <c:f>Solution!$BE$42:$BE$43</c:f>
              <c:numCache>
                <c:formatCode>0.0</c:formatCode>
                <c:ptCount val="2"/>
                <c:pt idx="0">
                  <c:v>0</c:v>
                </c:pt>
                <c:pt idx="1">
                  <c:v>0</c:v>
                </c:pt>
              </c:numCache>
            </c:numRef>
          </c:yVal>
          <c:smooth val="1"/>
          <c:extLst>
            <c:ext xmlns:c16="http://schemas.microsoft.com/office/drawing/2014/chart" uri="{C3380CC4-5D6E-409C-BE32-E72D297353CC}">
              <c16:uniqueId val="{0000003F-BD2D-4991-9D42-84343DE074F2}"/>
            </c:ext>
          </c:extLst>
        </c:ser>
        <c:ser>
          <c:idx val="70"/>
          <c:order val="49"/>
          <c:tx>
            <c:v>Hip Slot 4 Right</c:v>
          </c:tx>
          <c:spPr>
            <a:ln w="47625" cap="rnd">
              <a:solidFill>
                <a:schemeClr val="tx1"/>
              </a:solidFill>
              <a:round/>
            </a:ln>
            <a:effectLst/>
          </c:spPr>
          <c:marker>
            <c:symbol val="circle"/>
            <c:size val="5"/>
            <c:spPr>
              <a:noFill/>
              <a:ln w="9525">
                <a:noFill/>
              </a:ln>
              <a:effectLst/>
            </c:spPr>
          </c:marker>
          <c:xVal>
            <c:numRef>
              <c:f>Solution!$BA$42:$BA$43</c:f>
              <c:numCache>
                <c:formatCode>0.0</c:formatCode>
                <c:ptCount val="2"/>
                <c:pt idx="0">
                  <c:v>0</c:v>
                </c:pt>
                <c:pt idx="1">
                  <c:v>0</c:v>
                </c:pt>
              </c:numCache>
            </c:numRef>
          </c:xVal>
          <c:yVal>
            <c:numRef>
              <c:f>Solution!$BB$42:$BB$43</c:f>
              <c:numCache>
                <c:formatCode>0.0</c:formatCode>
                <c:ptCount val="2"/>
                <c:pt idx="0">
                  <c:v>0</c:v>
                </c:pt>
                <c:pt idx="1">
                  <c:v>0</c:v>
                </c:pt>
              </c:numCache>
            </c:numRef>
          </c:yVal>
          <c:smooth val="1"/>
          <c:extLst>
            <c:ext xmlns:c16="http://schemas.microsoft.com/office/drawing/2014/chart" uri="{C3380CC4-5D6E-409C-BE32-E72D297353CC}">
              <c16:uniqueId val="{00000040-BD2D-4991-9D42-84343DE074F2}"/>
            </c:ext>
          </c:extLst>
        </c:ser>
        <c:ser>
          <c:idx val="57"/>
          <c:order val="50"/>
          <c:tx>
            <c:v>Neck Ave Right</c:v>
          </c:tx>
          <c:spPr>
            <a:ln w="0" cap="rnd">
              <a:noFill/>
              <a:round/>
            </a:ln>
            <a:effectLst/>
          </c:spPr>
          <c:marker>
            <c:symbol val="circle"/>
            <c:size val="5"/>
            <c:spPr>
              <a:solidFill>
                <a:srgbClr val="00B050"/>
              </a:solidFill>
              <a:ln w="9525">
                <a:solidFill>
                  <a:schemeClr val="tx1"/>
                </a:solidFill>
              </a:ln>
              <a:effectLst/>
            </c:spPr>
          </c:marker>
          <c:xVal>
            <c:numRef>
              <c:f>'Big Data'!$CB$3:$CB$45</c:f>
              <c:numCache>
                <c:formatCode>0.0</c:formatCode>
                <c:ptCount val="43"/>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1-BD2D-4991-9D42-84343DE074F2}"/>
            </c:ext>
          </c:extLst>
        </c:ser>
        <c:ser>
          <c:idx val="58"/>
          <c:order val="51"/>
          <c:tx>
            <c:v>Neck Ave Left</c:v>
          </c:tx>
          <c:spPr>
            <a:ln w="0" cap="rnd">
              <a:noFill/>
              <a:round/>
            </a:ln>
            <a:effectLst/>
          </c:spPr>
          <c:marker>
            <c:symbol val="circle"/>
            <c:size val="5"/>
            <c:spPr>
              <a:solidFill>
                <a:srgbClr val="00B050"/>
              </a:solidFill>
              <a:ln w="9525">
                <a:solidFill>
                  <a:schemeClr val="tx1"/>
                </a:solidFill>
              </a:ln>
              <a:effectLst/>
            </c:spPr>
          </c:marker>
          <c:xVal>
            <c:numRef>
              <c:f>'Big Data'!$CF$3:$CF$45</c:f>
              <c:numCache>
                <c:formatCode>0.0</c:formatCode>
                <c:ptCount val="43"/>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2-BD2D-4991-9D42-84343DE074F2}"/>
            </c:ext>
          </c:extLst>
        </c:ser>
        <c:ser>
          <c:idx val="59"/>
          <c:order val="52"/>
          <c:tx>
            <c:v>Neck 5th Left</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Data'!$CE$3:$CE$45</c:f>
              <c:numCache>
                <c:formatCode>0.0</c:formatCode>
                <c:ptCount val="43"/>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3-BD2D-4991-9D42-84343DE074F2}"/>
            </c:ext>
          </c:extLst>
        </c:ser>
        <c:ser>
          <c:idx val="60"/>
          <c:order val="53"/>
          <c:tx>
            <c:v>Neck 5th Right</c:v>
          </c:tx>
          <c:spPr>
            <a:ln w="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Data'!$CA$3:$CA$45</c:f>
              <c:numCache>
                <c:formatCode>0.0</c:formatCode>
                <c:ptCount val="43"/>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4-BD2D-4991-9D42-84343DE074F2}"/>
            </c:ext>
          </c:extLst>
        </c:ser>
        <c:ser>
          <c:idx val="61"/>
          <c:order val="54"/>
          <c:tx>
            <c:v>Neck 95th Left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Data'!$CG$3:$CG$45</c:f>
              <c:numCache>
                <c:formatCode>0.0</c:formatCode>
                <c:ptCount val="43"/>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5-BD2D-4991-9D42-84343DE074F2}"/>
            </c:ext>
          </c:extLst>
        </c:ser>
        <c:ser>
          <c:idx val="62"/>
          <c:order val="55"/>
          <c:tx>
            <c:v>Neck 95th Right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Data'!$CC$3:$CC$45</c:f>
              <c:numCache>
                <c:formatCode>0.0</c:formatCode>
                <c:ptCount val="43"/>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6-BD2D-4991-9D42-84343DE074F2}"/>
            </c:ext>
          </c:extLst>
        </c:ser>
        <c:ser>
          <c:idx val="67"/>
          <c:order val="56"/>
          <c:tx>
            <c:v>R129 Annex 18 95th Shoulder Breadth Left</c:v>
          </c:tx>
          <c:spPr>
            <a:ln w="50800" cap="rnd">
              <a:solidFill>
                <a:srgbClr val="0070C0"/>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'R129 Annex 18 Data'!$L$3:$L$25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7-BD2D-4991-9D42-84343DE074F2}"/>
            </c:ext>
          </c:extLst>
        </c:ser>
        <c:ser>
          <c:idx val="68"/>
          <c:order val="57"/>
          <c:tx>
            <c:v>R129 Annex 18 95th Shoulder Breadth Right</c:v>
          </c:tx>
          <c:spPr>
            <a:ln w="50800" cap="rnd">
              <a:solidFill>
                <a:srgbClr val="0070C0"/>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'R129 Annex 18 Data'!$M$3:$M$25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8-BD2D-4991-9D42-84343DE074F2}"/>
            </c:ext>
          </c:extLst>
        </c:ser>
        <c:ser>
          <c:idx val="71"/>
          <c:order val="58"/>
          <c:tx>
            <c:v>EU ATD Q10.5 Shoulder Left</c:v>
          </c:tx>
          <c:spPr>
            <a:ln w="19050" cap="rnd">
              <a:solidFill>
                <a:srgbClr val="0070C0"/>
              </a:solidFill>
              <a:round/>
            </a:ln>
            <a:effectLst/>
          </c:spPr>
          <c:marker>
            <c:symbol val="circle"/>
            <c:size val="2"/>
            <c:spPr>
              <a:solidFill>
                <a:schemeClr val="accent6">
                  <a:lumMod val="80000"/>
                  <a:lumOff val="20000"/>
                </a:schemeClr>
              </a:solidFill>
              <a:ln w="9525">
                <a:solidFill>
                  <a:srgbClr val="0070C0"/>
                </a:solidFill>
              </a:ln>
              <a:effectLst/>
            </c:spPr>
          </c:marker>
          <c:dLbls>
            <c:dLbl>
              <c:idx val="2"/>
              <c:layout>
                <c:manualLayout>
                  <c:x val="-1.6920473773266893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9-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Solution!$AU$118:$AU$120</c:f>
              <c:numCache>
                <c:formatCode>0.0</c:formatCode>
                <c:ptCount val="3"/>
                <c:pt idx="0">
                  <c:v>0</c:v>
                </c:pt>
                <c:pt idx="1">
                  <c:v>0</c:v>
                </c:pt>
                <c:pt idx="2">
                  <c:v>0</c:v>
                </c:pt>
              </c:numCache>
            </c:numRef>
          </c:xVal>
          <c:yVal>
            <c:numRef>
              <c:f>Solution!$AV$118:$AV$120</c:f>
              <c:numCache>
                <c:formatCode>0.0</c:formatCode>
                <c:ptCount val="3"/>
                <c:pt idx="0">
                  <c:v>0</c:v>
                </c:pt>
                <c:pt idx="1">
                  <c:v>0</c:v>
                </c:pt>
                <c:pt idx="2">
                  <c:v>0</c:v>
                </c:pt>
              </c:numCache>
            </c:numRef>
          </c:yVal>
          <c:smooth val="1"/>
          <c:extLst>
            <c:ext xmlns:c16="http://schemas.microsoft.com/office/drawing/2014/chart" uri="{C3380CC4-5D6E-409C-BE32-E72D297353CC}">
              <c16:uniqueId val="{0000004A-BD2D-4991-9D42-84343DE074F2}"/>
            </c:ext>
          </c:extLst>
        </c:ser>
        <c:ser>
          <c:idx val="74"/>
          <c:order val="59"/>
          <c:tx>
            <c:v>US ATD HIII-10yr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299284543746752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B-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Solution!$AX$111:$AX$113</c:f>
              <c:numCache>
                <c:formatCode>General</c:formatCode>
                <c:ptCount val="3"/>
                <c:pt idx="0">
                  <c:v>0</c:v>
                </c:pt>
                <c:pt idx="1">
                  <c:v>0</c:v>
                </c:pt>
                <c:pt idx="2">
                  <c:v>0</c:v>
                </c:pt>
              </c:numCache>
            </c:numRef>
          </c:xVal>
          <c:yVal>
            <c:numRef>
              <c:f>Solution!$AY$111:$AY$113</c:f>
              <c:numCache>
                <c:formatCode>0.0</c:formatCode>
                <c:ptCount val="3"/>
                <c:pt idx="0">
                  <c:v>0</c:v>
                </c:pt>
                <c:pt idx="1">
                  <c:v>0</c:v>
                </c:pt>
                <c:pt idx="2">
                  <c:v>0</c:v>
                </c:pt>
              </c:numCache>
            </c:numRef>
          </c:yVal>
          <c:smooth val="1"/>
          <c:extLst>
            <c:ext xmlns:c16="http://schemas.microsoft.com/office/drawing/2014/chart" uri="{C3380CC4-5D6E-409C-BE32-E72D297353CC}">
              <c16:uniqueId val="{0000004C-BD2D-4991-9D42-84343DE074F2}"/>
            </c:ext>
          </c:extLst>
        </c:ser>
        <c:ser>
          <c:idx val="76"/>
          <c:order val="60"/>
          <c:tx>
            <c:v>US ATD CAMI-Newborn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D-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Solution!$AX$27:$AX$29</c:f>
              <c:numCache>
                <c:formatCode>General</c:formatCode>
                <c:ptCount val="3"/>
                <c:pt idx="0">
                  <c:v>-6.4418181818181814</c:v>
                </c:pt>
                <c:pt idx="1">
                  <c:v>-8.493927272727273</c:v>
                </c:pt>
                <c:pt idx="2">
                  <c:v>-9</c:v>
                </c:pt>
              </c:numCache>
            </c:numRef>
          </c:xVal>
          <c:yVal>
            <c:numRef>
              <c:f>Solution!$AY$27:$AY$29</c:f>
              <c:numCache>
                <c:formatCode>0.0</c:formatCode>
                <c:ptCount val="3"/>
                <c:pt idx="0">
                  <c:v>26.7</c:v>
                </c:pt>
                <c:pt idx="1">
                  <c:v>26.060454545454544</c:v>
                </c:pt>
                <c:pt idx="2">
                  <c:v>24.141818181818181</c:v>
                </c:pt>
              </c:numCache>
            </c:numRef>
          </c:yVal>
          <c:smooth val="1"/>
          <c:extLst>
            <c:ext xmlns:c16="http://schemas.microsoft.com/office/drawing/2014/chart" uri="{C3380CC4-5D6E-409C-BE32-E72D297353CC}">
              <c16:uniqueId val="{0000004E-BD2D-4991-9D42-84343DE074F2}"/>
            </c:ext>
          </c:extLst>
        </c:ser>
        <c:ser>
          <c:idx val="78"/>
          <c:order val="61"/>
          <c:tx>
            <c:v>US ATD CAMI-6mo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F-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Solution!$AX$34:$AX$36</c:f>
              <c:numCache>
                <c:formatCode>General</c:formatCode>
                <c:ptCount val="3"/>
                <c:pt idx="0">
                  <c:v>-6.6736363636363638</c:v>
                </c:pt>
                <c:pt idx="1">
                  <c:v>-9.087863636363636</c:v>
                </c:pt>
                <c:pt idx="2">
                  <c:v>-9.5</c:v>
                </c:pt>
              </c:numCache>
            </c:numRef>
          </c:xVal>
          <c:yVal>
            <c:numRef>
              <c:f>Solution!$AY$34:$AY$36</c:f>
              <c:numCache>
                <c:formatCode>0.0</c:formatCode>
                <c:ptCount val="3"/>
                <c:pt idx="0">
                  <c:v>29</c:v>
                </c:pt>
                <c:pt idx="1">
                  <c:v>28.293409090909091</c:v>
                </c:pt>
                <c:pt idx="2">
                  <c:v>26.173636363636362</c:v>
                </c:pt>
              </c:numCache>
            </c:numRef>
          </c:yVal>
          <c:smooth val="1"/>
          <c:extLst>
            <c:ext xmlns:c16="http://schemas.microsoft.com/office/drawing/2014/chart" uri="{C3380CC4-5D6E-409C-BE32-E72D297353CC}">
              <c16:uniqueId val="{00000050-BD2D-4991-9D42-84343DE074F2}"/>
            </c:ext>
          </c:extLst>
        </c:ser>
        <c:ser>
          <c:idx val="80"/>
          <c:order val="62"/>
          <c:tx>
            <c:v>US ATD HIII-6yr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4641285956006769"/>
                  <c:y val="3.731343283582089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1-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Solution!$AX$97:$AX$99</c:f>
              <c:numCache>
                <c:formatCode>General</c:formatCode>
                <c:ptCount val="3"/>
                <c:pt idx="0">
                  <c:v>0</c:v>
                </c:pt>
                <c:pt idx="1">
                  <c:v>0</c:v>
                </c:pt>
                <c:pt idx="2">
                  <c:v>0</c:v>
                </c:pt>
              </c:numCache>
            </c:numRef>
          </c:xVal>
          <c:yVal>
            <c:numRef>
              <c:f>Solution!$AY$97:$AY$99</c:f>
              <c:numCache>
                <c:formatCode>0.0</c:formatCode>
                <c:ptCount val="3"/>
                <c:pt idx="0">
                  <c:v>0</c:v>
                </c:pt>
                <c:pt idx="1">
                  <c:v>0</c:v>
                </c:pt>
                <c:pt idx="2">
                  <c:v>0</c:v>
                </c:pt>
              </c:numCache>
            </c:numRef>
          </c:yVal>
          <c:smooth val="1"/>
          <c:extLst>
            <c:ext xmlns:c16="http://schemas.microsoft.com/office/drawing/2014/chart" uri="{C3380CC4-5D6E-409C-BE32-E72D297353CC}">
              <c16:uniqueId val="{00000052-BD2D-4991-9D42-84343DE074F2}"/>
            </c:ext>
          </c:extLst>
        </c:ser>
        <c:ser>
          <c:idx val="82"/>
          <c:order val="63"/>
          <c:tx>
            <c:v>US ATD HIII-6yr wtd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7892548329935914"/>
                  <c:y val="-4.664179104477611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3-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Solution!$AX$104:$AX$106</c:f>
              <c:numCache>
                <c:formatCode>General</c:formatCode>
                <c:ptCount val="3"/>
                <c:pt idx="0">
                  <c:v>0</c:v>
                </c:pt>
                <c:pt idx="1">
                  <c:v>0</c:v>
                </c:pt>
                <c:pt idx="2">
                  <c:v>0</c:v>
                </c:pt>
              </c:numCache>
            </c:numRef>
          </c:xVal>
          <c:yVal>
            <c:numRef>
              <c:f>Solution!$AY$104:$AY$106</c:f>
              <c:numCache>
                <c:formatCode>0.0</c:formatCode>
                <c:ptCount val="3"/>
                <c:pt idx="0">
                  <c:v>0</c:v>
                </c:pt>
                <c:pt idx="1">
                  <c:v>0</c:v>
                </c:pt>
                <c:pt idx="2">
                  <c:v>0</c:v>
                </c:pt>
              </c:numCache>
            </c:numRef>
          </c:yVal>
          <c:smooth val="1"/>
          <c:extLst>
            <c:ext xmlns:c16="http://schemas.microsoft.com/office/drawing/2014/chart" uri="{C3380CC4-5D6E-409C-BE32-E72D297353CC}">
              <c16:uniqueId val="{00000054-BD2D-4991-9D42-84343DE074F2}"/>
            </c:ext>
          </c:extLst>
        </c:ser>
        <c:ser>
          <c:idx val="83"/>
          <c:order val="64"/>
          <c:tx>
            <c:v>EU ATD Q6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5-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Solution!$AU$90:$AU$92</c:f>
              <c:numCache>
                <c:formatCode>0.0</c:formatCode>
                <c:ptCount val="3"/>
                <c:pt idx="0">
                  <c:v>0</c:v>
                </c:pt>
                <c:pt idx="1">
                  <c:v>0</c:v>
                </c:pt>
                <c:pt idx="2">
                  <c:v>0</c:v>
                </c:pt>
              </c:numCache>
            </c:numRef>
          </c:xVal>
          <c:yVal>
            <c:numRef>
              <c:f>Solution!$AV$90:$AV$92</c:f>
              <c:numCache>
                <c:formatCode>0.0</c:formatCode>
                <c:ptCount val="3"/>
                <c:pt idx="0">
                  <c:v>0</c:v>
                </c:pt>
                <c:pt idx="1">
                  <c:v>0</c:v>
                </c:pt>
                <c:pt idx="2">
                  <c:v>0</c:v>
                </c:pt>
              </c:numCache>
            </c:numRef>
          </c:yVal>
          <c:smooth val="1"/>
          <c:extLst>
            <c:ext xmlns:c16="http://schemas.microsoft.com/office/drawing/2014/chart" uri="{C3380CC4-5D6E-409C-BE32-E72D297353CC}">
              <c16:uniqueId val="{00000056-BD2D-4991-9D42-84343DE074F2}"/>
            </c:ext>
          </c:extLst>
        </c:ser>
        <c:ser>
          <c:idx val="86"/>
          <c:order val="65"/>
          <c:tx>
            <c:v>US ATD HIII-3yr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7-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Solution!$AX$83:$AX$85</c:f>
              <c:numCache>
                <c:formatCode>General</c:formatCode>
                <c:ptCount val="3"/>
                <c:pt idx="0">
                  <c:v>0</c:v>
                </c:pt>
                <c:pt idx="1">
                  <c:v>0</c:v>
                </c:pt>
                <c:pt idx="2">
                  <c:v>0</c:v>
                </c:pt>
              </c:numCache>
            </c:numRef>
          </c:xVal>
          <c:yVal>
            <c:numRef>
              <c:f>Solution!$AY$83:$AY$85</c:f>
              <c:numCache>
                <c:formatCode>0.0</c:formatCode>
                <c:ptCount val="3"/>
                <c:pt idx="0">
                  <c:v>0</c:v>
                </c:pt>
                <c:pt idx="1">
                  <c:v>0</c:v>
                </c:pt>
                <c:pt idx="2">
                  <c:v>0</c:v>
                </c:pt>
              </c:numCache>
            </c:numRef>
          </c:yVal>
          <c:smooth val="1"/>
          <c:extLst>
            <c:ext xmlns:c16="http://schemas.microsoft.com/office/drawing/2014/chart" uri="{C3380CC4-5D6E-409C-BE32-E72D297353CC}">
              <c16:uniqueId val="{00000058-BD2D-4991-9D42-84343DE074F2}"/>
            </c:ext>
          </c:extLst>
        </c:ser>
        <c:ser>
          <c:idx val="87"/>
          <c:order val="66"/>
          <c:tx>
            <c:v>EU ATD Q0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3536379018612646E-2"/>
                  <c:y val="1.119402985074626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9-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Solution!$AU$41:$AU$43</c:f>
              <c:numCache>
                <c:formatCode>0.0</c:formatCode>
                <c:ptCount val="3"/>
                <c:pt idx="0">
                  <c:v>0</c:v>
                </c:pt>
                <c:pt idx="1">
                  <c:v>0</c:v>
                </c:pt>
                <c:pt idx="2">
                  <c:v>0</c:v>
                </c:pt>
              </c:numCache>
            </c:numRef>
          </c:xVal>
          <c:yVal>
            <c:numRef>
              <c:f>Solution!$AV$41:$AV$43</c:f>
              <c:numCache>
                <c:formatCode>0.0</c:formatCode>
                <c:ptCount val="3"/>
                <c:pt idx="0">
                  <c:v>0</c:v>
                </c:pt>
                <c:pt idx="1">
                  <c:v>0</c:v>
                </c:pt>
                <c:pt idx="2">
                  <c:v>0</c:v>
                </c:pt>
              </c:numCache>
            </c:numRef>
          </c:yVal>
          <c:smooth val="1"/>
          <c:extLst>
            <c:ext xmlns:c16="http://schemas.microsoft.com/office/drawing/2014/chart" uri="{C3380CC4-5D6E-409C-BE32-E72D297353CC}">
              <c16:uniqueId val="{0000005A-BD2D-4991-9D42-84343DE074F2}"/>
            </c:ext>
          </c:extLst>
        </c:ser>
        <c:ser>
          <c:idx val="89"/>
          <c:order val="67"/>
          <c:tx>
            <c:v>EU ATD Q1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8612521150592216E-2"/>
                  <c:y val="1.212686567164172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B-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Solution!$AU$48:$AU$50</c:f>
              <c:numCache>
                <c:formatCode>0.0</c:formatCode>
                <c:ptCount val="3"/>
                <c:pt idx="0">
                  <c:v>0</c:v>
                </c:pt>
                <c:pt idx="1">
                  <c:v>0</c:v>
                </c:pt>
                <c:pt idx="2">
                  <c:v>0</c:v>
                </c:pt>
              </c:numCache>
            </c:numRef>
          </c:xVal>
          <c:yVal>
            <c:numRef>
              <c:f>Solution!$AV$48:$AV$50</c:f>
              <c:numCache>
                <c:formatCode>0.0</c:formatCode>
                <c:ptCount val="3"/>
                <c:pt idx="0">
                  <c:v>0</c:v>
                </c:pt>
                <c:pt idx="1">
                  <c:v>0</c:v>
                </c:pt>
                <c:pt idx="2">
                  <c:v>0</c:v>
                </c:pt>
              </c:numCache>
            </c:numRef>
          </c:yVal>
          <c:smooth val="1"/>
          <c:extLst>
            <c:ext xmlns:c16="http://schemas.microsoft.com/office/drawing/2014/chart" uri="{C3380CC4-5D6E-409C-BE32-E72D297353CC}">
              <c16:uniqueId val="{0000005C-BD2D-4991-9D42-84343DE074F2}"/>
            </c:ext>
          </c:extLst>
        </c:ser>
        <c:ser>
          <c:idx val="91"/>
          <c:order val="68"/>
          <c:tx>
            <c:v>UE ATD Q3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D-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Solution!$AU$76:$AU$78</c:f>
              <c:numCache>
                <c:formatCode>0.0</c:formatCode>
                <c:ptCount val="3"/>
                <c:pt idx="0">
                  <c:v>0</c:v>
                </c:pt>
                <c:pt idx="1">
                  <c:v>0</c:v>
                </c:pt>
                <c:pt idx="2">
                  <c:v>0</c:v>
                </c:pt>
              </c:numCache>
            </c:numRef>
          </c:xVal>
          <c:yVal>
            <c:numRef>
              <c:f>Solution!$AV$76:$AV$78</c:f>
              <c:numCache>
                <c:formatCode>0.0</c:formatCode>
                <c:ptCount val="3"/>
                <c:pt idx="0">
                  <c:v>0</c:v>
                </c:pt>
                <c:pt idx="1">
                  <c:v>0</c:v>
                </c:pt>
                <c:pt idx="2">
                  <c:v>0</c:v>
                </c:pt>
              </c:numCache>
            </c:numRef>
          </c:yVal>
          <c:smooth val="1"/>
          <c:extLst>
            <c:ext xmlns:c16="http://schemas.microsoft.com/office/drawing/2014/chart" uri="{C3380CC4-5D6E-409C-BE32-E72D297353CC}">
              <c16:uniqueId val="{0000005E-BD2D-4991-9D42-84343DE074F2}"/>
            </c:ext>
          </c:extLst>
        </c:ser>
        <c:ser>
          <c:idx val="94"/>
          <c:order val="69"/>
          <c:tx>
            <c:v>US ATD CRABI 18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F-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Solution!$AX$69:$AX$71</c:f>
              <c:numCache>
                <c:formatCode>General</c:formatCode>
                <c:ptCount val="3"/>
                <c:pt idx="0">
                  <c:v>-7.1372727272727277</c:v>
                </c:pt>
                <c:pt idx="1">
                  <c:v>-10.727304545454544</c:v>
                </c:pt>
                <c:pt idx="2">
                  <c:v>-11.2</c:v>
                </c:pt>
              </c:numCache>
            </c:numRef>
          </c:xVal>
          <c:yVal>
            <c:numRef>
              <c:f>Solution!$AY$69:$AY$71</c:f>
              <c:numCache>
                <c:formatCode>0.0</c:formatCode>
                <c:ptCount val="3"/>
                <c:pt idx="0">
                  <c:v>34.5</c:v>
                </c:pt>
                <c:pt idx="1">
                  <c:v>33.484318181818182</c:v>
                </c:pt>
                <c:pt idx="2">
                  <c:v>30.437272727272727</c:v>
                </c:pt>
              </c:numCache>
            </c:numRef>
          </c:yVal>
          <c:smooth val="1"/>
          <c:extLst>
            <c:ext xmlns:c16="http://schemas.microsoft.com/office/drawing/2014/chart" uri="{C3380CC4-5D6E-409C-BE32-E72D297353CC}">
              <c16:uniqueId val="{00000060-BD2D-4991-9D42-84343DE074F2}"/>
            </c:ext>
          </c:extLst>
        </c:ser>
        <c:ser>
          <c:idx val="95"/>
          <c:order val="70"/>
          <c:tx>
            <c:v>EU ATD Q1.5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4602368866328256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1-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Solution!$AU$62:$AU$64</c:f>
              <c:numCache>
                <c:formatCode>0.0</c:formatCode>
                <c:ptCount val="3"/>
                <c:pt idx="0">
                  <c:v>0</c:v>
                </c:pt>
                <c:pt idx="1">
                  <c:v>0</c:v>
                </c:pt>
                <c:pt idx="2">
                  <c:v>0</c:v>
                </c:pt>
              </c:numCache>
            </c:numRef>
          </c:xVal>
          <c:yVal>
            <c:numRef>
              <c:f>Solution!$AV$62:$AV$64</c:f>
              <c:numCache>
                <c:formatCode>0.0</c:formatCode>
                <c:ptCount val="3"/>
                <c:pt idx="0">
                  <c:v>0</c:v>
                </c:pt>
                <c:pt idx="1">
                  <c:v>0</c:v>
                </c:pt>
                <c:pt idx="2">
                  <c:v>0</c:v>
                </c:pt>
              </c:numCache>
            </c:numRef>
          </c:yVal>
          <c:smooth val="1"/>
          <c:extLst>
            <c:ext xmlns:c16="http://schemas.microsoft.com/office/drawing/2014/chart" uri="{C3380CC4-5D6E-409C-BE32-E72D297353CC}">
              <c16:uniqueId val="{00000062-BD2D-4991-9D42-84343DE074F2}"/>
            </c:ext>
          </c:extLst>
        </c:ser>
        <c:ser>
          <c:idx val="98"/>
          <c:order val="71"/>
          <c:tx>
            <c:v>US ATD CRABI 12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3-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Solution!$AX$55:$AX$57</c:f>
              <c:numCache>
                <c:formatCode>General</c:formatCode>
                <c:ptCount val="3"/>
                <c:pt idx="0">
                  <c:v>-6.9054545454545462</c:v>
                </c:pt>
                <c:pt idx="1">
                  <c:v>-10.182163636363635</c:v>
                </c:pt>
                <c:pt idx="2">
                  <c:v>-10.65</c:v>
                </c:pt>
              </c:numCache>
            </c:numRef>
          </c:xVal>
          <c:yVal>
            <c:numRef>
              <c:f>Solution!$AY$55:$AY$57</c:f>
              <c:numCache>
                <c:formatCode>0.0</c:formatCode>
                <c:ptCount val="3"/>
                <c:pt idx="0">
                  <c:v>32.700000000000003</c:v>
                </c:pt>
                <c:pt idx="1">
                  <c:v>31.763863636363638</c:v>
                </c:pt>
                <c:pt idx="2">
                  <c:v>28.95545454545455</c:v>
                </c:pt>
              </c:numCache>
            </c:numRef>
          </c:yVal>
          <c:smooth val="1"/>
          <c:extLst>
            <c:ext xmlns:c16="http://schemas.microsoft.com/office/drawing/2014/chart" uri="{C3380CC4-5D6E-409C-BE32-E72D297353CC}">
              <c16:uniqueId val="{00000064-BD2D-4991-9D42-84343DE074F2}"/>
            </c:ext>
          </c:extLst>
        </c:ser>
        <c:ser>
          <c:idx val="99"/>
          <c:order val="72"/>
          <c:tx>
            <c:v>Seated 5th</c:v>
          </c:tx>
          <c:spPr>
            <a:ln w="0" cap="rnd">
              <a:noFill/>
              <a:round/>
            </a:ln>
            <a:effectLst/>
          </c:spPr>
          <c:marker>
            <c:symbol val="dash"/>
            <c:size val="15"/>
            <c:spPr>
              <a:solidFill>
                <a:schemeClr val="accent5">
                  <a:lumMod val="60000"/>
                  <a:lumOff val="4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Data'!$K$3:$K$45</c:f>
              <c:numCache>
                <c:formatCode>0.0</c:formatCode>
                <c:ptCount val="43"/>
                <c:pt idx="0">
                  <c:v>33.75</c:v>
                </c:pt>
                <c:pt idx="1">
                  <c:v>40.353999999999999</c:v>
                </c:pt>
                <c:pt idx="2">
                  <c:v>45.433999999999997</c:v>
                </c:pt>
                <c:pt idx="3">
                  <c:v>47.973999999999997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5-BD2D-4991-9D42-84343DE074F2}"/>
            </c:ext>
          </c:extLst>
        </c:ser>
        <c:ser>
          <c:idx val="100"/>
          <c:order val="73"/>
          <c:tx>
            <c:v>Seated Mean</c:v>
          </c:tx>
          <c:spPr>
            <a:ln w="0" cap="rnd">
              <a:solidFill>
                <a:schemeClr val="bg1"/>
              </a:solidFill>
              <a:round/>
            </a:ln>
            <a:effectLst/>
          </c:spPr>
          <c:marker>
            <c:symbol val="dash"/>
            <c:size val="15"/>
            <c:spPr>
              <a:solidFill>
                <a:srgbClr val="00B050"/>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Data'!$L$3:$L$45</c:f>
              <c:numCache>
                <c:formatCode>0.0</c:formatCode>
                <c:ptCount val="43"/>
                <c:pt idx="0">
                  <c:v>39.845999999999997</c:v>
                </c:pt>
                <c:pt idx="1">
                  <c:v>45.942</c:v>
                </c:pt>
                <c:pt idx="2">
                  <c:v>50.006</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6-BD2D-4991-9D42-84343DE074F2}"/>
            </c:ext>
          </c:extLst>
        </c:ser>
        <c:ser>
          <c:idx val="101"/>
          <c:order val="74"/>
          <c:tx>
            <c:v>Seated 95th</c:v>
          </c:tx>
          <c:spPr>
            <a:ln w="0" cap="rnd">
              <a:noFill/>
              <a:round/>
            </a:ln>
            <a:effectLst/>
          </c:spPr>
          <c:marker>
            <c:symbol val="dash"/>
            <c:size val="15"/>
            <c:spPr>
              <a:solidFill>
                <a:schemeClr val="accent4">
                  <a:lumMod val="5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Data'!$M$3:$M$45</c:f>
              <c:numCache>
                <c:formatCode>0.0</c:formatCode>
                <c:ptCount val="43"/>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7-BD2D-4991-9D42-84343DE074F2}"/>
            </c:ext>
          </c:extLst>
        </c:ser>
        <c:ser>
          <c:idx val="0"/>
          <c:order val="75"/>
          <c:tx>
            <c:v>Crotch 5th Depth</c:v>
          </c:tx>
          <c:spPr>
            <a:ln w="19050" cap="rnd">
              <a:solidFill>
                <a:schemeClr val="accent1"/>
              </a:solidFill>
              <a:round/>
            </a:ln>
            <a:effectLst/>
          </c:spPr>
          <c:marker>
            <c:symbol val="circle"/>
            <c:size val="5"/>
            <c:spPr>
              <a:solidFill>
                <a:schemeClr val="accent5">
                  <a:lumMod val="60000"/>
                  <a:lumOff val="4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Data'!$AA$55:$AA$97</c:f>
              <c:numCache>
                <c:formatCode>0.00</c:formatCode>
                <c:ptCount val="43"/>
                <c:pt idx="0">
                  <c:v>-10.121395999999999</c:v>
                </c:pt>
                <c:pt idx="1">
                  <c:v>-10.90016</c:v>
                </c:pt>
                <c:pt idx="2">
                  <c:v>-11.419335999999999</c:v>
                </c:pt>
                <c:pt idx="3">
                  <c:v>-11.493504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8-BD2D-4991-9D42-84343DE074F2}"/>
            </c:ext>
          </c:extLst>
        </c:ser>
        <c:ser>
          <c:idx val="1"/>
          <c:order val="76"/>
          <c:tx>
            <c:v>Mean Crotch Depth</c:v>
          </c:tx>
          <c:spPr>
            <a:ln w="19050" cap="rnd">
              <a:solidFill>
                <a:schemeClr val="accent2"/>
              </a:solidFill>
              <a:round/>
            </a:ln>
            <a:effectLst/>
          </c:spPr>
          <c:marker>
            <c:symbol val="circle"/>
            <c:size val="5"/>
            <c:spPr>
              <a:solidFill>
                <a:srgbClr val="00B050"/>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Data'!$AB$55:$AB$97</c:f>
              <c:numCache>
                <c:formatCode>0.00</c:formatCode>
                <c:ptCount val="43"/>
                <c:pt idx="0">
                  <c:v>-11.64184</c:v>
                </c:pt>
                <c:pt idx="1">
                  <c:v>-12.383520000000001</c:v>
                </c:pt>
                <c:pt idx="2">
                  <c:v>-12.939780000000001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9-BD2D-4991-9D42-84343DE074F2}"/>
            </c:ext>
          </c:extLst>
        </c:ser>
        <c:ser>
          <c:idx val="2"/>
          <c:order val="77"/>
          <c:tx>
            <c:v>95th Crotch Depth</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Data'!$AC$55:$AC$97</c:f>
              <c:numCache>
                <c:formatCode>0.00</c:formatCode>
                <c:ptCount val="43"/>
                <c:pt idx="0">
                  <c:v>-13.162284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A-BD2D-4991-9D42-84343DE074F2}"/>
            </c:ext>
          </c:extLst>
        </c:ser>
        <c:ser>
          <c:idx val="3"/>
          <c:order val="78"/>
          <c:tx>
            <c:v>Hip Width Left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Data'!$BO$3:$BO$45</c:f>
              <c:numCache>
                <c:formatCode>0.0</c:formatCode>
                <c:ptCount val="43"/>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B-BD2D-4991-9D42-84343DE074F2}"/>
            </c:ext>
          </c:extLst>
        </c:ser>
        <c:ser>
          <c:idx val="4"/>
          <c:order val="79"/>
          <c:tx>
            <c:v>Hip Width Right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Data'!$BK$3:$BK$45</c:f>
              <c:numCache>
                <c:formatCode>0.0</c:formatCode>
                <c:ptCount val="43"/>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C-BD2D-4991-9D42-84343DE074F2}"/>
            </c:ext>
          </c:extLst>
        </c:ser>
        <c:ser>
          <c:idx val="5"/>
          <c:order val="80"/>
          <c:tx>
            <c:v>Hip Width Left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'Big Data'!$BP$3:$BP$45</c:f>
              <c:numCache>
                <c:formatCode>0.0</c:formatCode>
                <c:ptCount val="43"/>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D-BD2D-4991-9D42-84343DE074F2}"/>
            </c:ext>
          </c:extLst>
        </c:ser>
        <c:ser>
          <c:idx val="6"/>
          <c:order val="81"/>
          <c:tx>
            <c:v>Hip Width Right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'Big Data'!$BL$3:$BL$45</c:f>
              <c:numCache>
                <c:formatCode>0.0</c:formatCode>
                <c:ptCount val="43"/>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E-BD2D-4991-9D42-84343DE074F2}"/>
            </c:ext>
          </c:extLst>
        </c:ser>
        <c:ser>
          <c:idx val="7"/>
          <c:order val="82"/>
          <c:tx>
            <c:v>Hip Width Left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Data'!$BQ$3:$BQ$45</c:f>
              <c:numCache>
                <c:formatCode>0.0</c:formatCode>
                <c:ptCount val="43"/>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F-BD2D-4991-9D42-84343DE074F2}"/>
            </c:ext>
          </c:extLst>
        </c:ser>
        <c:ser>
          <c:idx val="8"/>
          <c:order val="83"/>
          <c:tx>
            <c:v>Hip Width Right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Data'!$BM$3:$BM$45</c:f>
              <c:numCache>
                <c:formatCode>0.0</c:formatCode>
                <c:ptCount val="43"/>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70-BD2D-4991-9D42-84343DE074F2}"/>
            </c:ext>
          </c:extLst>
        </c:ser>
        <c:ser>
          <c:idx val="64"/>
          <c:order val="84"/>
          <c:tx>
            <c:v>Biacromial Shoulder Breadth 5th Left</c:v>
          </c:tx>
          <c:spPr>
            <a:ln w="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Data'!$BW$3:$BW$45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1-BD2D-4991-9D42-84343DE074F2}"/>
            </c:ext>
          </c:extLst>
        </c:ser>
        <c:ser>
          <c:idx val="63"/>
          <c:order val="85"/>
          <c:tx>
            <c:v>Biacromial Shoulder Breadth 5th Right</c:v>
          </c:tx>
          <c:spPr>
            <a:ln w="1905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Data'!$BS$3:$BS$45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2-BD2D-4991-9D42-84343DE074F2}"/>
            </c:ext>
          </c:extLst>
        </c:ser>
        <c:ser>
          <c:idx val="66"/>
          <c:order val="86"/>
          <c:tx>
            <c:v>Biacromial Shoulder Breadth Mean Left</c:v>
          </c:tx>
          <c:spPr>
            <a:ln w="0" cap="rnd">
              <a:noFill/>
              <a:round/>
            </a:ln>
            <a:effectLst/>
          </c:spPr>
          <c:marker>
            <c:symbol val="circle"/>
            <c:size val="5"/>
            <c:spPr>
              <a:solidFill>
                <a:srgbClr val="00B050"/>
              </a:solidFill>
              <a:ln w="9525">
                <a:solidFill>
                  <a:schemeClr val="tx1"/>
                </a:solidFill>
              </a:ln>
              <a:effectLst/>
            </c:spPr>
          </c:marker>
          <c:xVal>
            <c:numRef>
              <c:f>'Big Data'!$BX$3:$BX$45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3-BD2D-4991-9D42-84343DE074F2}"/>
            </c:ext>
          </c:extLst>
        </c:ser>
        <c:ser>
          <c:idx val="65"/>
          <c:order val="87"/>
          <c:tx>
            <c:v>Biacromial Shoulder Breadth Mean Right</c:v>
          </c:tx>
          <c:spPr>
            <a:ln w="0" cap="rnd">
              <a:noFill/>
              <a:round/>
            </a:ln>
            <a:effectLst/>
          </c:spPr>
          <c:marker>
            <c:symbol val="circle"/>
            <c:size val="5"/>
            <c:spPr>
              <a:solidFill>
                <a:srgbClr val="00B050"/>
              </a:solidFill>
              <a:ln w="9525">
                <a:solidFill>
                  <a:schemeClr val="tx1"/>
                </a:solidFill>
              </a:ln>
              <a:effectLst/>
            </c:spPr>
          </c:marker>
          <c:xVal>
            <c:numRef>
              <c:f>'Big Data'!$BT$3:$BT$45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4-BD2D-4991-9D42-84343DE074F2}"/>
            </c:ext>
          </c:extLst>
        </c:ser>
        <c:ser>
          <c:idx val="103"/>
          <c:order val="88"/>
          <c:tx>
            <c:v>Biacromial Shoulder Breadth 95th Left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Data'!$BY$3:$BY$45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5-BD2D-4991-9D42-84343DE074F2}"/>
            </c:ext>
          </c:extLst>
        </c:ser>
        <c:ser>
          <c:idx val="102"/>
          <c:order val="89"/>
          <c:tx>
            <c:v>Biacromial Shoulder Breadth 95th Right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Data'!$BU$3:$BU$45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6-BD2D-4991-9D42-84343DE074F2}"/>
            </c:ext>
          </c:extLst>
        </c:ser>
        <c:ser>
          <c:idx val="104"/>
          <c:order val="90"/>
          <c:tx>
            <c:v>US ATD CAMI-Newborn Seated Height</c:v>
          </c:tx>
          <c:spPr>
            <a:ln w="19050" cap="rnd">
              <a:solidFill>
                <a:schemeClr val="accent3">
                  <a:lumMod val="50000"/>
                  <a:lumOff val="50000"/>
                </a:schemeClr>
              </a:solidFill>
              <a:round/>
            </a:ln>
            <a:effectLst/>
          </c:spPr>
          <c:marker>
            <c:symbol val="dash"/>
            <c:size val="15"/>
            <c:spPr>
              <a:solidFill>
                <a:srgbClr val="FF0000"/>
              </a:solidFill>
              <a:ln w="9525">
                <a:solidFill>
                  <a:schemeClr val="tx1"/>
                </a:solidFill>
              </a:ln>
              <a:effectLst/>
            </c:spPr>
          </c:marker>
          <c:dLbls>
            <c:dLbl>
              <c:idx val="0"/>
              <c:layout>
                <c:manualLayout>
                  <c:x val="-0.24305663629036514"/>
                  <c:y val="-1.1002179470285711E-3"/>
                </c:manualLayout>
              </c:layout>
              <c:numFmt formatCode="#&quot;&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9883680302192627"/>
                      <c:h val="2.3089025950831486E-2"/>
                    </c:manualLayout>
                  </c15:layout>
                </c:ext>
                <c:ext xmlns:c16="http://schemas.microsoft.com/office/drawing/2014/chart" uri="{C3380CC4-5D6E-409C-BE32-E72D297353CC}">
                  <c16:uniqueId val="{00000077-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Solution!$AH$20</c:f>
              <c:numCache>
                <c:formatCode>General</c:formatCode>
                <c:ptCount val="1"/>
                <c:pt idx="0">
                  <c:v>0</c:v>
                </c:pt>
              </c:numCache>
            </c:numRef>
          </c:xVal>
          <c:yVal>
            <c:numRef>
              <c:f>Solution!$AA$20</c:f>
              <c:numCache>
                <c:formatCode>0.0</c:formatCode>
                <c:ptCount val="1"/>
                <c:pt idx="0">
                  <c:v>36.299999999999997</c:v>
                </c:pt>
              </c:numCache>
            </c:numRef>
          </c:yVal>
          <c:smooth val="1"/>
          <c:extLst>
            <c:ext xmlns:c16="http://schemas.microsoft.com/office/drawing/2014/chart" uri="{C3380CC4-5D6E-409C-BE32-E72D297353CC}">
              <c16:uniqueId val="{00000078-BD2D-4991-9D42-84343DE074F2}"/>
            </c:ext>
          </c:extLst>
        </c:ser>
        <c:ser>
          <c:idx val="105"/>
          <c:order val="91"/>
          <c:tx>
            <c:v>US ATD CAMI-6mo Seated Height</c:v>
          </c:tx>
          <c:spPr>
            <a:ln w="19050" cap="rnd">
              <a:solidFill>
                <a:schemeClr val="accent4">
                  <a:lumMod val="50000"/>
                  <a:lumOff val="5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Solution!$AH$21</c:f>
              <c:numCache>
                <c:formatCode>General</c:formatCode>
                <c:ptCount val="1"/>
                <c:pt idx="0">
                  <c:v>0</c:v>
                </c:pt>
              </c:numCache>
            </c:numRef>
          </c:xVal>
          <c:yVal>
            <c:numRef>
              <c:f>Solution!$AA$21</c:f>
              <c:numCache>
                <c:formatCode>0.0</c:formatCode>
                <c:ptCount val="1"/>
                <c:pt idx="0">
                  <c:v>46.45</c:v>
                </c:pt>
              </c:numCache>
            </c:numRef>
          </c:yVal>
          <c:smooth val="1"/>
          <c:extLst>
            <c:ext xmlns:c16="http://schemas.microsoft.com/office/drawing/2014/chart" uri="{C3380CC4-5D6E-409C-BE32-E72D297353CC}">
              <c16:uniqueId val="{00000079-BD2D-4991-9D42-84343DE074F2}"/>
            </c:ext>
          </c:extLst>
        </c:ser>
        <c:ser>
          <c:idx val="106"/>
          <c:order val="92"/>
          <c:tx>
            <c:v>EU ATD Q0 Seated Height</c:v>
          </c:tx>
          <c:spPr>
            <a:ln w="19050" cap="rnd">
              <a:solidFill>
                <a:schemeClr val="accent5">
                  <a:lumMod val="50000"/>
                  <a:lumOff val="50000"/>
                </a:schemeClr>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Solution!$AH$22</c:f>
              <c:numCache>
                <c:formatCode>General</c:formatCode>
                <c:ptCount val="1"/>
                <c:pt idx="0">
                  <c:v>0</c:v>
                </c:pt>
              </c:numCache>
            </c:numRef>
          </c:xVal>
          <c:yVal>
            <c:numRef>
              <c:f>Solution!$AA$22</c:f>
              <c:numCache>
                <c:formatCode>0.0</c:formatCode>
                <c:ptCount val="1"/>
                <c:pt idx="0">
                  <c:v>0</c:v>
                </c:pt>
              </c:numCache>
            </c:numRef>
          </c:yVal>
          <c:smooth val="1"/>
          <c:extLst>
            <c:ext xmlns:c16="http://schemas.microsoft.com/office/drawing/2014/chart" uri="{C3380CC4-5D6E-409C-BE32-E72D297353CC}">
              <c16:uniqueId val="{0000007A-BD2D-4991-9D42-84343DE074F2}"/>
            </c:ext>
          </c:extLst>
        </c:ser>
        <c:ser>
          <c:idx val="107"/>
          <c:order val="93"/>
          <c:tx>
            <c:v>EU ATD Q1 Seated Height</c:v>
          </c:tx>
          <c:spPr>
            <a:ln w="19050" cap="rnd">
              <a:solidFill>
                <a:schemeClr val="accent6">
                  <a:lumMod val="50000"/>
                  <a:lumOff val="50000"/>
                </a:schemeClr>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Solution!$AH$23</c:f>
              <c:numCache>
                <c:formatCode>General</c:formatCode>
                <c:ptCount val="1"/>
                <c:pt idx="0">
                  <c:v>0</c:v>
                </c:pt>
              </c:numCache>
            </c:numRef>
          </c:xVal>
          <c:yVal>
            <c:numRef>
              <c:f>Solution!$AA$23</c:f>
              <c:numCache>
                <c:formatCode>0.0</c:formatCode>
                <c:ptCount val="1"/>
                <c:pt idx="0">
                  <c:v>0</c:v>
                </c:pt>
              </c:numCache>
            </c:numRef>
          </c:yVal>
          <c:smooth val="1"/>
          <c:extLst>
            <c:ext xmlns:c16="http://schemas.microsoft.com/office/drawing/2014/chart" uri="{C3380CC4-5D6E-409C-BE32-E72D297353CC}">
              <c16:uniqueId val="{0000007B-BD2D-4991-9D42-84343DE074F2}"/>
            </c:ext>
          </c:extLst>
        </c:ser>
        <c:ser>
          <c:idx val="108"/>
          <c:order val="94"/>
          <c:tx>
            <c:v>US ATD CRABI 12 Seated Height</c:v>
          </c:tx>
          <c:spPr>
            <a:ln w="19050" cap="rnd">
              <a:solidFill>
                <a:schemeClr val="accent1"/>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Solution!$AH$24</c:f>
              <c:numCache>
                <c:formatCode>General</c:formatCode>
                <c:ptCount val="1"/>
                <c:pt idx="0">
                  <c:v>0</c:v>
                </c:pt>
              </c:numCache>
            </c:numRef>
          </c:xVal>
          <c:yVal>
            <c:numRef>
              <c:f>Solution!$AA$24</c:f>
              <c:numCache>
                <c:formatCode>0.0</c:formatCode>
                <c:ptCount val="1"/>
                <c:pt idx="0">
                  <c:v>50</c:v>
                </c:pt>
              </c:numCache>
            </c:numRef>
          </c:yVal>
          <c:smooth val="1"/>
          <c:extLst>
            <c:ext xmlns:c16="http://schemas.microsoft.com/office/drawing/2014/chart" uri="{C3380CC4-5D6E-409C-BE32-E72D297353CC}">
              <c16:uniqueId val="{0000007C-BD2D-4991-9D42-84343DE074F2}"/>
            </c:ext>
          </c:extLst>
        </c:ser>
        <c:ser>
          <c:idx val="109"/>
          <c:order val="95"/>
          <c:tx>
            <c:v>EU ATD Q1.5 Seated Height</c:v>
          </c:tx>
          <c:spPr>
            <a:ln w="19050" cap="rnd">
              <a:solidFill>
                <a:schemeClr val="accent2"/>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Solution!$AH$25</c:f>
              <c:numCache>
                <c:formatCode>General</c:formatCode>
                <c:ptCount val="1"/>
                <c:pt idx="0">
                  <c:v>0</c:v>
                </c:pt>
              </c:numCache>
            </c:numRef>
          </c:xVal>
          <c:yVal>
            <c:numRef>
              <c:f>Solution!$AA$25</c:f>
              <c:numCache>
                <c:formatCode>0.0</c:formatCode>
                <c:ptCount val="1"/>
                <c:pt idx="0">
                  <c:v>0</c:v>
                </c:pt>
              </c:numCache>
            </c:numRef>
          </c:yVal>
          <c:smooth val="1"/>
          <c:extLst>
            <c:ext xmlns:c16="http://schemas.microsoft.com/office/drawing/2014/chart" uri="{C3380CC4-5D6E-409C-BE32-E72D297353CC}">
              <c16:uniqueId val="{0000007D-BD2D-4991-9D42-84343DE074F2}"/>
            </c:ext>
          </c:extLst>
        </c:ser>
        <c:ser>
          <c:idx val="110"/>
          <c:order val="96"/>
          <c:tx>
            <c:v>US ATD CRABI 18 Seated Height</c:v>
          </c:tx>
          <c:spPr>
            <a:ln w="19050" cap="rnd">
              <a:solidFill>
                <a:schemeClr val="accent3"/>
              </a:solidFill>
              <a:round/>
            </a:ln>
            <a:effectLst/>
          </c:spPr>
          <c:marker>
            <c:symbol val="dash"/>
            <c:size val="15"/>
            <c:spPr>
              <a:solidFill>
                <a:srgbClr val="FF0000"/>
              </a:solidFill>
              <a:ln w="9525">
                <a:solidFill>
                  <a:schemeClr val="tx1"/>
                </a:solid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Solution!$AH$26</c:f>
              <c:numCache>
                <c:formatCode>General</c:formatCode>
                <c:ptCount val="1"/>
                <c:pt idx="0">
                  <c:v>0</c:v>
                </c:pt>
              </c:numCache>
            </c:numRef>
          </c:xVal>
          <c:yVal>
            <c:numRef>
              <c:f>Solution!$AA$26</c:f>
              <c:numCache>
                <c:formatCode>0.0</c:formatCode>
                <c:ptCount val="1"/>
                <c:pt idx="0">
                  <c:v>52.5</c:v>
                </c:pt>
              </c:numCache>
            </c:numRef>
          </c:yVal>
          <c:smooth val="1"/>
          <c:extLst>
            <c:ext xmlns:c16="http://schemas.microsoft.com/office/drawing/2014/chart" uri="{C3380CC4-5D6E-409C-BE32-E72D297353CC}">
              <c16:uniqueId val="{0000007E-BD2D-4991-9D42-84343DE074F2}"/>
            </c:ext>
          </c:extLst>
        </c:ser>
        <c:ser>
          <c:idx val="111"/>
          <c:order val="97"/>
          <c:tx>
            <c:v>EU ATD Q3 Seated Height</c:v>
          </c:tx>
          <c:spPr>
            <a:ln w="19050" cap="rnd">
              <a:solidFill>
                <a:schemeClr val="accent4"/>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Solution!$AH$27</c:f>
              <c:numCache>
                <c:formatCode>General</c:formatCode>
                <c:ptCount val="1"/>
                <c:pt idx="0">
                  <c:v>0</c:v>
                </c:pt>
              </c:numCache>
            </c:numRef>
          </c:xVal>
          <c:yVal>
            <c:numRef>
              <c:f>Solution!$AA$27</c:f>
              <c:numCache>
                <c:formatCode>0.0</c:formatCode>
                <c:ptCount val="1"/>
                <c:pt idx="0">
                  <c:v>0</c:v>
                </c:pt>
              </c:numCache>
            </c:numRef>
          </c:yVal>
          <c:smooth val="1"/>
          <c:extLst>
            <c:ext xmlns:c16="http://schemas.microsoft.com/office/drawing/2014/chart" uri="{C3380CC4-5D6E-409C-BE32-E72D297353CC}">
              <c16:uniqueId val="{0000007F-BD2D-4991-9D42-84343DE074F2}"/>
            </c:ext>
          </c:extLst>
        </c:ser>
        <c:ser>
          <c:idx val="112"/>
          <c:order val="98"/>
          <c:tx>
            <c:v>US ATD HIII-3yr Seated Height</c:v>
          </c:tx>
          <c:spPr>
            <a:ln w="19050" cap="rnd">
              <a:solidFill>
                <a:schemeClr val="accent5"/>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Solution!$AH$28</c:f>
              <c:numCache>
                <c:formatCode>General</c:formatCode>
                <c:ptCount val="1"/>
                <c:pt idx="0">
                  <c:v>0</c:v>
                </c:pt>
              </c:numCache>
            </c:numRef>
          </c:xVal>
          <c:yVal>
            <c:numRef>
              <c:f>Solution!$AA$28</c:f>
              <c:numCache>
                <c:formatCode>0.0</c:formatCode>
                <c:ptCount val="1"/>
                <c:pt idx="0">
                  <c:v>0</c:v>
                </c:pt>
              </c:numCache>
            </c:numRef>
          </c:yVal>
          <c:smooth val="1"/>
          <c:extLst>
            <c:ext xmlns:c16="http://schemas.microsoft.com/office/drawing/2014/chart" uri="{C3380CC4-5D6E-409C-BE32-E72D297353CC}">
              <c16:uniqueId val="{00000080-BD2D-4991-9D42-84343DE074F2}"/>
            </c:ext>
          </c:extLst>
        </c:ser>
        <c:ser>
          <c:idx val="113"/>
          <c:order val="99"/>
          <c:tx>
            <c:v>EU ATD Q6 Seated Height</c:v>
          </c:tx>
          <c:spPr>
            <a:ln w="19050" cap="rnd">
              <a:no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Solution!$AH$29</c:f>
              <c:numCache>
                <c:formatCode>General</c:formatCode>
                <c:ptCount val="1"/>
                <c:pt idx="0">
                  <c:v>0</c:v>
                </c:pt>
              </c:numCache>
            </c:numRef>
          </c:xVal>
          <c:yVal>
            <c:numRef>
              <c:f>Solution!$AA$29</c:f>
              <c:numCache>
                <c:formatCode>0.0</c:formatCode>
                <c:ptCount val="1"/>
                <c:pt idx="0">
                  <c:v>0</c:v>
                </c:pt>
              </c:numCache>
            </c:numRef>
          </c:yVal>
          <c:smooth val="1"/>
          <c:extLst>
            <c:ext xmlns:c16="http://schemas.microsoft.com/office/drawing/2014/chart" uri="{C3380CC4-5D6E-409C-BE32-E72D297353CC}">
              <c16:uniqueId val="{00000081-BD2D-4991-9D42-84343DE074F2}"/>
            </c:ext>
          </c:extLst>
        </c:ser>
        <c:ser>
          <c:idx val="114"/>
          <c:order val="100"/>
          <c:tx>
            <c:v>US ATD HIII-6yr Seated Height</c:v>
          </c:tx>
          <c:spPr>
            <a:ln w="19050" cap="rnd">
              <a:no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Solution!$AH$30</c:f>
              <c:numCache>
                <c:formatCode>General</c:formatCode>
                <c:ptCount val="1"/>
                <c:pt idx="0">
                  <c:v>0</c:v>
                </c:pt>
              </c:numCache>
            </c:numRef>
          </c:xVal>
          <c:yVal>
            <c:numRef>
              <c:f>Solution!$AA$30</c:f>
              <c:numCache>
                <c:formatCode>0.0</c:formatCode>
                <c:ptCount val="1"/>
                <c:pt idx="0">
                  <c:v>0</c:v>
                </c:pt>
              </c:numCache>
            </c:numRef>
          </c:yVal>
          <c:smooth val="1"/>
          <c:extLst>
            <c:ext xmlns:c16="http://schemas.microsoft.com/office/drawing/2014/chart" uri="{C3380CC4-5D6E-409C-BE32-E72D297353CC}">
              <c16:uniqueId val="{00000082-BD2D-4991-9D42-84343DE074F2}"/>
            </c:ext>
          </c:extLst>
        </c:ser>
        <c:ser>
          <c:idx val="115"/>
          <c:order val="101"/>
          <c:tx>
            <c:v>US ATD HIII-6yr wtd Seated Height</c:v>
          </c:tx>
          <c:spPr>
            <a:ln w="19050" cap="rnd">
              <a:no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Solution!$AH$31</c:f>
              <c:numCache>
                <c:formatCode>General</c:formatCode>
                <c:ptCount val="1"/>
                <c:pt idx="0">
                  <c:v>0</c:v>
                </c:pt>
              </c:numCache>
            </c:numRef>
          </c:xVal>
          <c:yVal>
            <c:numRef>
              <c:f>Solution!$AA$31</c:f>
              <c:numCache>
                <c:formatCode>0.0</c:formatCode>
                <c:ptCount val="1"/>
                <c:pt idx="0">
                  <c:v>0</c:v>
                </c:pt>
              </c:numCache>
            </c:numRef>
          </c:yVal>
          <c:smooth val="1"/>
          <c:extLst>
            <c:ext xmlns:c16="http://schemas.microsoft.com/office/drawing/2014/chart" uri="{C3380CC4-5D6E-409C-BE32-E72D297353CC}">
              <c16:uniqueId val="{00000083-BD2D-4991-9D42-84343DE074F2}"/>
            </c:ext>
          </c:extLst>
        </c:ser>
        <c:ser>
          <c:idx val="116"/>
          <c:order val="102"/>
          <c:tx>
            <c:v>US ATD HIII-10yr Seated Height</c:v>
          </c:tx>
          <c:spPr>
            <a:ln w="19050" cap="rnd">
              <a:solidFill>
                <a:schemeClr val="accent3">
                  <a:lumMod val="60000"/>
                </a:schemeClr>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Solution!$AH$32</c:f>
              <c:numCache>
                <c:formatCode>General</c:formatCode>
                <c:ptCount val="1"/>
                <c:pt idx="0">
                  <c:v>0</c:v>
                </c:pt>
              </c:numCache>
            </c:numRef>
          </c:xVal>
          <c:yVal>
            <c:numRef>
              <c:f>Solution!$AA$32</c:f>
              <c:numCache>
                <c:formatCode>0.0</c:formatCode>
                <c:ptCount val="1"/>
                <c:pt idx="0">
                  <c:v>0</c:v>
                </c:pt>
              </c:numCache>
            </c:numRef>
          </c:yVal>
          <c:smooth val="1"/>
          <c:extLst>
            <c:ext xmlns:c16="http://schemas.microsoft.com/office/drawing/2014/chart" uri="{C3380CC4-5D6E-409C-BE32-E72D297353CC}">
              <c16:uniqueId val="{00000084-BD2D-4991-9D42-84343DE074F2}"/>
            </c:ext>
          </c:extLst>
        </c:ser>
        <c:ser>
          <c:idx val="117"/>
          <c:order val="103"/>
          <c:tx>
            <c:v>EU ATD Q10 Seated Height</c:v>
          </c:tx>
          <c:spPr>
            <a:ln w="19050" cap="rnd">
              <a:solidFill>
                <a:schemeClr val="accent4">
                  <a:lumMod val="60000"/>
                </a:schemeClr>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Solution!$AH$33</c:f>
              <c:numCache>
                <c:formatCode>General</c:formatCode>
                <c:ptCount val="1"/>
                <c:pt idx="0">
                  <c:v>0</c:v>
                </c:pt>
              </c:numCache>
            </c:numRef>
          </c:xVal>
          <c:yVal>
            <c:numRef>
              <c:f>Solution!$AA$33</c:f>
              <c:numCache>
                <c:formatCode>0.0</c:formatCode>
                <c:ptCount val="1"/>
                <c:pt idx="0">
                  <c:v>0</c:v>
                </c:pt>
              </c:numCache>
            </c:numRef>
          </c:yVal>
          <c:smooth val="1"/>
          <c:extLst>
            <c:ext xmlns:c16="http://schemas.microsoft.com/office/drawing/2014/chart" uri="{C3380CC4-5D6E-409C-BE32-E72D297353CC}">
              <c16:uniqueId val="{00000085-BD2D-4991-9D42-84343DE074F2}"/>
            </c:ext>
          </c:extLst>
        </c:ser>
        <c:ser>
          <c:idx val="72"/>
          <c:order val="104"/>
          <c:tx>
            <c:v>US ATD Primi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6-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Solution!$AN$19:$AN$22</c:f>
              <c:numCache>
                <c:formatCode>0.0</c:formatCode>
                <c:ptCount val="4"/>
                <c:pt idx="0">
                  <c:v>-4.5</c:v>
                </c:pt>
                <c:pt idx="1">
                  <c:v>-4.1400000000000006</c:v>
                </c:pt>
                <c:pt idx="2">
                  <c:v>-1.6560000000000004</c:v>
                </c:pt>
                <c:pt idx="3">
                  <c:v>0</c:v>
                </c:pt>
              </c:numCache>
            </c:numRef>
          </c:xVal>
          <c:yVal>
            <c:numRef>
              <c:f>Solution!$AO$19:$AO$22</c:f>
              <c:numCache>
                <c:formatCode>0.0</c:formatCode>
                <c:ptCount val="4"/>
                <c:pt idx="0">
                  <c:v>-2</c:v>
                </c:pt>
                <c:pt idx="1">
                  <c:v>-4.07</c:v>
                </c:pt>
                <c:pt idx="2">
                  <c:v>-6.1400000000000006</c:v>
                </c:pt>
                <c:pt idx="3">
                  <c:v>-6.5</c:v>
                </c:pt>
              </c:numCache>
            </c:numRef>
          </c:yVal>
          <c:smooth val="1"/>
          <c:extLst>
            <c:ext xmlns:c16="http://schemas.microsoft.com/office/drawing/2014/chart" uri="{C3380CC4-5D6E-409C-BE32-E72D297353CC}">
              <c16:uniqueId val="{00000087-BD2D-4991-9D42-84343DE074F2}"/>
            </c:ext>
          </c:extLst>
        </c:ser>
        <c:ser>
          <c:idx val="73"/>
          <c:order val="105"/>
          <c:tx>
            <c:v>US ATD Primi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8-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Solution!$AX$20:$AX$22</c:f>
              <c:numCache>
                <c:formatCode>0.0</c:formatCode>
                <c:ptCount val="3"/>
                <c:pt idx="0">
                  <c:v>-6.4418181818181814</c:v>
                </c:pt>
                <c:pt idx="1">
                  <c:v>-7.4862545454545453</c:v>
                </c:pt>
                <c:pt idx="2">
                  <c:v>-7.5</c:v>
                </c:pt>
              </c:numCache>
            </c:numRef>
          </c:xVal>
          <c:yVal>
            <c:numRef>
              <c:f>Solution!$AY$20:$AY$22</c:f>
              <c:numCache>
                <c:formatCode>0.0</c:formatCode>
                <c:ptCount val="3"/>
                <c:pt idx="0">
                  <c:v>19</c:v>
                </c:pt>
                <c:pt idx="1">
                  <c:v>18.735454545454544</c:v>
                </c:pt>
                <c:pt idx="2">
                  <c:v>17.941818181818181</c:v>
                </c:pt>
              </c:numCache>
            </c:numRef>
          </c:yVal>
          <c:smooth val="1"/>
          <c:extLst>
            <c:ext xmlns:c16="http://schemas.microsoft.com/office/drawing/2014/chart" uri="{C3380CC4-5D6E-409C-BE32-E72D297353CC}">
              <c16:uniqueId val="{00000089-BD2D-4991-9D42-84343DE074F2}"/>
            </c:ext>
          </c:extLst>
        </c:ser>
        <c:ser>
          <c:idx val="75"/>
          <c:order val="106"/>
          <c:tx>
            <c:v>US ATD Primi Seated Height</c:v>
          </c:tx>
          <c:spPr>
            <a:ln w="19050" cap="rnd">
              <a:solidFill>
                <a:schemeClr val="accent4">
                  <a:lumMod val="80000"/>
                </a:schemeClr>
              </a:solidFill>
              <a:round/>
            </a:ln>
            <a:effectLst/>
          </c:spPr>
          <c:marker>
            <c:symbol val="dash"/>
            <c:size val="15"/>
            <c:spPr>
              <a:solidFill>
                <a:srgbClr val="FF0000"/>
              </a:solidFill>
              <a:ln w="9525">
                <a:solidFill>
                  <a:schemeClr val="tx1"/>
                </a:solidFill>
              </a:ln>
              <a:effectLst/>
            </c:spPr>
          </c:marker>
          <c:dLbls>
            <c:dLbl>
              <c:idx val="0"/>
              <c:layout>
                <c:manualLayout>
                  <c:x val="-5.791871510984991E-2"/>
                  <c:y val="3.35751116464918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8.7072758037225029E-2"/>
                      <c:h val="3.6366641203431659E-2"/>
                    </c:manualLayout>
                  </c15:layout>
                </c:ext>
                <c:ext xmlns:c16="http://schemas.microsoft.com/office/drawing/2014/chart" uri="{C3380CC4-5D6E-409C-BE32-E72D297353CC}">
                  <c16:uniqueId val="{0000008A-BD2D-4991-9D42-84343DE074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Solution!$AH$19</c:f>
              <c:numCache>
                <c:formatCode>General</c:formatCode>
                <c:ptCount val="1"/>
                <c:pt idx="0">
                  <c:v>0</c:v>
                </c:pt>
              </c:numCache>
            </c:numRef>
          </c:xVal>
          <c:yVal>
            <c:numRef>
              <c:f>Solution!$AA$19</c:f>
              <c:numCache>
                <c:formatCode>General</c:formatCode>
                <c:ptCount val="1"/>
                <c:pt idx="0">
                  <c:v>29</c:v>
                </c:pt>
              </c:numCache>
            </c:numRef>
          </c:yVal>
          <c:smooth val="1"/>
          <c:extLst>
            <c:ext xmlns:c16="http://schemas.microsoft.com/office/drawing/2014/chart" uri="{C3380CC4-5D6E-409C-BE32-E72D297353CC}">
              <c16:uniqueId val="{0000008B-BD2D-4991-9D42-84343DE074F2}"/>
            </c:ext>
          </c:extLst>
        </c:ser>
        <c:ser>
          <c:idx val="77"/>
          <c:order val="107"/>
          <c:tx>
            <c:v>US ATD 5th Female Seated Height</c:v>
          </c:tx>
          <c:spPr>
            <a:ln w="19050" cap="rnd">
              <a:solidFill>
                <a:schemeClr val="accent6">
                  <a:lumMod val="80000"/>
                </a:schemeClr>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Solution!$AH$34</c:f>
              <c:numCache>
                <c:formatCode>General</c:formatCode>
                <c:ptCount val="1"/>
                <c:pt idx="0">
                  <c:v>0</c:v>
                </c:pt>
              </c:numCache>
            </c:numRef>
          </c:xVal>
          <c:yVal>
            <c:numRef>
              <c:f>Solution!$AA$34</c:f>
              <c:numCache>
                <c:formatCode>0.0</c:formatCode>
                <c:ptCount val="1"/>
                <c:pt idx="0">
                  <c:v>0</c:v>
                </c:pt>
              </c:numCache>
            </c:numRef>
          </c:yVal>
          <c:smooth val="1"/>
          <c:extLst>
            <c:ext xmlns:c16="http://schemas.microsoft.com/office/drawing/2014/chart" uri="{C3380CC4-5D6E-409C-BE32-E72D297353CC}">
              <c16:uniqueId val="{0000008C-BD2D-4991-9D42-84343DE074F2}"/>
            </c:ext>
          </c:extLst>
        </c:ser>
        <c:ser>
          <c:idx val="79"/>
          <c:order val="108"/>
          <c:tx>
            <c:v>US ATD 5th Female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3349666978927538"/>
                  <c:y val="1.650391896601778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D-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Solution!$AN$124:$AN$127</c:f>
              <c:numCache>
                <c:formatCode>0.0</c:formatCode>
                <c:ptCount val="4"/>
                <c:pt idx="0">
                  <c:v>0</c:v>
                </c:pt>
                <c:pt idx="1">
                  <c:v>0</c:v>
                </c:pt>
                <c:pt idx="2">
                  <c:v>0</c:v>
                </c:pt>
                <c:pt idx="3">
                  <c:v>0</c:v>
                </c:pt>
              </c:numCache>
            </c:numRef>
          </c:xVal>
          <c:yVal>
            <c:numRef>
              <c:f>Solution!$AO$124:$AO$127</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8E-BD2D-4991-9D42-84343DE074F2}"/>
            </c:ext>
          </c:extLst>
        </c:ser>
        <c:ser>
          <c:idx val="81"/>
          <c:order val="109"/>
          <c:tx>
            <c:v>US ATD 5th Femle Right Shoulder</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1265022886683214"/>
                  <c:y val="-3.080731540323323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F-BD2D-4991-9D42-84343DE074F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Solution!$AX$125:$AX$127</c:f>
              <c:numCache>
                <c:formatCode>General</c:formatCode>
                <c:ptCount val="3"/>
                <c:pt idx="0">
                  <c:v>0</c:v>
                </c:pt>
                <c:pt idx="1">
                  <c:v>0</c:v>
                </c:pt>
                <c:pt idx="2">
                  <c:v>0</c:v>
                </c:pt>
              </c:numCache>
            </c:numRef>
          </c:xVal>
          <c:yVal>
            <c:numRef>
              <c:f>Solution!$AY$125:$AY$127</c:f>
              <c:numCache>
                <c:formatCode>0.0</c:formatCode>
                <c:ptCount val="3"/>
                <c:pt idx="0">
                  <c:v>0</c:v>
                </c:pt>
                <c:pt idx="1">
                  <c:v>0</c:v>
                </c:pt>
                <c:pt idx="2">
                  <c:v>0</c:v>
                </c:pt>
              </c:numCache>
            </c:numRef>
          </c:yVal>
          <c:smooth val="1"/>
          <c:extLst>
            <c:ext xmlns:c16="http://schemas.microsoft.com/office/drawing/2014/chart" uri="{C3380CC4-5D6E-409C-BE32-E72D297353CC}">
              <c16:uniqueId val="{00000090-BD2D-4991-9D42-84343DE074F2}"/>
            </c:ext>
          </c:extLst>
        </c:ser>
        <c:ser>
          <c:idx val="84"/>
          <c:order val="110"/>
          <c:tx>
            <c:v>IIHS SB Right Inside</c:v>
          </c:tx>
          <c:spPr>
            <a:ln w="19050" cap="rnd">
              <a:solidFill>
                <a:srgbClr val="FF0000"/>
              </a:solidFill>
              <a:round/>
            </a:ln>
            <a:effectLst/>
          </c:spPr>
          <c:marker>
            <c:symbol val="diamond"/>
            <c:size val="8"/>
            <c:spPr>
              <a:solidFill>
                <a:srgbClr val="FF0000"/>
              </a:solidFill>
              <a:ln w="9525">
                <a:solidFill>
                  <a:schemeClr val="tx1"/>
                </a:solidFill>
              </a:ln>
              <a:effectLst/>
            </c:spPr>
          </c:marker>
          <c:xVal>
            <c:numRef>
              <c:f>Solution!$AB$77:$AB$81</c:f>
              <c:numCache>
                <c:formatCode>0.0</c:formatCode>
                <c:ptCount val="5"/>
                <c:pt idx="0">
                  <c:v>0</c:v>
                </c:pt>
                <c:pt idx="1">
                  <c:v>0</c:v>
                </c:pt>
                <c:pt idx="2">
                  <c:v>0</c:v>
                </c:pt>
                <c:pt idx="3">
                  <c:v>0</c:v>
                </c:pt>
                <c:pt idx="4">
                  <c:v>0</c:v>
                </c:pt>
              </c:numCache>
            </c:numRef>
          </c:xVal>
          <c:yVal>
            <c:numRef>
              <c:f>Solution!$Z$77:$Z$81</c:f>
              <c:numCache>
                <c:formatCode>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91-BD2D-4991-9D42-84343DE074F2}"/>
            </c:ext>
          </c:extLst>
        </c:ser>
        <c:ser>
          <c:idx val="85"/>
          <c:order val="111"/>
          <c:tx>
            <c:v>IIHS SB Outside</c:v>
          </c:tx>
          <c:spPr>
            <a:ln w="19050" cap="rnd">
              <a:solidFill>
                <a:srgbClr val="FF0000"/>
              </a:solidFill>
              <a:round/>
            </a:ln>
            <a:effectLst/>
          </c:spPr>
          <c:marker>
            <c:symbol val="diamond"/>
            <c:size val="8"/>
            <c:spPr>
              <a:solidFill>
                <a:srgbClr val="FF0000"/>
              </a:solidFill>
              <a:ln w="9525">
                <a:solidFill>
                  <a:schemeClr val="tx1"/>
                </a:solidFill>
              </a:ln>
              <a:effectLst/>
            </c:spPr>
          </c:marker>
          <c:xVal>
            <c:numRef>
              <c:f>Solution!$AD$77:$AD$81</c:f>
              <c:numCache>
                <c:formatCode>0.0</c:formatCode>
                <c:ptCount val="5"/>
                <c:pt idx="0">
                  <c:v>0</c:v>
                </c:pt>
                <c:pt idx="1">
                  <c:v>0</c:v>
                </c:pt>
                <c:pt idx="2">
                  <c:v>0</c:v>
                </c:pt>
                <c:pt idx="3">
                  <c:v>0</c:v>
                </c:pt>
                <c:pt idx="4">
                  <c:v>0</c:v>
                </c:pt>
              </c:numCache>
            </c:numRef>
          </c:xVal>
          <c:yVal>
            <c:numRef>
              <c:f>Solution!$Z$77:$Z$81</c:f>
              <c:numCache>
                <c:formatCode>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92-BD2D-4991-9D42-84343DE074F2}"/>
            </c:ext>
          </c:extLst>
        </c:ser>
        <c:ser>
          <c:idx val="88"/>
          <c:order val="112"/>
          <c:tx>
            <c:v>Thigh R 5th 1</c:v>
          </c:tx>
          <c:spPr>
            <a:ln w="19050" cap="rnd">
              <a:solidFill>
                <a:schemeClr val="accent5">
                  <a:lumMod val="60000"/>
                  <a:lumOff val="40000"/>
                </a:schemeClr>
              </a:solidFill>
              <a:round/>
            </a:ln>
            <a:effectLst/>
          </c:spPr>
          <c:marker>
            <c:symbol val="circle"/>
            <c:size val="2"/>
            <c:spPr>
              <a:solidFill>
                <a:schemeClr val="accent1">
                  <a:lumMod val="60000"/>
                  <a:lumOff val="40000"/>
                </a:schemeClr>
              </a:solidFill>
              <a:ln w="9525">
                <a:noFill/>
              </a:ln>
              <a:effectLst/>
            </c:spPr>
          </c:marker>
          <c:xVal>
            <c:numRef>
              <c:f>Solution!$BI$19:$BI$22</c:f>
              <c:numCache>
                <c:formatCode>0.0</c:formatCode>
                <c:ptCount val="4"/>
                <c:pt idx="0">
                  <c:v>-4.6989999999999998</c:v>
                </c:pt>
                <c:pt idx="1">
                  <c:v>-4.2290999999999999</c:v>
                </c:pt>
                <c:pt idx="2">
                  <c:v>-2.3698999999999999</c:v>
                </c:pt>
                <c:pt idx="3">
                  <c:v>-1.9</c:v>
                </c:pt>
              </c:numCache>
            </c:numRef>
          </c:xVal>
          <c:yVal>
            <c:numRef>
              <c:f>Solution!$BJ$19:$BJ$22</c:f>
              <c:numCache>
                <c:formatCode>0.0</c:formatCode>
                <c:ptCount val="4"/>
                <c:pt idx="0">
                  <c:v>2</c:v>
                </c:pt>
                <c:pt idx="1">
                  <c:v>5.048</c:v>
                </c:pt>
                <c:pt idx="2">
                  <c:v>5.048</c:v>
                </c:pt>
                <c:pt idx="3">
                  <c:v>2</c:v>
                </c:pt>
              </c:numCache>
            </c:numRef>
          </c:yVal>
          <c:smooth val="1"/>
          <c:extLst>
            <c:ext xmlns:c16="http://schemas.microsoft.com/office/drawing/2014/chart" uri="{C3380CC4-5D6E-409C-BE32-E72D297353CC}">
              <c16:uniqueId val="{00000093-BD2D-4991-9D42-84343DE074F2}"/>
            </c:ext>
          </c:extLst>
        </c:ser>
        <c:ser>
          <c:idx val="90"/>
          <c:order val="113"/>
          <c:tx>
            <c:v>Thigh R Mean 1</c:v>
          </c:tx>
          <c:spPr>
            <a:ln w="19050" cap="rnd">
              <a:solidFill>
                <a:srgbClr val="00B050"/>
              </a:solidFill>
              <a:round/>
            </a:ln>
            <a:effectLst/>
          </c:spPr>
          <c:marker>
            <c:symbol val="circle"/>
            <c:size val="2"/>
            <c:spPr>
              <a:solidFill>
                <a:srgbClr val="00B050"/>
              </a:solidFill>
              <a:ln w="9525">
                <a:noFill/>
              </a:ln>
              <a:effectLst/>
            </c:spPr>
          </c:marker>
          <c:xVal>
            <c:numRef>
              <c:f>Solution!$BK$19:$BK$22</c:f>
              <c:numCache>
                <c:formatCode>0.0</c:formatCode>
                <c:ptCount val="4"/>
                <c:pt idx="0">
                  <c:v>-6.7309999999999999</c:v>
                </c:pt>
                <c:pt idx="1">
                  <c:v>-6.0579000000000001</c:v>
                </c:pt>
                <c:pt idx="2">
                  <c:v>-2.5731000000000002</c:v>
                </c:pt>
                <c:pt idx="3">
                  <c:v>-1.9</c:v>
                </c:pt>
              </c:numCache>
            </c:numRef>
          </c:xVal>
          <c:yVal>
            <c:numRef>
              <c:f>Solution!$BL$19:$BL$22</c:f>
              <c:numCache>
                <c:formatCode>0.0</c:formatCode>
                <c:ptCount val="4"/>
                <c:pt idx="0">
                  <c:v>2</c:v>
                </c:pt>
                <c:pt idx="1">
                  <c:v>7.3340000000000005</c:v>
                </c:pt>
                <c:pt idx="2">
                  <c:v>7.3340000000000005</c:v>
                </c:pt>
                <c:pt idx="3">
                  <c:v>2</c:v>
                </c:pt>
              </c:numCache>
            </c:numRef>
          </c:yVal>
          <c:smooth val="1"/>
          <c:extLst>
            <c:ext xmlns:c16="http://schemas.microsoft.com/office/drawing/2014/chart" uri="{C3380CC4-5D6E-409C-BE32-E72D297353CC}">
              <c16:uniqueId val="{00000094-BD2D-4991-9D42-84343DE074F2}"/>
            </c:ext>
          </c:extLst>
        </c:ser>
        <c:ser>
          <c:idx val="92"/>
          <c:order val="114"/>
          <c:tx>
            <c:v>Thigh R 95th 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Solution!$BM$19:$BM$22</c:f>
              <c:numCache>
                <c:formatCode>0.0</c:formatCode>
                <c:ptCount val="4"/>
                <c:pt idx="0">
                  <c:v>-8.7629999999999999</c:v>
                </c:pt>
                <c:pt idx="1">
                  <c:v>-7.8867000000000003</c:v>
                </c:pt>
                <c:pt idx="2">
                  <c:v>-2.7763</c:v>
                </c:pt>
                <c:pt idx="3">
                  <c:v>-1.9</c:v>
                </c:pt>
              </c:numCache>
            </c:numRef>
          </c:xVal>
          <c:yVal>
            <c:numRef>
              <c:f>Solution!$BN$19:$BN$22</c:f>
              <c:numCache>
                <c:formatCode>0.0</c:formatCode>
                <c:ptCount val="4"/>
                <c:pt idx="0">
                  <c:v>2</c:v>
                </c:pt>
                <c:pt idx="1">
                  <c:v>9.620000000000001</c:v>
                </c:pt>
                <c:pt idx="2">
                  <c:v>9.620000000000001</c:v>
                </c:pt>
                <c:pt idx="3">
                  <c:v>2</c:v>
                </c:pt>
              </c:numCache>
            </c:numRef>
          </c:yVal>
          <c:smooth val="1"/>
          <c:extLst>
            <c:ext xmlns:c16="http://schemas.microsoft.com/office/drawing/2014/chart" uri="{C3380CC4-5D6E-409C-BE32-E72D297353CC}">
              <c16:uniqueId val="{00000095-BD2D-4991-9D42-84343DE074F2}"/>
            </c:ext>
          </c:extLst>
        </c:ser>
        <c:ser>
          <c:idx val="93"/>
          <c:order val="115"/>
          <c:tx>
            <c:v>Thigh L 5th 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Solution!$BP$19:$BP$22</c:f>
              <c:numCache>
                <c:formatCode>0.0</c:formatCode>
                <c:ptCount val="4"/>
                <c:pt idx="0">
                  <c:v>4.6989999999999998</c:v>
                </c:pt>
                <c:pt idx="1">
                  <c:v>4.2290999999999999</c:v>
                </c:pt>
                <c:pt idx="2">
                  <c:v>2.3698999999999999</c:v>
                </c:pt>
                <c:pt idx="3">
                  <c:v>1.9</c:v>
                </c:pt>
              </c:numCache>
            </c:numRef>
          </c:xVal>
          <c:yVal>
            <c:numRef>
              <c:f>Solution!$BQ$19:$BQ$22</c:f>
              <c:numCache>
                <c:formatCode>0.0</c:formatCode>
                <c:ptCount val="4"/>
                <c:pt idx="0">
                  <c:v>2</c:v>
                </c:pt>
                <c:pt idx="1">
                  <c:v>5.048</c:v>
                </c:pt>
                <c:pt idx="2">
                  <c:v>5.048</c:v>
                </c:pt>
                <c:pt idx="3">
                  <c:v>2</c:v>
                </c:pt>
              </c:numCache>
            </c:numRef>
          </c:yVal>
          <c:smooth val="1"/>
          <c:extLst>
            <c:ext xmlns:c16="http://schemas.microsoft.com/office/drawing/2014/chart" uri="{C3380CC4-5D6E-409C-BE32-E72D297353CC}">
              <c16:uniqueId val="{00000096-BD2D-4991-9D42-84343DE074F2}"/>
            </c:ext>
          </c:extLst>
        </c:ser>
        <c:ser>
          <c:idx val="96"/>
          <c:order val="116"/>
          <c:tx>
            <c:v>Thigh L Mean 1</c:v>
          </c:tx>
          <c:spPr>
            <a:ln w="19050" cap="rnd">
              <a:solidFill>
                <a:srgbClr val="00B050"/>
              </a:solidFill>
              <a:round/>
            </a:ln>
            <a:effectLst/>
          </c:spPr>
          <c:marker>
            <c:symbol val="circle"/>
            <c:size val="2"/>
            <c:spPr>
              <a:solidFill>
                <a:srgbClr val="00B050"/>
              </a:solidFill>
              <a:ln w="9525">
                <a:noFill/>
              </a:ln>
              <a:effectLst/>
            </c:spPr>
          </c:marker>
          <c:xVal>
            <c:numRef>
              <c:f>Solution!$BR$19:$BR$22</c:f>
              <c:numCache>
                <c:formatCode>0.0</c:formatCode>
                <c:ptCount val="4"/>
                <c:pt idx="0">
                  <c:v>6.7309999999999999</c:v>
                </c:pt>
                <c:pt idx="1">
                  <c:v>6.0579000000000001</c:v>
                </c:pt>
                <c:pt idx="2">
                  <c:v>2.5731000000000002</c:v>
                </c:pt>
                <c:pt idx="3">
                  <c:v>1.9</c:v>
                </c:pt>
              </c:numCache>
            </c:numRef>
          </c:xVal>
          <c:yVal>
            <c:numRef>
              <c:f>Solution!$BS$19:$BS$22</c:f>
              <c:numCache>
                <c:formatCode>0.0</c:formatCode>
                <c:ptCount val="4"/>
                <c:pt idx="0">
                  <c:v>2</c:v>
                </c:pt>
                <c:pt idx="1">
                  <c:v>7.3340000000000005</c:v>
                </c:pt>
                <c:pt idx="2">
                  <c:v>7.3340000000000005</c:v>
                </c:pt>
                <c:pt idx="3">
                  <c:v>2</c:v>
                </c:pt>
              </c:numCache>
            </c:numRef>
          </c:yVal>
          <c:smooth val="1"/>
          <c:extLst>
            <c:ext xmlns:c16="http://schemas.microsoft.com/office/drawing/2014/chart" uri="{C3380CC4-5D6E-409C-BE32-E72D297353CC}">
              <c16:uniqueId val="{00000097-BD2D-4991-9D42-84343DE074F2}"/>
            </c:ext>
          </c:extLst>
        </c:ser>
        <c:ser>
          <c:idx val="97"/>
          <c:order val="117"/>
          <c:tx>
            <c:v>Thigh L 95th 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Solution!$BT$19:$BT$22</c:f>
              <c:numCache>
                <c:formatCode>0.0</c:formatCode>
                <c:ptCount val="4"/>
                <c:pt idx="0">
                  <c:v>8.7629999999999999</c:v>
                </c:pt>
                <c:pt idx="1">
                  <c:v>7.8867000000000003</c:v>
                </c:pt>
                <c:pt idx="2">
                  <c:v>2.7763</c:v>
                </c:pt>
                <c:pt idx="3">
                  <c:v>1.9</c:v>
                </c:pt>
              </c:numCache>
            </c:numRef>
          </c:xVal>
          <c:yVal>
            <c:numRef>
              <c:f>Solution!$BU$19:$BU$22</c:f>
              <c:numCache>
                <c:formatCode>0.0</c:formatCode>
                <c:ptCount val="4"/>
                <c:pt idx="0">
                  <c:v>2</c:v>
                </c:pt>
                <c:pt idx="1">
                  <c:v>9.620000000000001</c:v>
                </c:pt>
                <c:pt idx="2">
                  <c:v>9.620000000000001</c:v>
                </c:pt>
                <c:pt idx="3">
                  <c:v>2</c:v>
                </c:pt>
              </c:numCache>
            </c:numRef>
          </c:yVal>
          <c:smooth val="1"/>
          <c:extLst>
            <c:ext xmlns:c16="http://schemas.microsoft.com/office/drawing/2014/chart" uri="{C3380CC4-5D6E-409C-BE32-E72D297353CC}">
              <c16:uniqueId val="{00000098-BD2D-4991-9D42-84343DE074F2}"/>
            </c:ext>
          </c:extLst>
        </c:ser>
        <c:ser>
          <c:idx val="118"/>
          <c:order val="118"/>
          <c:tx>
            <c:v>Thigh R 5th 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Solution!$BI$23:$BI$26</c:f>
              <c:numCache>
                <c:formatCode>0.0</c:formatCode>
                <c:ptCount val="4"/>
                <c:pt idx="0">
                  <c:v>-6.2229999999999999</c:v>
                </c:pt>
                <c:pt idx="1">
                  <c:v>-5.6006999999999998</c:v>
                </c:pt>
                <c:pt idx="2">
                  <c:v>-2.5223</c:v>
                </c:pt>
                <c:pt idx="3">
                  <c:v>-1.9</c:v>
                </c:pt>
              </c:numCache>
            </c:numRef>
          </c:xVal>
          <c:yVal>
            <c:numRef>
              <c:f>Solution!$BJ$23:$BJ$26</c:f>
              <c:numCache>
                <c:formatCode>0.0</c:formatCode>
                <c:ptCount val="4"/>
                <c:pt idx="0">
                  <c:v>2</c:v>
                </c:pt>
                <c:pt idx="1">
                  <c:v>5.3019999999999996</c:v>
                </c:pt>
                <c:pt idx="2">
                  <c:v>5.3019999999999996</c:v>
                </c:pt>
                <c:pt idx="3">
                  <c:v>2</c:v>
                </c:pt>
              </c:numCache>
            </c:numRef>
          </c:yVal>
          <c:smooth val="1"/>
          <c:extLst>
            <c:ext xmlns:c16="http://schemas.microsoft.com/office/drawing/2014/chart" uri="{C3380CC4-5D6E-409C-BE32-E72D297353CC}">
              <c16:uniqueId val="{00000099-BD2D-4991-9D42-84343DE074F2}"/>
            </c:ext>
          </c:extLst>
        </c:ser>
        <c:ser>
          <c:idx val="119"/>
          <c:order val="119"/>
          <c:tx>
            <c:v>Thigh R Mean 2</c:v>
          </c:tx>
          <c:spPr>
            <a:ln w="19050" cap="rnd">
              <a:solidFill>
                <a:srgbClr val="00B050"/>
              </a:solidFill>
              <a:round/>
            </a:ln>
            <a:effectLst/>
          </c:spPr>
          <c:marker>
            <c:symbol val="circle"/>
            <c:size val="2"/>
            <c:spPr>
              <a:solidFill>
                <a:srgbClr val="00B050"/>
              </a:solidFill>
              <a:ln w="9525">
                <a:noFill/>
              </a:ln>
              <a:effectLst/>
            </c:spPr>
          </c:marker>
          <c:xVal>
            <c:numRef>
              <c:f>Solution!$BK$23:$BK$26</c:f>
              <c:numCache>
                <c:formatCode>0.0</c:formatCode>
                <c:ptCount val="4"/>
                <c:pt idx="0">
                  <c:v>-7.7469999999999999</c:v>
                </c:pt>
                <c:pt idx="1">
                  <c:v>-6.9722999999999997</c:v>
                </c:pt>
                <c:pt idx="2">
                  <c:v>-2.6747000000000001</c:v>
                </c:pt>
                <c:pt idx="3">
                  <c:v>-1.9</c:v>
                </c:pt>
              </c:numCache>
            </c:numRef>
          </c:xVal>
          <c:yVal>
            <c:numRef>
              <c:f>Solution!$BL$23:$BL$26</c:f>
              <c:numCache>
                <c:formatCode>0.0</c:formatCode>
                <c:ptCount val="4"/>
                <c:pt idx="0">
                  <c:v>2</c:v>
                </c:pt>
                <c:pt idx="1">
                  <c:v>8.35</c:v>
                </c:pt>
                <c:pt idx="2">
                  <c:v>8.35</c:v>
                </c:pt>
                <c:pt idx="3">
                  <c:v>2</c:v>
                </c:pt>
              </c:numCache>
            </c:numRef>
          </c:yVal>
          <c:smooth val="1"/>
          <c:extLst>
            <c:ext xmlns:c16="http://schemas.microsoft.com/office/drawing/2014/chart" uri="{C3380CC4-5D6E-409C-BE32-E72D297353CC}">
              <c16:uniqueId val="{0000009A-BD2D-4991-9D42-84343DE074F2}"/>
            </c:ext>
          </c:extLst>
        </c:ser>
        <c:ser>
          <c:idx val="120"/>
          <c:order val="120"/>
          <c:tx>
            <c:v>Thigh R 95th 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Solution!$BM$23:$BM$26</c:f>
              <c:numCache>
                <c:formatCode>0.0</c:formatCode>
                <c:ptCount val="4"/>
                <c:pt idx="0">
                  <c:v>0</c:v>
                </c:pt>
                <c:pt idx="1">
                  <c:v>0</c:v>
                </c:pt>
                <c:pt idx="2">
                  <c:v>-1.9</c:v>
                </c:pt>
                <c:pt idx="3">
                  <c:v>-1.9</c:v>
                </c:pt>
              </c:numCache>
            </c:numRef>
          </c:xVal>
          <c:yVal>
            <c:numRef>
              <c:f>Solution!$BN$23:$BN$26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9B-BD2D-4991-9D42-84343DE074F2}"/>
            </c:ext>
          </c:extLst>
        </c:ser>
        <c:ser>
          <c:idx val="121"/>
          <c:order val="121"/>
          <c:tx>
            <c:v>Thigh L 5th 2</c:v>
          </c:tx>
          <c:spPr>
            <a:ln w="19050" cap="rnd">
              <a:solidFill>
                <a:schemeClr val="accent5">
                  <a:lumMod val="60000"/>
                  <a:lumOff val="40000"/>
                </a:schemeClr>
              </a:solidFill>
              <a:round/>
            </a:ln>
            <a:effectLst/>
          </c:spPr>
          <c:marker>
            <c:symbol val="circle"/>
            <c:size val="2"/>
            <c:spPr>
              <a:solidFill>
                <a:schemeClr val="accent2">
                  <a:lumMod val="80000"/>
                  <a:lumOff val="20000"/>
                </a:schemeClr>
              </a:solidFill>
              <a:ln w="9525">
                <a:noFill/>
              </a:ln>
              <a:effectLst/>
            </c:spPr>
          </c:marker>
          <c:xVal>
            <c:numRef>
              <c:f>Solution!$BP$23:$BP$26</c:f>
              <c:numCache>
                <c:formatCode>0.0</c:formatCode>
                <c:ptCount val="4"/>
                <c:pt idx="0">
                  <c:v>6.2229999999999999</c:v>
                </c:pt>
                <c:pt idx="1">
                  <c:v>5.6006999999999998</c:v>
                </c:pt>
                <c:pt idx="2">
                  <c:v>2.5223</c:v>
                </c:pt>
                <c:pt idx="3">
                  <c:v>1.9</c:v>
                </c:pt>
              </c:numCache>
            </c:numRef>
          </c:xVal>
          <c:yVal>
            <c:numRef>
              <c:f>Solution!$BQ$23:$BQ$26</c:f>
              <c:numCache>
                <c:formatCode>0.0</c:formatCode>
                <c:ptCount val="4"/>
                <c:pt idx="0">
                  <c:v>2</c:v>
                </c:pt>
                <c:pt idx="1">
                  <c:v>5.3019999999999996</c:v>
                </c:pt>
                <c:pt idx="2">
                  <c:v>5.3019999999999996</c:v>
                </c:pt>
                <c:pt idx="3">
                  <c:v>2</c:v>
                </c:pt>
              </c:numCache>
            </c:numRef>
          </c:yVal>
          <c:smooth val="1"/>
          <c:extLst>
            <c:ext xmlns:c16="http://schemas.microsoft.com/office/drawing/2014/chart" uri="{C3380CC4-5D6E-409C-BE32-E72D297353CC}">
              <c16:uniqueId val="{0000009C-BD2D-4991-9D42-84343DE074F2}"/>
            </c:ext>
          </c:extLst>
        </c:ser>
        <c:ser>
          <c:idx val="122"/>
          <c:order val="122"/>
          <c:tx>
            <c:v>Thigh L Mean 2</c:v>
          </c:tx>
          <c:spPr>
            <a:ln w="19050" cap="rnd">
              <a:solidFill>
                <a:srgbClr val="00B050"/>
              </a:solidFill>
              <a:round/>
            </a:ln>
            <a:effectLst/>
          </c:spPr>
          <c:marker>
            <c:symbol val="circle"/>
            <c:size val="2"/>
            <c:spPr>
              <a:solidFill>
                <a:srgbClr val="00B050"/>
              </a:solidFill>
              <a:ln w="9525">
                <a:noFill/>
              </a:ln>
              <a:effectLst/>
            </c:spPr>
          </c:marker>
          <c:xVal>
            <c:numRef>
              <c:f>Solution!$BR$23:$BR$26</c:f>
              <c:numCache>
                <c:formatCode>0.0</c:formatCode>
                <c:ptCount val="4"/>
                <c:pt idx="0">
                  <c:v>7.7469999999999999</c:v>
                </c:pt>
                <c:pt idx="1">
                  <c:v>6.9722999999999997</c:v>
                </c:pt>
                <c:pt idx="2">
                  <c:v>2.6747000000000001</c:v>
                </c:pt>
                <c:pt idx="3">
                  <c:v>1.9</c:v>
                </c:pt>
              </c:numCache>
            </c:numRef>
          </c:xVal>
          <c:yVal>
            <c:numRef>
              <c:f>Solution!$BS$23:$BS$26</c:f>
              <c:numCache>
                <c:formatCode>0.0</c:formatCode>
                <c:ptCount val="4"/>
                <c:pt idx="0">
                  <c:v>2</c:v>
                </c:pt>
                <c:pt idx="1">
                  <c:v>8.35</c:v>
                </c:pt>
                <c:pt idx="2">
                  <c:v>8.35</c:v>
                </c:pt>
                <c:pt idx="3">
                  <c:v>2</c:v>
                </c:pt>
              </c:numCache>
            </c:numRef>
          </c:yVal>
          <c:smooth val="1"/>
          <c:extLst>
            <c:ext xmlns:c16="http://schemas.microsoft.com/office/drawing/2014/chart" uri="{C3380CC4-5D6E-409C-BE32-E72D297353CC}">
              <c16:uniqueId val="{0000009D-BD2D-4991-9D42-84343DE074F2}"/>
            </c:ext>
          </c:extLst>
        </c:ser>
        <c:ser>
          <c:idx val="123"/>
          <c:order val="123"/>
          <c:tx>
            <c:v>Thigh L 95th 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Solution!$BT$23:$BT$26</c:f>
              <c:numCache>
                <c:formatCode>0.0</c:formatCode>
                <c:ptCount val="4"/>
                <c:pt idx="0">
                  <c:v>0</c:v>
                </c:pt>
                <c:pt idx="1">
                  <c:v>0</c:v>
                </c:pt>
                <c:pt idx="2">
                  <c:v>1.9</c:v>
                </c:pt>
                <c:pt idx="3">
                  <c:v>1.9</c:v>
                </c:pt>
              </c:numCache>
            </c:numRef>
          </c:xVal>
          <c:yVal>
            <c:numRef>
              <c:f>Solution!$BU$23:$BU$26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9E-BD2D-4991-9D42-84343DE074F2}"/>
            </c:ext>
          </c:extLst>
        </c:ser>
        <c:ser>
          <c:idx val="124"/>
          <c:order val="124"/>
          <c:tx>
            <c:v>Thigh R 5th 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Solution!$BI$27:$BI$30</c:f>
              <c:numCache>
                <c:formatCode>0.0</c:formatCode>
                <c:ptCount val="4"/>
                <c:pt idx="0">
                  <c:v>-7.4930000000000003</c:v>
                </c:pt>
                <c:pt idx="1">
                  <c:v>-6.7437000000000005</c:v>
                </c:pt>
                <c:pt idx="2">
                  <c:v>-2.6493000000000002</c:v>
                </c:pt>
                <c:pt idx="3">
                  <c:v>-1.9</c:v>
                </c:pt>
              </c:numCache>
            </c:numRef>
          </c:xVal>
          <c:yVal>
            <c:numRef>
              <c:f>Solution!$BJ$27:$BJ$30</c:f>
              <c:numCache>
                <c:formatCode>0.0</c:formatCode>
                <c:ptCount val="4"/>
                <c:pt idx="0">
                  <c:v>2</c:v>
                </c:pt>
                <c:pt idx="1">
                  <c:v>5.8100000000000005</c:v>
                </c:pt>
                <c:pt idx="2">
                  <c:v>5.8100000000000005</c:v>
                </c:pt>
                <c:pt idx="3">
                  <c:v>2</c:v>
                </c:pt>
              </c:numCache>
            </c:numRef>
          </c:yVal>
          <c:smooth val="1"/>
          <c:extLst>
            <c:ext xmlns:c16="http://schemas.microsoft.com/office/drawing/2014/chart" uri="{C3380CC4-5D6E-409C-BE32-E72D297353CC}">
              <c16:uniqueId val="{0000009F-BD2D-4991-9D42-84343DE074F2}"/>
            </c:ext>
          </c:extLst>
        </c:ser>
        <c:ser>
          <c:idx val="125"/>
          <c:order val="125"/>
          <c:tx>
            <c:v>Thigh R Mean 3</c:v>
          </c:tx>
          <c:spPr>
            <a:ln w="19050" cap="rnd">
              <a:solidFill>
                <a:srgbClr val="00B050"/>
              </a:solidFill>
              <a:round/>
            </a:ln>
            <a:effectLst/>
          </c:spPr>
          <c:marker>
            <c:symbol val="circle"/>
            <c:size val="2"/>
            <c:spPr>
              <a:solidFill>
                <a:schemeClr val="accent6">
                  <a:lumMod val="80000"/>
                  <a:lumOff val="20000"/>
                </a:schemeClr>
              </a:solidFill>
              <a:ln w="9525">
                <a:noFill/>
              </a:ln>
              <a:effectLst/>
            </c:spPr>
          </c:marker>
          <c:xVal>
            <c:numRef>
              <c:f>Solution!$BK$27:$BK$30</c:f>
              <c:numCache>
                <c:formatCode>0.0</c:formatCode>
                <c:ptCount val="4"/>
                <c:pt idx="0">
                  <c:v>-8.5090000000000003</c:v>
                </c:pt>
                <c:pt idx="1">
                  <c:v>-7.6581000000000001</c:v>
                </c:pt>
                <c:pt idx="2">
                  <c:v>-2.7509000000000001</c:v>
                </c:pt>
                <c:pt idx="3">
                  <c:v>-1.9</c:v>
                </c:pt>
              </c:numCache>
            </c:numRef>
          </c:xVal>
          <c:yVal>
            <c:numRef>
              <c:f>Solution!$BL$27:$BL$30</c:f>
              <c:numCache>
                <c:formatCode>0.0</c:formatCode>
                <c:ptCount val="4"/>
                <c:pt idx="0">
                  <c:v>2</c:v>
                </c:pt>
                <c:pt idx="1">
                  <c:v>8.8580000000000005</c:v>
                </c:pt>
                <c:pt idx="2">
                  <c:v>8.8580000000000005</c:v>
                </c:pt>
                <c:pt idx="3">
                  <c:v>2</c:v>
                </c:pt>
              </c:numCache>
            </c:numRef>
          </c:yVal>
          <c:smooth val="1"/>
          <c:extLst>
            <c:ext xmlns:c16="http://schemas.microsoft.com/office/drawing/2014/chart" uri="{C3380CC4-5D6E-409C-BE32-E72D297353CC}">
              <c16:uniqueId val="{000000A0-BD2D-4991-9D42-84343DE074F2}"/>
            </c:ext>
          </c:extLst>
        </c:ser>
        <c:ser>
          <c:idx val="126"/>
          <c:order val="126"/>
          <c:tx>
            <c:v>Thigh R 95th 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Solution!$BM$27:$BM$30</c:f>
              <c:numCache>
                <c:formatCode>0.0</c:formatCode>
                <c:ptCount val="4"/>
                <c:pt idx="0">
                  <c:v>0</c:v>
                </c:pt>
                <c:pt idx="1">
                  <c:v>0</c:v>
                </c:pt>
                <c:pt idx="2">
                  <c:v>-1.9</c:v>
                </c:pt>
                <c:pt idx="3">
                  <c:v>-1.9</c:v>
                </c:pt>
              </c:numCache>
            </c:numRef>
          </c:xVal>
          <c:yVal>
            <c:numRef>
              <c:f>Solution!$BN$27:$BN$30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1-BD2D-4991-9D42-84343DE074F2}"/>
            </c:ext>
          </c:extLst>
        </c:ser>
        <c:ser>
          <c:idx val="127"/>
          <c:order val="127"/>
          <c:tx>
            <c:v>Thigh L 5th 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Solution!$BP$27:$BP$30</c:f>
              <c:numCache>
                <c:formatCode>0.0</c:formatCode>
                <c:ptCount val="4"/>
                <c:pt idx="0">
                  <c:v>7.4930000000000003</c:v>
                </c:pt>
                <c:pt idx="1">
                  <c:v>6.7437000000000005</c:v>
                </c:pt>
                <c:pt idx="2">
                  <c:v>2.6493000000000002</c:v>
                </c:pt>
                <c:pt idx="3">
                  <c:v>1.9</c:v>
                </c:pt>
              </c:numCache>
            </c:numRef>
          </c:xVal>
          <c:yVal>
            <c:numRef>
              <c:f>Solution!$BQ$27:$BQ$30</c:f>
              <c:numCache>
                <c:formatCode>0.0</c:formatCode>
                <c:ptCount val="4"/>
                <c:pt idx="0">
                  <c:v>2</c:v>
                </c:pt>
                <c:pt idx="1">
                  <c:v>5.8100000000000005</c:v>
                </c:pt>
                <c:pt idx="2">
                  <c:v>5.8100000000000005</c:v>
                </c:pt>
                <c:pt idx="3">
                  <c:v>2</c:v>
                </c:pt>
              </c:numCache>
            </c:numRef>
          </c:yVal>
          <c:smooth val="1"/>
          <c:extLst>
            <c:ext xmlns:c16="http://schemas.microsoft.com/office/drawing/2014/chart" uri="{C3380CC4-5D6E-409C-BE32-E72D297353CC}">
              <c16:uniqueId val="{000000A2-BD2D-4991-9D42-84343DE074F2}"/>
            </c:ext>
          </c:extLst>
        </c:ser>
        <c:ser>
          <c:idx val="128"/>
          <c:order val="128"/>
          <c:tx>
            <c:v>Thigh L Mean 3</c:v>
          </c:tx>
          <c:spPr>
            <a:ln w="19050" cap="rnd">
              <a:solidFill>
                <a:srgbClr val="00B050"/>
              </a:solidFill>
              <a:round/>
            </a:ln>
            <a:effectLst/>
          </c:spPr>
          <c:marker>
            <c:symbol val="circle"/>
            <c:size val="2"/>
            <c:spPr>
              <a:solidFill>
                <a:srgbClr val="00B050"/>
              </a:solidFill>
              <a:ln w="9525">
                <a:noFill/>
              </a:ln>
              <a:effectLst/>
            </c:spPr>
          </c:marker>
          <c:xVal>
            <c:numRef>
              <c:f>Solution!$BR$27:$BR$30</c:f>
              <c:numCache>
                <c:formatCode>0.0</c:formatCode>
                <c:ptCount val="4"/>
                <c:pt idx="0">
                  <c:v>8.5090000000000003</c:v>
                </c:pt>
                <c:pt idx="1">
                  <c:v>7.6581000000000001</c:v>
                </c:pt>
                <c:pt idx="2">
                  <c:v>2.7509000000000001</c:v>
                </c:pt>
                <c:pt idx="3">
                  <c:v>1.9</c:v>
                </c:pt>
              </c:numCache>
            </c:numRef>
          </c:xVal>
          <c:yVal>
            <c:numRef>
              <c:f>Solution!$BS$27:$BS$30</c:f>
              <c:numCache>
                <c:formatCode>0.0</c:formatCode>
                <c:ptCount val="4"/>
                <c:pt idx="0">
                  <c:v>2</c:v>
                </c:pt>
                <c:pt idx="1">
                  <c:v>8.8580000000000005</c:v>
                </c:pt>
                <c:pt idx="2">
                  <c:v>8.8580000000000005</c:v>
                </c:pt>
                <c:pt idx="3">
                  <c:v>2</c:v>
                </c:pt>
              </c:numCache>
            </c:numRef>
          </c:yVal>
          <c:smooth val="1"/>
          <c:extLst>
            <c:ext xmlns:c16="http://schemas.microsoft.com/office/drawing/2014/chart" uri="{C3380CC4-5D6E-409C-BE32-E72D297353CC}">
              <c16:uniqueId val="{000000A3-BD2D-4991-9D42-84343DE074F2}"/>
            </c:ext>
          </c:extLst>
        </c:ser>
        <c:ser>
          <c:idx val="129"/>
          <c:order val="129"/>
          <c:tx>
            <c:v>Thigh L 95th 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Solution!$BT$27:$BT$30</c:f>
              <c:numCache>
                <c:formatCode>0.0</c:formatCode>
                <c:ptCount val="4"/>
                <c:pt idx="0">
                  <c:v>0</c:v>
                </c:pt>
                <c:pt idx="1">
                  <c:v>0</c:v>
                </c:pt>
                <c:pt idx="2">
                  <c:v>1.9</c:v>
                </c:pt>
                <c:pt idx="3">
                  <c:v>1.9</c:v>
                </c:pt>
              </c:numCache>
            </c:numRef>
          </c:xVal>
          <c:yVal>
            <c:numRef>
              <c:f>Solution!$BU$27:$BU$30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4-BD2D-4991-9D42-84343DE074F2}"/>
            </c:ext>
          </c:extLst>
        </c:ser>
        <c:ser>
          <c:idx val="130"/>
          <c:order val="130"/>
          <c:tx>
            <c:v>Thigh R 5th 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Solution!$BI$31:$BI$34</c:f>
              <c:numCache>
                <c:formatCode>0.0</c:formatCode>
                <c:ptCount val="4"/>
                <c:pt idx="0">
                  <c:v>-6.9850000000000003</c:v>
                </c:pt>
                <c:pt idx="1">
                  <c:v>-6.2865000000000002</c:v>
                </c:pt>
                <c:pt idx="2">
                  <c:v>-2.5985</c:v>
                </c:pt>
                <c:pt idx="3">
                  <c:v>-1.9</c:v>
                </c:pt>
              </c:numCache>
            </c:numRef>
          </c:xVal>
          <c:yVal>
            <c:numRef>
              <c:f>Solution!$BJ$31:$BJ$34</c:f>
              <c:numCache>
                <c:formatCode>0.0</c:formatCode>
                <c:ptCount val="4"/>
                <c:pt idx="0">
                  <c:v>2</c:v>
                </c:pt>
                <c:pt idx="1">
                  <c:v>6.8259999999999987</c:v>
                </c:pt>
                <c:pt idx="2">
                  <c:v>6.8259999999999987</c:v>
                </c:pt>
                <c:pt idx="3">
                  <c:v>2</c:v>
                </c:pt>
              </c:numCache>
            </c:numRef>
          </c:yVal>
          <c:smooth val="1"/>
          <c:extLst>
            <c:ext xmlns:c16="http://schemas.microsoft.com/office/drawing/2014/chart" uri="{C3380CC4-5D6E-409C-BE32-E72D297353CC}">
              <c16:uniqueId val="{000000A5-BD2D-4991-9D42-84343DE074F2}"/>
            </c:ext>
          </c:extLst>
        </c:ser>
        <c:ser>
          <c:idx val="131"/>
          <c:order val="131"/>
          <c:tx>
            <c:v>Thigh R Mean 4</c:v>
          </c:tx>
          <c:spPr>
            <a:ln w="19050" cap="rnd">
              <a:solidFill>
                <a:srgbClr val="00B050"/>
              </a:solidFill>
              <a:round/>
            </a:ln>
            <a:effectLst/>
          </c:spPr>
          <c:marker>
            <c:symbol val="circle"/>
            <c:size val="2"/>
            <c:spPr>
              <a:solidFill>
                <a:srgbClr val="00B050"/>
              </a:solidFill>
              <a:ln w="9525">
                <a:noFill/>
              </a:ln>
              <a:effectLst/>
            </c:spPr>
          </c:marker>
          <c:xVal>
            <c:numRef>
              <c:f>Solution!$BK$31:$BK$34</c:f>
              <c:numCache>
                <c:formatCode>0.0</c:formatCode>
                <c:ptCount val="4"/>
                <c:pt idx="0">
                  <c:v>0</c:v>
                </c:pt>
                <c:pt idx="1">
                  <c:v>0</c:v>
                </c:pt>
                <c:pt idx="2">
                  <c:v>-1.9</c:v>
                </c:pt>
                <c:pt idx="3">
                  <c:v>-1.9</c:v>
                </c:pt>
              </c:numCache>
            </c:numRef>
          </c:xVal>
          <c:yVal>
            <c:numRef>
              <c:f>Solution!$BL$31:$BL$34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6-BD2D-4991-9D42-84343DE074F2}"/>
            </c:ext>
          </c:extLst>
        </c:ser>
        <c:ser>
          <c:idx val="132"/>
          <c:order val="132"/>
          <c:tx>
            <c:v>Thigh R 95th 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Solution!$BM$31:$BM$34</c:f>
              <c:numCache>
                <c:formatCode>0.0</c:formatCode>
                <c:ptCount val="4"/>
                <c:pt idx="0">
                  <c:v>0</c:v>
                </c:pt>
                <c:pt idx="1">
                  <c:v>0</c:v>
                </c:pt>
                <c:pt idx="2">
                  <c:v>-1.9</c:v>
                </c:pt>
                <c:pt idx="3">
                  <c:v>-1.9</c:v>
                </c:pt>
              </c:numCache>
            </c:numRef>
          </c:xVal>
          <c:yVal>
            <c:numRef>
              <c:f>Solution!$BN$31:$BN$34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7-BD2D-4991-9D42-84343DE074F2}"/>
            </c:ext>
          </c:extLst>
        </c:ser>
        <c:ser>
          <c:idx val="133"/>
          <c:order val="133"/>
          <c:tx>
            <c:v>Thigh L 5th 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solidFill>
                  <a:schemeClr val="accent2">
                    <a:lumMod val="60000"/>
                    <a:lumOff val="40000"/>
                  </a:schemeClr>
                </a:solidFill>
              </a:ln>
              <a:effectLst/>
            </c:spPr>
          </c:marker>
          <c:xVal>
            <c:numRef>
              <c:f>Solution!$BP$31:$BP$34</c:f>
              <c:numCache>
                <c:formatCode>0.0</c:formatCode>
                <c:ptCount val="4"/>
                <c:pt idx="0">
                  <c:v>6.9850000000000003</c:v>
                </c:pt>
                <c:pt idx="1">
                  <c:v>6.2865000000000002</c:v>
                </c:pt>
                <c:pt idx="2">
                  <c:v>2.5985</c:v>
                </c:pt>
                <c:pt idx="3">
                  <c:v>1.9</c:v>
                </c:pt>
              </c:numCache>
            </c:numRef>
          </c:xVal>
          <c:yVal>
            <c:numRef>
              <c:f>Solution!$BQ$31:$BQ$34</c:f>
              <c:numCache>
                <c:formatCode>0.0</c:formatCode>
                <c:ptCount val="4"/>
                <c:pt idx="0">
                  <c:v>2</c:v>
                </c:pt>
                <c:pt idx="1">
                  <c:v>6.8259999999999987</c:v>
                </c:pt>
                <c:pt idx="2">
                  <c:v>6.8259999999999987</c:v>
                </c:pt>
                <c:pt idx="3">
                  <c:v>2</c:v>
                </c:pt>
              </c:numCache>
            </c:numRef>
          </c:yVal>
          <c:smooth val="1"/>
          <c:extLst>
            <c:ext xmlns:c16="http://schemas.microsoft.com/office/drawing/2014/chart" uri="{C3380CC4-5D6E-409C-BE32-E72D297353CC}">
              <c16:uniqueId val="{000000A8-BD2D-4991-9D42-84343DE074F2}"/>
            </c:ext>
          </c:extLst>
        </c:ser>
        <c:ser>
          <c:idx val="135"/>
          <c:order val="134"/>
          <c:tx>
            <c:v>Thigh L Mean 4</c:v>
          </c:tx>
          <c:spPr>
            <a:ln w="19050" cap="rnd">
              <a:solidFill>
                <a:srgbClr val="00B050"/>
              </a:solidFill>
              <a:round/>
            </a:ln>
            <a:effectLst/>
          </c:spPr>
          <c:marker>
            <c:symbol val="circle"/>
            <c:size val="2"/>
            <c:spPr>
              <a:solidFill>
                <a:srgbClr val="00B050"/>
              </a:solidFill>
              <a:ln w="9525">
                <a:noFill/>
              </a:ln>
              <a:effectLst/>
            </c:spPr>
          </c:marker>
          <c:xVal>
            <c:numRef>
              <c:f>Solution!$BR$31:$BR$34</c:f>
              <c:numCache>
                <c:formatCode>0.0</c:formatCode>
                <c:ptCount val="4"/>
                <c:pt idx="0">
                  <c:v>0</c:v>
                </c:pt>
                <c:pt idx="1">
                  <c:v>0</c:v>
                </c:pt>
                <c:pt idx="2">
                  <c:v>1.9</c:v>
                </c:pt>
                <c:pt idx="3">
                  <c:v>1.9</c:v>
                </c:pt>
              </c:numCache>
            </c:numRef>
          </c:xVal>
          <c:yVal>
            <c:numRef>
              <c:f>Solution!$BS$31:$BS$34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9-BD2D-4991-9D42-84343DE074F2}"/>
            </c:ext>
          </c:extLst>
        </c:ser>
        <c:ser>
          <c:idx val="136"/>
          <c:order val="135"/>
          <c:tx>
            <c:v>Thigh L 95th 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Solution!$BT$31:$BT$34</c:f>
              <c:numCache>
                <c:formatCode>0.0</c:formatCode>
                <c:ptCount val="4"/>
                <c:pt idx="0">
                  <c:v>0</c:v>
                </c:pt>
                <c:pt idx="1">
                  <c:v>0</c:v>
                </c:pt>
                <c:pt idx="2">
                  <c:v>1.9</c:v>
                </c:pt>
                <c:pt idx="3">
                  <c:v>1.9</c:v>
                </c:pt>
              </c:numCache>
            </c:numRef>
          </c:xVal>
          <c:yVal>
            <c:numRef>
              <c:f>Solution!$BU$31:$BU$34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A-BD2D-4991-9D42-84343DE074F2}"/>
            </c:ext>
          </c:extLst>
        </c:ser>
        <c:ser>
          <c:idx val="134"/>
          <c:order val="136"/>
          <c:tx>
            <c:v>Thigh R 5th 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Solution!$BI$35:$BI$38</c:f>
              <c:numCache>
                <c:formatCode>0.0</c:formatCode>
                <c:ptCount val="4"/>
                <c:pt idx="0">
                  <c:v>0</c:v>
                </c:pt>
                <c:pt idx="1">
                  <c:v>0</c:v>
                </c:pt>
                <c:pt idx="2">
                  <c:v>-1.9</c:v>
                </c:pt>
                <c:pt idx="3">
                  <c:v>-1.9</c:v>
                </c:pt>
              </c:numCache>
            </c:numRef>
          </c:xVal>
          <c:yVal>
            <c:numRef>
              <c:f>Solution!$BJ$35:$BJ$38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B-BD2D-4991-9D42-84343DE074F2}"/>
            </c:ext>
          </c:extLst>
        </c:ser>
        <c:ser>
          <c:idx val="137"/>
          <c:order val="137"/>
          <c:tx>
            <c:v>Thigh R Mean 5</c:v>
          </c:tx>
          <c:spPr>
            <a:ln w="19050" cap="rnd">
              <a:solidFill>
                <a:srgbClr val="00B050"/>
              </a:solidFill>
              <a:round/>
            </a:ln>
            <a:effectLst/>
          </c:spPr>
          <c:marker>
            <c:symbol val="circle"/>
            <c:size val="2"/>
            <c:spPr>
              <a:solidFill>
                <a:srgbClr val="00B050"/>
              </a:solidFill>
              <a:ln w="9525">
                <a:noFill/>
              </a:ln>
              <a:effectLst/>
            </c:spPr>
          </c:marker>
          <c:xVal>
            <c:numRef>
              <c:f>Solution!$BK$35:$BK$38</c:f>
              <c:numCache>
                <c:formatCode>0.0</c:formatCode>
                <c:ptCount val="4"/>
                <c:pt idx="0">
                  <c:v>0</c:v>
                </c:pt>
                <c:pt idx="1">
                  <c:v>0</c:v>
                </c:pt>
                <c:pt idx="2">
                  <c:v>-1.9</c:v>
                </c:pt>
                <c:pt idx="3">
                  <c:v>-1.9</c:v>
                </c:pt>
              </c:numCache>
            </c:numRef>
          </c:xVal>
          <c:yVal>
            <c:numRef>
              <c:f>Solution!$BL$35:$BL$38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C-BD2D-4991-9D42-84343DE074F2}"/>
            </c:ext>
          </c:extLst>
        </c:ser>
        <c:ser>
          <c:idx val="138"/>
          <c:order val="138"/>
          <c:tx>
            <c:v>Thigh R 95th 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Solution!$BM$35:$BM$38</c:f>
              <c:numCache>
                <c:formatCode>0.0</c:formatCode>
                <c:ptCount val="4"/>
                <c:pt idx="0">
                  <c:v>0</c:v>
                </c:pt>
                <c:pt idx="1">
                  <c:v>0</c:v>
                </c:pt>
                <c:pt idx="2">
                  <c:v>-1.9</c:v>
                </c:pt>
                <c:pt idx="3">
                  <c:v>-1.9</c:v>
                </c:pt>
              </c:numCache>
            </c:numRef>
          </c:xVal>
          <c:yVal>
            <c:numRef>
              <c:f>Solution!$BN$35:$BN$38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D-BD2D-4991-9D42-84343DE074F2}"/>
            </c:ext>
          </c:extLst>
        </c:ser>
        <c:ser>
          <c:idx val="139"/>
          <c:order val="139"/>
          <c:tx>
            <c:v>Thigh L 5th 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Solution!$BP$35:$BP$38</c:f>
              <c:numCache>
                <c:formatCode>0.0</c:formatCode>
                <c:ptCount val="4"/>
                <c:pt idx="0">
                  <c:v>0</c:v>
                </c:pt>
                <c:pt idx="1">
                  <c:v>0</c:v>
                </c:pt>
                <c:pt idx="2">
                  <c:v>1.9</c:v>
                </c:pt>
                <c:pt idx="3">
                  <c:v>1.9</c:v>
                </c:pt>
              </c:numCache>
            </c:numRef>
          </c:xVal>
          <c:yVal>
            <c:numRef>
              <c:f>Solution!$BQ$35:$BQ$38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E-BD2D-4991-9D42-84343DE074F2}"/>
            </c:ext>
          </c:extLst>
        </c:ser>
        <c:ser>
          <c:idx val="140"/>
          <c:order val="140"/>
          <c:tx>
            <c:v>Thigh L Mean 5</c:v>
          </c:tx>
          <c:spPr>
            <a:ln w="19050" cap="rnd">
              <a:solidFill>
                <a:srgbClr val="00B050"/>
              </a:solidFill>
              <a:round/>
            </a:ln>
            <a:effectLst/>
          </c:spPr>
          <c:marker>
            <c:symbol val="circle"/>
            <c:size val="2"/>
            <c:spPr>
              <a:solidFill>
                <a:srgbClr val="00B050"/>
              </a:solidFill>
              <a:ln w="9525">
                <a:noFill/>
              </a:ln>
              <a:effectLst/>
            </c:spPr>
          </c:marker>
          <c:xVal>
            <c:numRef>
              <c:f>Solution!$BR$35:$BR$38</c:f>
              <c:numCache>
                <c:formatCode>0.0</c:formatCode>
                <c:ptCount val="4"/>
                <c:pt idx="0">
                  <c:v>0</c:v>
                </c:pt>
                <c:pt idx="1">
                  <c:v>0</c:v>
                </c:pt>
                <c:pt idx="2">
                  <c:v>1.9</c:v>
                </c:pt>
                <c:pt idx="3">
                  <c:v>1.9</c:v>
                </c:pt>
              </c:numCache>
            </c:numRef>
          </c:xVal>
          <c:yVal>
            <c:numRef>
              <c:f>Solution!$BS$35:$BS$38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F-BD2D-4991-9D42-84343DE074F2}"/>
            </c:ext>
          </c:extLst>
        </c:ser>
        <c:ser>
          <c:idx val="141"/>
          <c:order val="141"/>
          <c:tx>
            <c:v>Thigh L 95th 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Solution!$BT$35:$BT$38</c:f>
              <c:numCache>
                <c:formatCode>0.0</c:formatCode>
                <c:ptCount val="4"/>
                <c:pt idx="0">
                  <c:v>0</c:v>
                </c:pt>
                <c:pt idx="1">
                  <c:v>0</c:v>
                </c:pt>
                <c:pt idx="2">
                  <c:v>1.9</c:v>
                </c:pt>
                <c:pt idx="3">
                  <c:v>1.9</c:v>
                </c:pt>
              </c:numCache>
            </c:numRef>
          </c:xVal>
          <c:yVal>
            <c:numRef>
              <c:f>Solution!$BU$35:$BU$38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0-BD2D-4991-9D42-84343DE074F2}"/>
            </c:ext>
          </c:extLst>
        </c:ser>
        <c:ser>
          <c:idx val="142"/>
          <c:order val="142"/>
          <c:tx>
            <c:v>Thigh R 5th 6</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Solution!$BI$39:$BI$42</c:f>
              <c:numCache>
                <c:formatCode>0.0</c:formatCode>
                <c:ptCount val="4"/>
                <c:pt idx="0">
                  <c:v>0</c:v>
                </c:pt>
                <c:pt idx="1">
                  <c:v>0</c:v>
                </c:pt>
                <c:pt idx="2">
                  <c:v>-1.9</c:v>
                </c:pt>
                <c:pt idx="3">
                  <c:v>-1.9</c:v>
                </c:pt>
              </c:numCache>
            </c:numRef>
          </c:xVal>
          <c:yVal>
            <c:numRef>
              <c:f>Solution!$BJ$39:$BJ$42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1-BD2D-4991-9D42-84343DE074F2}"/>
            </c:ext>
          </c:extLst>
        </c:ser>
        <c:ser>
          <c:idx val="143"/>
          <c:order val="143"/>
          <c:tx>
            <c:v>Thigh R Mean 6</c:v>
          </c:tx>
          <c:spPr>
            <a:ln w="19050" cap="rnd">
              <a:solidFill>
                <a:srgbClr val="00B050"/>
              </a:solidFill>
              <a:round/>
            </a:ln>
            <a:effectLst/>
          </c:spPr>
          <c:marker>
            <c:symbol val="circle"/>
            <c:size val="2"/>
            <c:spPr>
              <a:solidFill>
                <a:srgbClr val="00B050"/>
              </a:solidFill>
              <a:ln w="9525">
                <a:noFill/>
              </a:ln>
              <a:effectLst/>
            </c:spPr>
          </c:marker>
          <c:xVal>
            <c:numRef>
              <c:f>Solution!$BK$39:$BK$42</c:f>
              <c:numCache>
                <c:formatCode>0.0</c:formatCode>
                <c:ptCount val="4"/>
                <c:pt idx="0">
                  <c:v>0</c:v>
                </c:pt>
                <c:pt idx="1">
                  <c:v>0</c:v>
                </c:pt>
                <c:pt idx="2">
                  <c:v>-1.9</c:v>
                </c:pt>
                <c:pt idx="3">
                  <c:v>-1.9</c:v>
                </c:pt>
              </c:numCache>
            </c:numRef>
          </c:xVal>
          <c:yVal>
            <c:numRef>
              <c:f>Solution!$BL$39:$BL$42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2-BD2D-4991-9D42-84343DE074F2}"/>
            </c:ext>
          </c:extLst>
        </c:ser>
        <c:ser>
          <c:idx val="144"/>
          <c:order val="144"/>
          <c:tx>
            <c:v>Thigh R 95th 6</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Solution!$BM$39:$BM$42</c:f>
              <c:numCache>
                <c:formatCode>0.0</c:formatCode>
                <c:ptCount val="4"/>
                <c:pt idx="0">
                  <c:v>0</c:v>
                </c:pt>
                <c:pt idx="1">
                  <c:v>0</c:v>
                </c:pt>
                <c:pt idx="2">
                  <c:v>-1.9</c:v>
                </c:pt>
                <c:pt idx="3">
                  <c:v>-1.9</c:v>
                </c:pt>
              </c:numCache>
            </c:numRef>
          </c:xVal>
          <c:yVal>
            <c:numRef>
              <c:f>Solution!$BN$39:$BN$42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3-BD2D-4991-9D42-84343DE074F2}"/>
            </c:ext>
          </c:extLst>
        </c:ser>
        <c:ser>
          <c:idx val="145"/>
          <c:order val="145"/>
          <c:tx>
            <c:v>Thigh L 5th 6</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Solution!$BP$39:$BP$42</c:f>
              <c:numCache>
                <c:formatCode>0.0</c:formatCode>
                <c:ptCount val="4"/>
                <c:pt idx="0">
                  <c:v>0</c:v>
                </c:pt>
                <c:pt idx="1">
                  <c:v>0</c:v>
                </c:pt>
                <c:pt idx="2">
                  <c:v>1.9</c:v>
                </c:pt>
                <c:pt idx="3">
                  <c:v>1.9</c:v>
                </c:pt>
              </c:numCache>
            </c:numRef>
          </c:xVal>
          <c:yVal>
            <c:numRef>
              <c:f>Solution!$BQ$39:$BQ$42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4-BD2D-4991-9D42-84343DE074F2}"/>
            </c:ext>
          </c:extLst>
        </c:ser>
        <c:ser>
          <c:idx val="146"/>
          <c:order val="146"/>
          <c:tx>
            <c:v>Thigh L Mean 6</c:v>
          </c:tx>
          <c:spPr>
            <a:ln w="19050" cap="rnd">
              <a:solidFill>
                <a:srgbClr val="00B050"/>
              </a:solidFill>
              <a:round/>
            </a:ln>
            <a:effectLst/>
          </c:spPr>
          <c:marker>
            <c:symbol val="circle"/>
            <c:size val="2"/>
            <c:spPr>
              <a:solidFill>
                <a:schemeClr val="accent3">
                  <a:lumMod val="70000"/>
                  <a:lumOff val="30000"/>
                </a:schemeClr>
              </a:solidFill>
              <a:ln w="9525">
                <a:noFill/>
              </a:ln>
              <a:effectLst/>
            </c:spPr>
          </c:marker>
          <c:xVal>
            <c:numRef>
              <c:f>Solution!$BR$39:$BR$42</c:f>
              <c:numCache>
                <c:formatCode>0.0</c:formatCode>
                <c:ptCount val="4"/>
                <c:pt idx="0">
                  <c:v>0</c:v>
                </c:pt>
                <c:pt idx="1">
                  <c:v>0</c:v>
                </c:pt>
                <c:pt idx="2">
                  <c:v>1.9</c:v>
                </c:pt>
                <c:pt idx="3">
                  <c:v>1.9</c:v>
                </c:pt>
              </c:numCache>
            </c:numRef>
          </c:xVal>
          <c:yVal>
            <c:numRef>
              <c:f>Solution!$BS$39:$BS$42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5-BD2D-4991-9D42-84343DE074F2}"/>
            </c:ext>
          </c:extLst>
        </c:ser>
        <c:ser>
          <c:idx val="147"/>
          <c:order val="147"/>
          <c:tx>
            <c:v>Thigh L 95th 6</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Solution!$BT$39:$BT$42</c:f>
              <c:numCache>
                <c:formatCode>0.0</c:formatCode>
                <c:ptCount val="4"/>
                <c:pt idx="0">
                  <c:v>0</c:v>
                </c:pt>
                <c:pt idx="1">
                  <c:v>0</c:v>
                </c:pt>
                <c:pt idx="2">
                  <c:v>1.9</c:v>
                </c:pt>
                <c:pt idx="3">
                  <c:v>1.9</c:v>
                </c:pt>
              </c:numCache>
            </c:numRef>
          </c:xVal>
          <c:yVal>
            <c:numRef>
              <c:f>Solution!$BU$39:$BU$42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6-BD2D-4991-9D42-84343DE074F2}"/>
            </c:ext>
          </c:extLst>
        </c:ser>
        <c:ser>
          <c:idx val="148"/>
          <c:order val="148"/>
          <c:tx>
            <c:v>Thigh R 5th 7</c:v>
          </c:tx>
          <c:spPr>
            <a:ln w="19050" cap="rnd">
              <a:solidFill>
                <a:schemeClr val="accent5">
                  <a:lumMod val="70000"/>
                  <a:lumOff val="30000"/>
                </a:schemeClr>
              </a:solidFill>
              <a:round/>
            </a:ln>
            <a:effectLst/>
          </c:spPr>
          <c:marker>
            <c:symbol val="circle"/>
            <c:size val="2"/>
            <c:spPr>
              <a:solidFill>
                <a:schemeClr val="accent5">
                  <a:lumMod val="60000"/>
                  <a:lumOff val="40000"/>
                </a:schemeClr>
              </a:solidFill>
              <a:ln w="9525">
                <a:noFill/>
              </a:ln>
              <a:effectLst/>
            </c:spPr>
          </c:marker>
          <c:xVal>
            <c:numRef>
              <c:f>Solution!$BI$43:$BI$46</c:f>
              <c:numCache>
                <c:formatCode>0.0</c:formatCode>
                <c:ptCount val="4"/>
                <c:pt idx="0">
                  <c:v>0</c:v>
                </c:pt>
                <c:pt idx="1">
                  <c:v>0</c:v>
                </c:pt>
                <c:pt idx="2">
                  <c:v>-1.9</c:v>
                </c:pt>
                <c:pt idx="3">
                  <c:v>-1.9</c:v>
                </c:pt>
              </c:numCache>
            </c:numRef>
          </c:xVal>
          <c:yVal>
            <c:numRef>
              <c:f>Solution!$BJ$43:$BJ$46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7-BD2D-4991-9D42-84343DE074F2}"/>
            </c:ext>
          </c:extLst>
        </c:ser>
        <c:ser>
          <c:idx val="149"/>
          <c:order val="149"/>
          <c:tx>
            <c:v>Thigh R Mean 7</c:v>
          </c:tx>
          <c:spPr>
            <a:ln w="19050" cap="rnd">
              <a:solidFill>
                <a:srgbClr val="00B050"/>
              </a:solidFill>
              <a:round/>
            </a:ln>
            <a:effectLst/>
          </c:spPr>
          <c:marker>
            <c:symbol val="circle"/>
            <c:size val="2"/>
            <c:spPr>
              <a:solidFill>
                <a:srgbClr val="00B050"/>
              </a:solidFill>
              <a:ln w="9525">
                <a:noFill/>
              </a:ln>
              <a:effectLst/>
            </c:spPr>
          </c:marker>
          <c:xVal>
            <c:numRef>
              <c:f>Solution!$BK$43:$BK$46</c:f>
              <c:numCache>
                <c:formatCode>0.0</c:formatCode>
                <c:ptCount val="4"/>
                <c:pt idx="0">
                  <c:v>0</c:v>
                </c:pt>
                <c:pt idx="1">
                  <c:v>0</c:v>
                </c:pt>
                <c:pt idx="2">
                  <c:v>-1.9</c:v>
                </c:pt>
                <c:pt idx="3">
                  <c:v>-1.9</c:v>
                </c:pt>
              </c:numCache>
            </c:numRef>
          </c:xVal>
          <c:yVal>
            <c:numRef>
              <c:f>Solution!$BL$43:$BL$46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8-BD2D-4991-9D42-84343DE074F2}"/>
            </c:ext>
          </c:extLst>
        </c:ser>
        <c:ser>
          <c:idx val="150"/>
          <c:order val="150"/>
          <c:tx>
            <c:v>Thigh R 95th 7</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Solution!$BM$43:$BM$46</c:f>
              <c:numCache>
                <c:formatCode>0.0</c:formatCode>
                <c:ptCount val="4"/>
                <c:pt idx="0">
                  <c:v>0</c:v>
                </c:pt>
                <c:pt idx="1">
                  <c:v>0</c:v>
                </c:pt>
                <c:pt idx="2">
                  <c:v>-1.9</c:v>
                </c:pt>
                <c:pt idx="3">
                  <c:v>-1.9</c:v>
                </c:pt>
              </c:numCache>
            </c:numRef>
          </c:xVal>
          <c:yVal>
            <c:numRef>
              <c:f>Solution!$BN$43:$BN$46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9-BD2D-4991-9D42-84343DE074F2}"/>
            </c:ext>
          </c:extLst>
        </c:ser>
        <c:ser>
          <c:idx val="151"/>
          <c:order val="151"/>
          <c:tx>
            <c:v>Thigh L 5th 7</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Solution!$BP$43:$BP$46</c:f>
              <c:numCache>
                <c:formatCode>0.0</c:formatCode>
                <c:ptCount val="4"/>
                <c:pt idx="0">
                  <c:v>0</c:v>
                </c:pt>
                <c:pt idx="1">
                  <c:v>0</c:v>
                </c:pt>
                <c:pt idx="2">
                  <c:v>1.9</c:v>
                </c:pt>
                <c:pt idx="3">
                  <c:v>1.9</c:v>
                </c:pt>
              </c:numCache>
            </c:numRef>
          </c:xVal>
          <c:yVal>
            <c:numRef>
              <c:f>Solution!$BQ$43:$BQ$46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A-BD2D-4991-9D42-84343DE074F2}"/>
            </c:ext>
          </c:extLst>
        </c:ser>
        <c:ser>
          <c:idx val="152"/>
          <c:order val="152"/>
          <c:tx>
            <c:v>Thigh L Mean 7</c:v>
          </c:tx>
          <c:spPr>
            <a:ln w="19050" cap="rnd">
              <a:solidFill>
                <a:srgbClr val="00B050"/>
              </a:solidFill>
              <a:round/>
            </a:ln>
            <a:effectLst/>
          </c:spPr>
          <c:marker>
            <c:symbol val="circle"/>
            <c:size val="2"/>
            <c:spPr>
              <a:solidFill>
                <a:srgbClr val="00B050"/>
              </a:solidFill>
              <a:ln w="9525">
                <a:noFill/>
              </a:ln>
              <a:effectLst/>
            </c:spPr>
          </c:marker>
          <c:xVal>
            <c:numRef>
              <c:f>Solution!$BR$43:$BR$46</c:f>
              <c:numCache>
                <c:formatCode>0.0</c:formatCode>
                <c:ptCount val="4"/>
                <c:pt idx="0">
                  <c:v>0</c:v>
                </c:pt>
                <c:pt idx="1">
                  <c:v>0</c:v>
                </c:pt>
                <c:pt idx="2">
                  <c:v>1.9</c:v>
                </c:pt>
                <c:pt idx="3">
                  <c:v>1.9</c:v>
                </c:pt>
              </c:numCache>
            </c:numRef>
          </c:xVal>
          <c:yVal>
            <c:numRef>
              <c:f>Solution!$BS$43:$BS$46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B-BD2D-4991-9D42-84343DE074F2}"/>
            </c:ext>
          </c:extLst>
        </c:ser>
        <c:ser>
          <c:idx val="153"/>
          <c:order val="153"/>
          <c:tx>
            <c:v>Thigh R 95th 7</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Solution!$BT$43:$BT$46</c:f>
              <c:numCache>
                <c:formatCode>0.0</c:formatCode>
                <c:ptCount val="4"/>
                <c:pt idx="0">
                  <c:v>0</c:v>
                </c:pt>
                <c:pt idx="1">
                  <c:v>0</c:v>
                </c:pt>
                <c:pt idx="2">
                  <c:v>1.9</c:v>
                </c:pt>
                <c:pt idx="3">
                  <c:v>1.9</c:v>
                </c:pt>
              </c:numCache>
            </c:numRef>
          </c:xVal>
          <c:yVal>
            <c:numRef>
              <c:f>Solution!$BU$43:$BU$46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C-BD2D-4991-9D42-84343DE074F2}"/>
            </c:ext>
          </c:extLst>
        </c:ser>
        <c:ser>
          <c:idx val="154"/>
          <c:order val="154"/>
          <c:tx>
            <c:v>Thigh R 5th 8</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Solution!$BI$47:$BI$50</c:f>
              <c:numCache>
                <c:formatCode>0.0</c:formatCode>
                <c:ptCount val="4"/>
                <c:pt idx="0">
                  <c:v>0</c:v>
                </c:pt>
                <c:pt idx="1">
                  <c:v>0</c:v>
                </c:pt>
                <c:pt idx="2">
                  <c:v>-1.9</c:v>
                </c:pt>
                <c:pt idx="3">
                  <c:v>-1.9</c:v>
                </c:pt>
              </c:numCache>
            </c:numRef>
          </c:xVal>
          <c:yVal>
            <c:numRef>
              <c:f>Solution!$BJ$47:$BJ$50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D-BD2D-4991-9D42-84343DE074F2}"/>
            </c:ext>
          </c:extLst>
        </c:ser>
        <c:ser>
          <c:idx val="155"/>
          <c:order val="155"/>
          <c:tx>
            <c:v>Thigh R Mean 8</c:v>
          </c:tx>
          <c:spPr>
            <a:ln w="19050" cap="rnd">
              <a:solidFill>
                <a:srgbClr val="00B050"/>
              </a:solidFill>
              <a:round/>
            </a:ln>
            <a:effectLst/>
          </c:spPr>
          <c:marker>
            <c:symbol val="circle"/>
            <c:size val="2"/>
            <c:spPr>
              <a:solidFill>
                <a:srgbClr val="00B050"/>
              </a:solidFill>
              <a:ln w="9525">
                <a:noFill/>
              </a:ln>
              <a:effectLst/>
            </c:spPr>
          </c:marker>
          <c:xVal>
            <c:numRef>
              <c:f>Solution!$BK$47:$BK$50</c:f>
              <c:numCache>
                <c:formatCode>0.0</c:formatCode>
                <c:ptCount val="4"/>
                <c:pt idx="0">
                  <c:v>0</c:v>
                </c:pt>
                <c:pt idx="1">
                  <c:v>0</c:v>
                </c:pt>
                <c:pt idx="2">
                  <c:v>-1.9</c:v>
                </c:pt>
                <c:pt idx="3">
                  <c:v>-1.9</c:v>
                </c:pt>
              </c:numCache>
            </c:numRef>
          </c:xVal>
          <c:yVal>
            <c:numRef>
              <c:f>Solution!$BL$47:$BL$50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E-BD2D-4991-9D42-84343DE074F2}"/>
            </c:ext>
          </c:extLst>
        </c:ser>
        <c:ser>
          <c:idx val="156"/>
          <c:order val="156"/>
          <c:tx>
            <c:v>Thigh R 95th 8</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Solution!$BM$47:$BM$50</c:f>
              <c:numCache>
                <c:formatCode>0.0</c:formatCode>
                <c:ptCount val="4"/>
                <c:pt idx="0">
                  <c:v>0</c:v>
                </c:pt>
                <c:pt idx="1">
                  <c:v>0</c:v>
                </c:pt>
                <c:pt idx="2">
                  <c:v>-1.9</c:v>
                </c:pt>
                <c:pt idx="3">
                  <c:v>-1.9</c:v>
                </c:pt>
              </c:numCache>
            </c:numRef>
          </c:xVal>
          <c:yVal>
            <c:numRef>
              <c:f>Solution!$BN$47:$BN$50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F-BD2D-4991-9D42-84343DE074F2}"/>
            </c:ext>
          </c:extLst>
        </c:ser>
        <c:ser>
          <c:idx val="157"/>
          <c:order val="157"/>
          <c:tx>
            <c:v>Thigh L 5th 8</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Solution!$BP$47:$BP$50</c:f>
              <c:numCache>
                <c:formatCode>0.0</c:formatCode>
                <c:ptCount val="4"/>
                <c:pt idx="0">
                  <c:v>0</c:v>
                </c:pt>
                <c:pt idx="1">
                  <c:v>0</c:v>
                </c:pt>
                <c:pt idx="2">
                  <c:v>1.9</c:v>
                </c:pt>
                <c:pt idx="3">
                  <c:v>1.9</c:v>
                </c:pt>
              </c:numCache>
            </c:numRef>
          </c:xVal>
          <c:yVal>
            <c:numRef>
              <c:f>Solution!$BQ$47:$BQ$50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0-BD2D-4991-9D42-84343DE074F2}"/>
            </c:ext>
          </c:extLst>
        </c:ser>
        <c:ser>
          <c:idx val="158"/>
          <c:order val="158"/>
          <c:tx>
            <c:v>Thigh L Mean 8</c:v>
          </c:tx>
          <c:spPr>
            <a:ln w="19050" cap="rnd">
              <a:solidFill>
                <a:srgbClr val="00B050"/>
              </a:solidFill>
              <a:round/>
            </a:ln>
            <a:effectLst/>
          </c:spPr>
          <c:marker>
            <c:symbol val="circle"/>
            <c:size val="2"/>
            <c:spPr>
              <a:solidFill>
                <a:srgbClr val="00B050"/>
              </a:solidFill>
              <a:ln w="9525">
                <a:noFill/>
              </a:ln>
              <a:effectLst/>
            </c:spPr>
          </c:marker>
          <c:xVal>
            <c:numRef>
              <c:f>Solution!$BR$47:$BR$50</c:f>
              <c:numCache>
                <c:formatCode>0.0</c:formatCode>
                <c:ptCount val="4"/>
                <c:pt idx="0">
                  <c:v>0</c:v>
                </c:pt>
                <c:pt idx="1">
                  <c:v>0</c:v>
                </c:pt>
                <c:pt idx="2">
                  <c:v>1.9</c:v>
                </c:pt>
                <c:pt idx="3">
                  <c:v>1.9</c:v>
                </c:pt>
              </c:numCache>
            </c:numRef>
          </c:xVal>
          <c:yVal>
            <c:numRef>
              <c:f>Solution!$BS$47:$BS$50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1-BD2D-4991-9D42-84343DE074F2}"/>
            </c:ext>
          </c:extLst>
        </c:ser>
        <c:ser>
          <c:idx val="159"/>
          <c:order val="159"/>
          <c:tx>
            <c:v>Thigh R 95th 8</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Solution!$BT$47:$BT$50</c:f>
              <c:numCache>
                <c:formatCode>0.0</c:formatCode>
                <c:ptCount val="4"/>
                <c:pt idx="0">
                  <c:v>0</c:v>
                </c:pt>
                <c:pt idx="1">
                  <c:v>0</c:v>
                </c:pt>
                <c:pt idx="2">
                  <c:v>1.9</c:v>
                </c:pt>
                <c:pt idx="3">
                  <c:v>1.9</c:v>
                </c:pt>
              </c:numCache>
            </c:numRef>
          </c:xVal>
          <c:yVal>
            <c:numRef>
              <c:f>Solution!$BU$47:$BU$50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2-BD2D-4991-9D42-84343DE074F2}"/>
            </c:ext>
          </c:extLst>
        </c:ser>
        <c:ser>
          <c:idx val="160"/>
          <c:order val="160"/>
          <c:tx>
            <c:v>Thigh R 5th 9</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Solution!$BI$51:$BI$54</c:f>
              <c:numCache>
                <c:formatCode>0.0</c:formatCode>
                <c:ptCount val="4"/>
                <c:pt idx="0">
                  <c:v>0</c:v>
                </c:pt>
                <c:pt idx="1">
                  <c:v>0</c:v>
                </c:pt>
                <c:pt idx="2">
                  <c:v>-1.9</c:v>
                </c:pt>
                <c:pt idx="3">
                  <c:v>-1.9</c:v>
                </c:pt>
              </c:numCache>
            </c:numRef>
          </c:xVal>
          <c:yVal>
            <c:numRef>
              <c:f>Solution!$BJ$51:$BJ$54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3-BD2D-4991-9D42-84343DE074F2}"/>
            </c:ext>
          </c:extLst>
        </c:ser>
        <c:ser>
          <c:idx val="161"/>
          <c:order val="161"/>
          <c:tx>
            <c:v>Thigh R Mean 9</c:v>
          </c:tx>
          <c:spPr>
            <a:ln w="19050" cap="rnd">
              <a:solidFill>
                <a:srgbClr val="00B050"/>
              </a:solidFill>
              <a:round/>
            </a:ln>
            <a:effectLst/>
          </c:spPr>
          <c:marker>
            <c:symbol val="circle"/>
            <c:size val="2"/>
            <c:spPr>
              <a:solidFill>
                <a:srgbClr val="00B050"/>
              </a:solidFill>
              <a:ln w="9525">
                <a:noFill/>
              </a:ln>
              <a:effectLst/>
            </c:spPr>
          </c:marker>
          <c:xVal>
            <c:numRef>
              <c:f>Solution!$BK$51:$BK$54</c:f>
              <c:numCache>
                <c:formatCode>0.0</c:formatCode>
                <c:ptCount val="4"/>
                <c:pt idx="0">
                  <c:v>0</c:v>
                </c:pt>
                <c:pt idx="1">
                  <c:v>0</c:v>
                </c:pt>
                <c:pt idx="2">
                  <c:v>-1.9</c:v>
                </c:pt>
                <c:pt idx="3">
                  <c:v>-1.9</c:v>
                </c:pt>
              </c:numCache>
            </c:numRef>
          </c:xVal>
          <c:yVal>
            <c:numRef>
              <c:f>Solution!$BL$51:$BL$54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4-BD2D-4991-9D42-84343DE074F2}"/>
            </c:ext>
          </c:extLst>
        </c:ser>
        <c:ser>
          <c:idx val="162"/>
          <c:order val="162"/>
          <c:tx>
            <c:v>Thigh R 95th 9</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Solution!$BM$51:$BM$54</c:f>
              <c:numCache>
                <c:formatCode>0.0</c:formatCode>
                <c:ptCount val="4"/>
                <c:pt idx="0">
                  <c:v>0</c:v>
                </c:pt>
                <c:pt idx="1">
                  <c:v>0</c:v>
                </c:pt>
                <c:pt idx="2">
                  <c:v>-1.9</c:v>
                </c:pt>
                <c:pt idx="3">
                  <c:v>-1.9</c:v>
                </c:pt>
              </c:numCache>
            </c:numRef>
          </c:xVal>
          <c:yVal>
            <c:numRef>
              <c:f>Solution!$BN$51:$BN$54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5-BD2D-4991-9D42-84343DE074F2}"/>
            </c:ext>
          </c:extLst>
        </c:ser>
        <c:ser>
          <c:idx val="163"/>
          <c:order val="163"/>
          <c:tx>
            <c:v>Thigh L 5th 9</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Solution!$BP$51:$BP$54</c:f>
              <c:numCache>
                <c:formatCode>0.0</c:formatCode>
                <c:ptCount val="4"/>
                <c:pt idx="0">
                  <c:v>0</c:v>
                </c:pt>
                <c:pt idx="1">
                  <c:v>0</c:v>
                </c:pt>
                <c:pt idx="2">
                  <c:v>1.9</c:v>
                </c:pt>
                <c:pt idx="3">
                  <c:v>1.9</c:v>
                </c:pt>
              </c:numCache>
            </c:numRef>
          </c:xVal>
          <c:yVal>
            <c:numRef>
              <c:f>Solution!$BQ$51:$BQ$54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6-BD2D-4991-9D42-84343DE074F2}"/>
            </c:ext>
          </c:extLst>
        </c:ser>
        <c:ser>
          <c:idx val="164"/>
          <c:order val="164"/>
          <c:tx>
            <c:v>Thigh L Mean 9</c:v>
          </c:tx>
          <c:spPr>
            <a:ln w="19050" cap="rnd">
              <a:solidFill>
                <a:srgbClr val="00B050"/>
              </a:solidFill>
              <a:round/>
            </a:ln>
            <a:effectLst/>
          </c:spPr>
          <c:marker>
            <c:symbol val="circle"/>
            <c:size val="2"/>
            <c:spPr>
              <a:solidFill>
                <a:srgbClr val="00B050"/>
              </a:solidFill>
              <a:ln w="9525">
                <a:noFill/>
              </a:ln>
              <a:effectLst/>
            </c:spPr>
          </c:marker>
          <c:xVal>
            <c:numRef>
              <c:f>Solution!$BR$51:$BR$54</c:f>
              <c:numCache>
                <c:formatCode>0.0</c:formatCode>
                <c:ptCount val="4"/>
                <c:pt idx="0">
                  <c:v>0</c:v>
                </c:pt>
                <c:pt idx="1">
                  <c:v>0</c:v>
                </c:pt>
                <c:pt idx="2">
                  <c:v>1.9</c:v>
                </c:pt>
                <c:pt idx="3">
                  <c:v>1.9</c:v>
                </c:pt>
              </c:numCache>
            </c:numRef>
          </c:xVal>
          <c:yVal>
            <c:numRef>
              <c:f>Solution!$BS$51:$BS$54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7-BD2D-4991-9D42-84343DE074F2}"/>
            </c:ext>
          </c:extLst>
        </c:ser>
        <c:ser>
          <c:idx val="165"/>
          <c:order val="165"/>
          <c:tx>
            <c:v>Thigh L 95th 9</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Solution!$BT$51:$BT$54</c:f>
              <c:numCache>
                <c:formatCode>0.0</c:formatCode>
                <c:ptCount val="4"/>
                <c:pt idx="0">
                  <c:v>0</c:v>
                </c:pt>
                <c:pt idx="1">
                  <c:v>0</c:v>
                </c:pt>
                <c:pt idx="2">
                  <c:v>1.9</c:v>
                </c:pt>
                <c:pt idx="3">
                  <c:v>1.9</c:v>
                </c:pt>
              </c:numCache>
            </c:numRef>
          </c:xVal>
          <c:yVal>
            <c:numRef>
              <c:f>Solution!$BU$51:$BU$54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8-BD2D-4991-9D42-84343DE074F2}"/>
            </c:ext>
          </c:extLst>
        </c:ser>
        <c:ser>
          <c:idx val="166"/>
          <c:order val="166"/>
          <c:tx>
            <c:v>Thigh R 5th 10</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Solution!$BI$55:$BI$58</c:f>
              <c:numCache>
                <c:formatCode>0.0</c:formatCode>
                <c:ptCount val="4"/>
                <c:pt idx="0">
                  <c:v>0</c:v>
                </c:pt>
                <c:pt idx="1">
                  <c:v>0</c:v>
                </c:pt>
                <c:pt idx="2">
                  <c:v>-1.9</c:v>
                </c:pt>
                <c:pt idx="3">
                  <c:v>-1.9</c:v>
                </c:pt>
              </c:numCache>
            </c:numRef>
          </c:xVal>
          <c:yVal>
            <c:numRef>
              <c:f>Solution!$BJ$55:$BJ$58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9-BD2D-4991-9D42-84343DE074F2}"/>
            </c:ext>
          </c:extLst>
        </c:ser>
        <c:ser>
          <c:idx val="167"/>
          <c:order val="167"/>
          <c:tx>
            <c:v>Thigh R Mean 10</c:v>
          </c:tx>
          <c:spPr>
            <a:ln w="19050" cap="rnd">
              <a:solidFill>
                <a:srgbClr val="00B050"/>
              </a:solidFill>
              <a:round/>
            </a:ln>
            <a:effectLst/>
          </c:spPr>
          <c:marker>
            <c:symbol val="circle"/>
            <c:size val="2"/>
            <c:spPr>
              <a:solidFill>
                <a:srgbClr val="00B050"/>
              </a:solidFill>
              <a:ln w="9525">
                <a:noFill/>
              </a:ln>
              <a:effectLst/>
            </c:spPr>
          </c:marker>
          <c:xVal>
            <c:numRef>
              <c:f>Solution!$BK$55:$BK$58</c:f>
              <c:numCache>
                <c:formatCode>0.0</c:formatCode>
                <c:ptCount val="4"/>
                <c:pt idx="0">
                  <c:v>0</c:v>
                </c:pt>
                <c:pt idx="1">
                  <c:v>0</c:v>
                </c:pt>
                <c:pt idx="2">
                  <c:v>-1.9</c:v>
                </c:pt>
                <c:pt idx="3">
                  <c:v>-1.9</c:v>
                </c:pt>
              </c:numCache>
            </c:numRef>
          </c:xVal>
          <c:yVal>
            <c:numRef>
              <c:f>Solution!$BL$55:$BL$58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A-BD2D-4991-9D42-84343DE074F2}"/>
            </c:ext>
          </c:extLst>
        </c:ser>
        <c:ser>
          <c:idx val="168"/>
          <c:order val="168"/>
          <c:tx>
            <c:v>Thigh R 95th 10</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Solution!$BM$55:$BM$58</c:f>
              <c:numCache>
                <c:formatCode>0.0</c:formatCode>
                <c:ptCount val="4"/>
                <c:pt idx="0">
                  <c:v>0</c:v>
                </c:pt>
                <c:pt idx="1">
                  <c:v>0</c:v>
                </c:pt>
                <c:pt idx="2">
                  <c:v>-1.9</c:v>
                </c:pt>
                <c:pt idx="3">
                  <c:v>-1.9</c:v>
                </c:pt>
              </c:numCache>
            </c:numRef>
          </c:xVal>
          <c:yVal>
            <c:numRef>
              <c:f>Solution!$BN$55:$BN$58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B-BD2D-4991-9D42-84343DE074F2}"/>
            </c:ext>
          </c:extLst>
        </c:ser>
        <c:ser>
          <c:idx val="169"/>
          <c:order val="169"/>
          <c:tx>
            <c:v>Thigh L 5th 10</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Solution!$BP$55:$BP$58</c:f>
              <c:numCache>
                <c:formatCode>0.0</c:formatCode>
                <c:ptCount val="4"/>
                <c:pt idx="0">
                  <c:v>0</c:v>
                </c:pt>
                <c:pt idx="1">
                  <c:v>0</c:v>
                </c:pt>
                <c:pt idx="2">
                  <c:v>1.9</c:v>
                </c:pt>
                <c:pt idx="3">
                  <c:v>1.9</c:v>
                </c:pt>
              </c:numCache>
            </c:numRef>
          </c:xVal>
          <c:yVal>
            <c:numRef>
              <c:f>Solution!$BQ$55:$BQ$58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C-BD2D-4991-9D42-84343DE074F2}"/>
            </c:ext>
          </c:extLst>
        </c:ser>
        <c:ser>
          <c:idx val="170"/>
          <c:order val="170"/>
          <c:tx>
            <c:v>Thigh L Mean 10</c:v>
          </c:tx>
          <c:spPr>
            <a:ln w="19050" cap="rnd">
              <a:solidFill>
                <a:srgbClr val="00B050"/>
              </a:solidFill>
              <a:round/>
            </a:ln>
            <a:effectLst/>
          </c:spPr>
          <c:marker>
            <c:symbol val="circle"/>
            <c:size val="2"/>
            <c:spPr>
              <a:solidFill>
                <a:srgbClr val="00B050"/>
              </a:solidFill>
              <a:ln w="9525">
                <a:noFill/>
              </a:ln>
              <a:effectLst/>
            </c:spPr>
          </c:marker>
          <c:xVal>
            <c:numRef>
              <c:f>Solution!$BR$55:$BR$58</c:f>
              <c:numCache>
                <c:formatCode>0.0</c:formatCode>
                <c:ptCount val="4"/>
                <c:pt idx="0">
                  <c:v>0</c:v>
                </c:pt>
                <c:pt idx="1">
                  <c:v>0</c:v>
                </c:pt>
                <c:pt idx="2">
                  <c:v>1.9</c:v>
                </c:pt>
                <c:pt idx="3">
                  <c:v>1.9</c:v>
                </c:pt>
              </c:numCache>
            </c:numRef>
          </c:xVal>
          <c:yVal>
            <c:numRef>
              <c:f>Solution!$BS$55:$BS$58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D-BD2D-4991-9D42-84343DE074F2}"/>
            </c:ext>
          </c:extLst>
        </c:ser>
        <c:ser>
          <c:idx val="171"/>
          <c:order val="171"/>
          <c:tx>
            <c:v>Thigh L 95th 10</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Solution!$BT$55:$BT$58</c:f>
              <c:numCache>
                <c:formatCode>0.0</c:formatCode>
                <c:ptCount val="4"/>
                <c:pt idx="0">
                  <c:v>0</c:v>
                </c:pt>
                <c:pt idx="1">
                  <c:v>0</c:v>
                </c:pt>
                <c:pt idx="2">
                  <c:v>1.9</c:v>
                </c:pt>
                <c:pt idx="3">
                  <c:v>1.9</c:v>
                </c:pt>
              </c:numCache>
            </c:numRef>
          </c:xVal>
          <c:yVal>
            <c:numRef>
              <c:f>Solution!$BU$55:$BU$58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E-BD2D-4991-9D42-84343DE074F2}"/>
            </c:ext>
          </c:extLst>
        </c:ser>
        <c:ser>
          <c:idx val="172"/>
          <c:order val="172"/>
          <c:tx>
            <c:v>Thigh R 5th 11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Solution!$BI$59:$BI$62</c:f>
              <c:numCache>
                <c:formatCode>0.0</c:formatCode>
                <c:ptCount val="4"/>
                <c:pt idx="0">
                  <c:v>0</c:v>
                </c:pt>
                <c:pt idx="1">
                  <c:v>0</c:v>
                </c:pt>
                <c:pt idx="2">
                  <c:v>-1.9</c:v>
                </c:pt>
                <c:pt idx="3">
                  <c:v>-1.9</c:v>
                </c:pt>
              </c:numCache>
            </c:numRef>
          </c:xVal>
          <c:yVal>
            <c:numRef>
              <c:f>Solution!$BJ$59:$BJ$62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F-BD2D-4991-9D42-84343DE074F2}"/>
            </c:ext>
          </c:extLst>
        </c:ser>
        <c:ser>
          <c:idx val="173"/>
          <c:order val="173"/>
          <c:tx>
            <c:v>Thigh R Mean 11</c:v>
          </c:tx>
          <c:spPr>
            <a:ln w="19050" cap="rnd">
              <a:solidFill>
                <a:srgbClr val="00B050"/>
              </a:solidFill>
              <a:round/>
            </a:ln>
            <a:effectLst/>
          </c:spPr>
          <c:marker>
            <c:symbol val="circle"/>
            <c:size val="2"/>
            <c:spPr>
              <a:solidFill>
                <a:srgbClr val="00B050"/>
              </a:solidFill>
              <a:ln w="9525">
                <a:noFill/>
              </a:ln>
              <a:effectLst/>
            </c:spPr>
          </c:marker>
          <c:xVal>
            <c:numRef>
              <c:f>Solution!$BK$59:$BK$62</c:f>
              <c:numCache>
                <c:formatCode>0.0</c:formatCode>
                <c:ptCount val="4"/>
                <c:pt idx="0">
                  <c:v>0</c:v>
                </c:pt>
                <c:pt idx="1">
                  <c:v>0</c:v>
                </c:pt>
                <c:pt idx="2">
                  <c:v>-1.9</c:v>
                </c:pt>
                <c:pt idx="3">
                  <c:v>-1.9</c:v>
                </c:pt>
              </c:numCache>
            </c:numRef>
          </c:xVal>
          <c:yVal>
            <c:numRef>
              <c:f>Solution!$BL$59:$BL$62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0-BD2D-4991-9D42-84343DE074F2}"/>
            </c:ext>
          </c:extLst>
        </c:ser>
        <c:ser>
          <c:idx val="174"/>
          <c:order val="174"/>
          <c:tx>
            <c:v>Thigh R 95th 11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Solution!$BM$59:$BM$62</c:f>
              <c:numCache>
                <c:formatCode>0.0</c:formatCode>
                <c:ptCount val="4"/>
                <c:pt idx="0">
                  <c:v>0</c:v>
                </c:pt>
                <c:pt idx="1">
                  <c:v>0</c:v>
                </c:pt>
                <c:pt idx="2">
                  <c:v>-1.9</c:v>
                </c:pt>
                <c:pt idx="3">
                  <c:v>-1.9</c:v>
                </c:pt>
              </c:numCache>
            </c:numRef>
          </c:xVal>
          <c:yVal>
            <c:numRef>
              <c:f>Solution!$BN$59:$BN$62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1-BD2D-4991-9D42-84343DE074F2}"/>
            </c:ext>
          </c:extLst>
        </c:ser>
        <c:ser>
          <c:idx val="175"/>
          <c:order val="175"/>
          <c:tx>
            <c:v>Thigh L 5th 11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Solution!$BP$59:$BP$62</c:f>
              <c:numCache>
                <c:formatCode>0.0</c:formatCode>
                <c:ptCount val="4"/>
                <c:pt idx="0">
                  <c:v>0</c:v>
                </c:pt>
                <c:pt idx="1">
                  <c:v>0</c:v>
                </c:pt>
                <c:pt idx="2">
                  <c:v>1.9</c:v>
                </c:pt>
                <c:pt idx="3">
                  <c:v>1.9</c:v>
                </c:pt>
              </c:numCache>
            </c:numRef>
          </c:xVal>
          <c:yVal>
            <c:numRef>
              <c:f>Solution!$BQ$59:$BQ$62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2-BD2D-4991-9D42-84343DE074F2}"/>
            </c:ext>
          </c:extLst>
        </c:ser>
        <c:ser>
          <c:idx val="176"/>
          <c:order val="176"/>
          <c:tx>
            <c:v>Thigh L Mean 11</c:v>
          </c:tx>
          <c:spPr>
            <a:ln w="19050" cap="rnd">
              <a:solidFill>
                <a:srgbClr val="00B050"/>
              </a:solidFill>
              <a:round/>
            </a:ln>
            <a:effectLst/>
          </c:spPr>
          <c:marker>
            <c:symbol val="circle"/>
            <c:size val="2"/>
            <c:spPr>
              <a:solidFill>
                <a:srgbClr val="00B050"/>
              </a:solidFill>
              <a:ln w="9525">
                <a:noFill/>
              </a:ln>
              <a:effectLst/>
            </c:spPr>
          </c:marker>
          <c:xVal>
            <c:numRef>
              <c:f>Solution!$BR$59:$BR$62</c:f>
              <c:numCache>
                <c:formatCode>0.0</c:formatCode>
                <c:ptCount val="4"/>
                <c:pt idx="0">
                  <c:v>0</c:v>
                </c:pt>
                <c:pt idx="1">
                  <c:v>0</c:v>
                </c:pt>
                <c:pt idx="2">
                  <c:v>1.9</c:v>
                </c:pt>
                <c:pt idx="3">
                  <c:v>1.9</c:v>
                </c:pt>
              </c:numCache>
            </c:numRef>
          </c:xVal>
          <c:yVal>
            <c:numRef>
              <c:f>Solution!$BS$59:$BS$62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3-BD2D-4991-9D42-84343DE074F2}"/>
            </c:ext>
          </c:extLst>
        </c:ser>
        <c:ser>
          <c:idx val="177"/>
          <c:order val="177"/>
          <c:tx>
            <c:v>Thigh L 95th 11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Solution!$BT$59:$BT$62</c:f>
              <c:numCache>
                <c:formatCode>0.0</c:formatCode>
                <c:ptCount val="4"/>
                <c:pt idx="0">
                  <c:v>0</c:v>
                </c:pt>
                <c:pt idx="1">
                  <c:v>0</c:v>
                </c:pt>
                <c:pt idx="2">
                  <c:v>1.9</c:v>
                </c:pt>
                <c:pt idx="3">
                  <c:v>1.9</c:v>
                </c:pt>
              </c:numCache>
            </c:numRef>
          </c:xVal>
          <c:yVal>
            <c:numRef>
              <c:f>Solution!$BU$59:$BU$62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4-BD2D-4991-9D42-84343DE074F2}"/>
            </c:ext>
          </c:extLst>
        </c:ser>
        <c:ser>
          <c:idx val="178"/>
          <c:order val="178"/>
          <c:tx>
            <c:v>Thigh R 5th 12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Solution!$BI$63:$BI$66</c:f>
              <c:numCache>
                <c:formatCode>0.0</c:formatCode>
                <c:ptCount val="4"/>
                <c:pt idx="0">
                  <c:v>0</c:v>
                </c:pt>
                <c:pt idx="1">
                  <c:v>0</c:v>
                </c:pt>
                <c:pt idx="2">
                  <c:v>-1.9</c:v>
                </c:pt>
                <c:pt idx="3">
                  <c:v>-1.9</c:v>
                </c:pt>
              </c:numCache>
            </c:numRef>
          </c:xVal>
          <c:yVal>
            <c:numRef>
              <c:f>Solution!$BJ$63:$BJ$66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5-BD2D-4991-9D42-84343DE074F2}"/>
            </c:ext>
          </c:extLst>
        </c:ser>
        <c:ser>
          <c:idx val="179"/>
          <c:order val="179"/>
          <c:tx>
            <c:v>Thigh R Mean 12</c:v>
          </c:tx>
          <c:spPr>
            <a:ln w="19050" cap="rnd">
              <a:solidFill>
                <a:srgbClr val="00B050"/>
              </a:solidFill>
              <a:round/>
            </a:ln>
            <a:effectLst/>
          </c:spPr>
          <c:marker>
            <c:symbol val="circle"/>
            <c:size val="2"/>
            <c:spPr>
              <a:solidFill>
                <a:srgbClr val="00B050"/>
              </a:solidFill>
              <a:ln w="9525">
                <a:noFill/>
              </a:ln>
              <a:effectLst/>
            </c:spPr>
          </c:marker>
          <c:xVal>
            <c:numRef>
              <c:f>Solution!$BK$63:$BK$66</c:f>
              <c:numCache>
                <c:formatCode>0.0</c:formatCode>
                <c:ptCount val="4"/>
                <c:pt idx="0">
                  <c:v>0</c:v>
                </c:pt>
                <c:pt idx="1">
                  <c:v>0</c:v>
                </c:pt>
                <c:pt idx="2">
                  <c:v>-1.9</c:v>
                </c:pt>
                <c:pt idx="3">
                  <c:v>-1.9</c:v>
                </c:pt>
              </c:numCache>
            </c:numRef>
          </c:xVal>
          <c:yVal>
            <c:numRef>
              <c:f>Solution!$BL$63:$BL$66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6-BD2D-4991-9D42-84343DE074F2}"/>
            </c:ext>
          </c:extLst>
        </c:ser>
        <c:ser>
          <c:idx val="180"/>
          <c:order val="180"/>
          <c:tx>
            <c:v>Thigh R 95th 12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Solution!$BM$63:$BM$66</c:f>
              <c:numCache>
                <c:formatCode>0.0</c:formatCode>
                <c:ptCount val="4"/>
                <c:pt idx="0">
                  <c:v>0</c:v>
                </c:pt>
                <c:pt idx="1">
                  <c:v>0</c:v>
                </c:pt>
                <c:pt idx="2">
                  <c:v>-1.9</c:v>
                </c:pt>
                <c:pt idx="3">
                  <c:v>-1.9</c:v>
                </c:pt>
              </c:numCache>
            </c:numRef>
          </c:xVal>
          <c:yVal>
            <c:numRef>
              <c:f>Solution!$BN$63:$BN$66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7-BD2D-4991-9D42-84343DE074F2}"/>
            </c:ext>
          </c:extLst>
        </c:ser>
        <c:ser>
          <c:idx val="181"/>
          <c:order val="181"/>
          <c:tx>
            <c:v>Thigh L 5th 12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Solution!$BP$63:$BP$66</c:f>
              <c:numCache>
                <c:formatCode>0.0</c:formatCode>
                <c:ptCount val="4"/>
                <c:pt idx="0">
                  <c:v>0</c:v>
                </c:pt>
                <c:pt idx="1">
                  <c:v>0</c:v>
                </c:pt>
                <c:pt idx="2">
                  <c:v>1.9</c:v>
                </c:pt>
                <c:pt idx="3">
                  <c:v>1.9</c:v>
                </c:pt>
              </c:numCache>
            </c:numRef>
          </c:xVal>
          <c:yVal>
            <c:numRef>
              <c:f>Solution!$BQ$63:$BQ$66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8-BD2D-4991-9D42-84343DE074F2}"/>
            </c:ext>
          </c:extLst>
        </c:ser>
        <c:ser>
          <c:idx val="182"/>
          <c:order val="182"/>
          <c:tx>
            <c:v>Thigh L Mean 12</c:v>
          </c:tx>
          <c:spPr>
            <a:ln w="19050" cap="rnd">
              <a:solidFill>
                <a:srgbClr val="00B050"/>
              </a:solidFill>
              <a:round/>
            </a:ln>
            <a:effectLst/>
          </c:spPr>
          <c:marker>
            <c:symbol val="circle"/>
            <c:size val="2"/>
            <c:spPr>
              <a:solidFill>
                <a:srgbClr val="00B050"/>
              </a:solidFill>
              <a:ln w="9525">
                <a:noFill/>
              </a:ln>
              <a:effectLst/>
            </c:spPr>
          </c:marker>
          <c:xVal>
            <c:numRef>
              <c:f>Solution!$BR$63:$BR$66</c:f>
              <c:numCache>
                <c:formatCode>0.0</c:formatCode>
                <c:ptCount val="4"/>
                <c:pt idx="0">
                  <c:v>0</c:v>
                </c:pt>
                <c:pt idx="1">
                  <c:v>0</c:v>
                </c:pt>
                <c:pt idx="2">
                  <c:v>1.9</c:v>
                </c:pt>
                <c:pt idx="3">
                  <c:v>1.9</c:v>
                </c:pt>
              </c:numCache>
            </c:numRef>
          </c:xVal>
          <c:yVal>
            <c:numRef>
              <c:f>Solution!$BS$63:$BS$66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9-BD2D-4991-9D42-84343DE074F2}"/>
            </c:ext>
          </c:extLst>
        </c:ser>
        <c:ser>
          <c:idx val="183"/>
          <c:order val="183"/>
          <c:tx>
            <c:v>Thigh L 95th 12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Solution!$BT$63:$BT$66</c:f>
              <c:numCache>
                <c:formatCode>0.0</c:formatCode>
                <c:ptCount val="4"/>
                <c:pt idx="0">
                  <c:v>0</c:v>
                </c:pt>
                <c:pt idx="1">
                  <c:v>0</c:v>
                </c:pt>
                <c:pt idx="2">
                  <c:v>1.9</c:v>
                </c:pt>
                <c:pt idx="3">
                  <c:v>1.9</c:v>
                </c:pt>
              </c:numCache>
            </c:numRef>
          </c:xVal>
          <c:yVal>
            <c:numRef>
              <c:f>Solution!$BU$63:$BU$66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A-BD2D-4991-9D42-84343DE074F2}"/>
            </c:ext>
          </c:extLst>
        </c:ser>
        <c:ser>
          <c:idx val="184"/>
          <c:order val="184"/>
          <c:tx>
            <c:v>Thigh R 5th 13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Solution!$BI$67:$BI$70</c:f>
              <c:numCache>
                <c:formatCode>0.0</c:formatCode>
                <c:ptCount val="4"/>
                <c:pt idx="0">
                  <c:v>0</c:v>
                </c:pt>
                <c:pt idx="1">
                  <c:v>0</c:v>
                </c:pt>
                <c:pt idx="2">
                  <c:v>-1.9</c:v>
                </c:pt>
                <c:pt idx="3">
                  <c:v>-1.9</c:v>
                </c:pt>
              </c:numCache>
            </c:numRef>
          </c:xVal>
          <c:yVal>
            <c:numRef>
              <c:f>Solution!$BJ$67:$BJ$70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B-BD2D-4991-9D42-84343DE074F2}"/>
            </c:ext>
          </c:extLst>
        </c:ser>
        <c:ser>
          <c:idx val="185"/>
          <c:order val="185"/>
          <c:tx>
            <c:v>Thigh R Mean 13</c:v>
          </c:tx>
          <c:spPr>
            <a:ln w="19050" cap="rnd">
              <a:solidFill>
                <a:srgbClr val="00B050"/>
              </a:solidFill>
              <a:round/>
            </a:ln>
            <a:effectLst/>
          </c:spPr>
          <c:marker>
            <c:symbol val="circle"/>
            <c:size val="2"/>
            <c:spPr>
              <a:solidFill>
                <a:srgbClr val="00B050"/>
              </a:solidFill>
              <a:ln w="9525">
                <a:noFill/>
              </a:ln>
              <a:effectLst/>
            </c:spPr>
          </c:marker>
          <c:xVal>
            <c:numRef>
              <c:f>Solution!$BK$67:$BK$70</c:f>
              <c:numCache>
                <c:formatCode>0.0</c:formatCode>
                <c:ptCount val="4"/>
                <c:pt idx="0">
                  <c:v>0</c:v>
                </c:pt>
                <c:pt idx="1">
                  <c:v>0</c:v>
                </c:pt>
                <c:pt idx="2">
                  <c:v>-1.9</c:v>
                </c:pt>
                <c:pt idx="3">
                  <c:v>-1.9</c:v>
                </c:pt>
              </c:numCache>
            </c:numRef>
          </c:xVal>
          <c:yVal>
            <c:numRef>
              <c:f>Solution!$BL$67:$BL$70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C-BD2D-4991-9D42-84343DE074F2}"/>
            </c:ext>
          </c:extLst>
        </c:ser>
        <c:ser>
          <c:idx val="186"/>
          <c:order val="186"/>
          <c:tx>
            <c:v>Thigh R 95th 13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Solution!$BM$67:$BM$70</c:f>
              <c:numCache>
                <c:formatCode>0.0</c:formatCode>
                <c:ptCount val="4"/>
                <c:pt idx="0">
                  <c:v>0</c:v>
                </c:pt>
                <c:pt idx="1">
                  <c:v>0</c:v>
                </c:pt>
                <c:pt idx="2">
                  <c:v>-1.9</c:v>
                </c:pt>
                <c:pt idx="3">
                  <c:v>-1.9</c:v>
                </c:pt>
              </c:numCache>
            </c:numRef>
          </c:xVal>
          <c:yVal>
            <c:numRef>
              <c:f>Solution!$BN$67:$BN$70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D-BD2D-4991-9D42-84343DE074F2}"/>
            </c:ext>
          </c:extLst>
        </c:ser>
        <c:ser>
          <c:idx val="187"/>
          <c:order val="187"/>
          <c:tx>
            <c:v>Thigh L 5th 13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Solution!$BP$67:$BP$70</c:f>
              <c:numCache>
                <c:formatCode>0.0</c:formatCode>
                <c:ptCount val="4"/>
                <c:pt idx="0">
                  <c:v>0</c:v>
                </c:pt>
                <c:pt idx="1">
                  <c:v>0</c:v>
                </c:pt>
                <c:pt idx="2">
                  <c:v>1.9</c:v>
                </c:pt>
                <c:pt idx="3">
                  <c:v>1.9</c:v>
                </c:pt>
              </c:numCache>
            </c:numRef>
          </c:xVal>
          <c:yVal>
            <c:numRef>
              <c:f>Solution!$BQ$67:$BQ$70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E-BD2D-4991-9D42-84343DE074F2}"/>
            </c:ext>
          </c:extLst>
        </c:ser>
        <c:ser>
          <c:idx val="188"/>
          <c:order val="188"/>
          <c:tx>
            <c:v>Thigh L Mean 13</c:v>
          </c:tx>
          <c:spPr>
            <a:ln w="19050" cap="rnd">
              <a:solidFill>
                <a:srgbClr val="00B050"/>
              </a:solidFill>
              <a:round/>
            </a:ln>
            <a:effectLst/>
          </c:spPr>
          <c:marker>
            <c:symbol val="circle"/>
            <c:size val="2"/>
            <c:spPr>
              <a:solidFill>
                <a:srgbClr val="00B050"/>
              </a:solidFill>
              <a:ln w="9525">
                <a:noFill/>
              </a:ln>
              <a:effectLst/>
            </c:spPr>
          </c:marker>
          <c:xVal>
            <c:numRef>
              <c:f>Solution!$BR$67:$BR$70</c:f>
              <c:numCache>
                <c:formatCode>0.0</c:formatCode>
                <c:ptCount val="4"/>
                <c:pt idx="0">
                  <c:v>0</c:v>
                </c:pt>
                <c:pt idx="1">
                  <c:v>0</c:v>
                </c:pt>
                <c:pt idx="2">
                  <c:v>1.9</c:v>
                </c:pt>
                <c:pt idx="3">
                  <c:v>1.9</c:v>
                </c:pt>
              </c:numCache>
            </c:numRef>
          </c:xVal>
          <c:yVal>
            <c:numRef>
              <c:f>Solution!$BS$67:$BS$70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F-BD2D-4991-9D42-84343DE074F2}"/>
            </c:ext>
          </c:extLst>
        </c:ser>
        <c:ser>
          <c:idx val="189"/>
          <c:order val="189"/>
          <c:tx>
            <c:v>Thigh L 95th 13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Solution!$BT$67:$BT$70</c:f>
              <c:numCache>
                <c:formatCode>0.0</c:formatCode>
                <c:ptCount val="4"/>
                <c:pt idx="0">
                  <c:v>0</c:v>
                </c:pt>
                <c:pt idx="1">
                  <c:v>0</c:v>
                </c:pt>
                <c:pt idx="2">
                  <c:v>1.9</c:v>
                </c:pt>
                <c:pt idx="3">
                  <c:v>1.9</c:v>
                </c:pt>
              </c:numCache>
            </c:numRef>
          </c:xVal>
          <c:yVal>
            <c:numRef>
              <c:f>Solution!$BU$67:$BU$70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0-BD2D-4991-9D42-84343DE074F2}"/>
            </c:ext>
          </c:extLst>
        </c:ser>
        <c:ser>
          <c:idx val="190"/>
          <c:order val="190"/>
          <c:tx>
            <c:v>Thighs R 5th 14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Solution!$BI$71:$BI$74</c:f>
              <c:numCache>
                <c:formatCode>0.0</c:formatCode>
                <c:ptCount val="4"/>
                <c:pt idx="0">
                  <c:v>0</c:v>
                </c:pt>
                <c:pt idx="1">
                  <c:v>0</c:v>
                </c:pt>
                <c:pt idx="2">
                  <c:v>-1.9</c:v>
                </c:pt>
                <c:pt idx="3">
                  <c:v>-1.9</c:v>
                </c:pt>
              </c:numCache>
            </c:numRef>
          </c:xVal>
          <c:yVal>
            <c:numRef>
              <c:f>Solution!$BJ$71:$BJ$74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1-BD2D-4991-9D42-84343DE074F2}"/>
            </c:ext>
          </c:extLst>
        </c:ser>
        <c:ser>
          <c:idx val="191"/>
          <c:order val="191"/>
          <c:tx>
            <c:v>Thighs R Mea n14</c:v>
          </c:tx>
          <c:spPr>
            <a:ln w="19050" cap="rnd">
              <a:solidFill>
                <a:srgbClr val="00B050"/>
              </a:solidFill>
              <a:round/>
            </a:ln>
            <a:effectLst/>
          </c:spPr>
          <c:marker>
            <c:symbol val="circle"/>
            <c:size val="2"/>
            <c:spPr>
              <a:solidFill>
                <a:srgbClr val="00B050"/>
              </a:solidFill>
              <a:ln w="9525">
                <a:noFill/>
              </a:ln>
              <a:effectLst/>
            </c:spPr>
          </c:marker>
          <c:xVal>
            <c:numRef>
              <c:f>Solution!$BK$71:$BK$74</c:f>
              <c:numCache>
                <c:formatCode>0.0</c:formatCode>
                <c:ptCount val="4"/>
                <c:pt idx="0">
                  <c:v>0</c:v>
                </c:pt>
                <c:pt idx="1">
                  <c:v>0</c:v>
                </c:pt>
                <c:pt idx="2">
                  <c:v>-1.9</c:v>
                </c:pt>
                <c:pt idx="3">
                  <c:v>-1.9</c:v>
                </c:pt>
              </c:numCache>
            </c:numRef>
          </c:xVal>
          <c:yVal>
            <c:numRef>
              <c:f>Solution!$BL$71:$BL$74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2-BD2D-4991-9D42-84343DE074F2}"/>
            </c:ext>
          </c:extLst>
        </c:ser>
        <c:ser>
          <c:idx val="192"/>
          <c:order val="192"/>
          <c:tx>
            <c:v>Thighs R 95th 14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Solution!$BM$71:$BM$74</c:f>
              <c:numCache>
                <c:formatCode>0.0</c:formatCode>
                <c:ptCount val="4"/>
                <c:pt idx="0">
                  <c:v>0</c:v>
                </c:pt>
                <c:pt idx="1">
                  <c:v>0</c:v>
                </c:pt>
                <c:pt idx="2">
                  <c:v>-1.9</c:v>
                </c:pt>
                <c:pt idx="3">
                  <c:v>-1.9</c:v>
                </c:pt>
              </c:numCache>
            </c:numRef>
          </c:xVal>
          <c:yVal>
            <c:numRef>
              <c:f>Solution!$BN$71:$BN$74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3-BD2D-4991-9D42-84343DE074F2}"/>
            </c:ext>
          </c:extLst>
        </c:ser>
        <c:ser>
          <c:idx val="193"/>
          <c:order val="193"/>
          <c:tx>
            <c:v>Thighs L 5th 14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Solution!$BP$71:$BP$74</c:f>
              <c:numCache>
                <c:formatCode>0.0</c:formatCode>
                <c:ptCount val="4"/>
                <c:pt idx="0">
                  <c:v>0</c:v>
                </c:pt>
                <c:pt idx="1">
                  <c:v>0</c:v>
                </c:pt>
                <c:pt idx="2">
                  <c:v>1.9</c:v>
                </c:pt>
                <c:pt idx="3">
                  <c:v>1.9</c:v>
                </c:pt>
              </c:numCache>
            </c:numRef>
          </c:xVal>
          <c:yVal>
            <c:numRef>
              <c:f>Solution!$BQ$71:$BQ$74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4-BD2D-4991-9D42-84343DE074F2}"/>
            </c:ext>
          </c:extLst>
        </c:ser>
        <c:ser>
          <c:idx val="194"/>
          <c:order val="194"/>
          <c:tx>
            <c:v>Thighs L Mean 14</c:v>
          </c:tx>
          <c:spPr>
            <a:ln w="19050" cap="rnd">
              <a:solidFill>
                <a:srgbClr val="00B050"/>
              </a:solidFill>
              <a:round/>
            </a:ln>
            <a:effectLst/>
          </c:spPr>
          <c:marker>
            <c:symbol val="circle"/>
            <c:size val="2"/>
            <c:spPr>
              <a:solidFill>
                <a:srgbClr val="00B050"/>
              </a:solidFill>
              <a:ln w="9525">
                <a:noFill/>
              </a:ln>
              <a:effectLst/>
            </c:spPr>
          </c:marker>
          <c:xVal>
            <c:numRef>
              <c:f>Solution!$BR$71:$BR$74</c:f>
              <c:numCache>
                <c:formatCode>0.0</c:formatCode>
                <c:ptCount val="4"/>
                <c:pt idx="0">
                  <c:v>0</c:v>
                </c:pt>
                <c:pt idx="1">
                  <c:v>0</c:v>
                </c:pt>
                <c:pt idx="2">
                  <c:v>1.9</c:v>
                </c:pt>
                <c:pt idx="3">
                  <c:v>1.9</c:v>
                </c:pt>
              </c:numCache>
            </c:numRef>
          </c:xVal>
          <c:yVal>
            <c:numRef>
              <c:f>Solution!$BS$71:$BS$74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5-BD2D-4991-9D42-84343DE074F2}"/>
            </c:ext>
          </c:extLst>
        </c:ser>
        <c:ser>
          <c:idx val="195"/>
          <c:order val="195"/>
          <c:tx>
            <c:v>Thighs L 95th 14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Solution!$BT$71:$BT$74</c:f>
              <c:numCache>
                <c:formatCode>0.0</c:formatCode>
                <c:ptCount val="4"/>
                <c:pt idx="0">
                  <c:v>0</c:v>
                </c:pt>
                <c:pt idx="1">
                  <c:v>0</c:v>
                </c:pt>
                <c:pt idx="2">
                  <c:v>1.9</c:v>
                </c:pt>
                <c:pt idx="3">
                  <c:v>1.9</c:v>
                </c:pt>
              </c:numCache>
            </c:numRef>
          </c:xVal>
          <c:yVal>
            <c:numRef>
              <c:f>Solution!$BU$71:$BU$74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6-BD2D-4991-9D42-84343DE074F2}"/>
            </c:ext>
          </c:extLst>
        </c:ser>
        <c:ser>
          <c:idx val="196"/>
          <c:order val="196"/>
          <c:tx>
            <c:v>Thigh R 5th 15</c:v>
          </c:tx>
          <c:spPr>
            <a:ln w="19050" cap="rnd">
              <a:solidFill>
                <a:schemeClr val="accent5">
                  <a:lumMod val="60000"/>
                  <a:lumOff val="40000"/>
                </a:schemeClr>
              </a:solidFill>
              <a:round/>
            </a:ln>
            <a:effectLst/>
          </c:spPr>
          <c:marker>
            <c:symbol val="circle"/>
            <c:size val="2"/>
            <c:spPr>
              <a:solidFill>
                <a:schemeClr val="accent5">
                  <a:lumMod val="40000"/>
                  <a:lumOff val="60000"/>
                </a:schemeClr>
              </a:solidFill>
              <a:ln w="9525">
                <a:noFill/>
              </a:ln>
              <a:effectLst/>
            </c:spPr>
          </c:marker>
          <c:xVal>
            <c:numRef>
              <c:f>Solution!$BI$75:$BI$78</c:f>
              <c:numCache>
                <c:formatCode>0.0</c:formatCode>
                <c:ptCount val="4"/>
                <c:pt idx="0">
                  <c:v>0</c:v>
                </c:pt>
                <c:pt idx="1">
                  <c:v>0</c:v>
                </c:pt>
                <c:pt idx="2">
                  <c:v>-1.9</c:v>
                </c:pt>
                <c:pt idx="3">
                  <c:v>-1.9</c:v>
                </c:pt>
              </c:numCache>
            </c:numRef>
          </c:xVal>
          <c:yVal>
            <c:numRef>
              <c:f>Solution!$BJ$75:$BJ$78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7-BD2D-4991-9D42-84343DE074F2}"/>
            </c:ext>
          </c:extLst>
        </c:ser>
        <c:ser>
          <c:idx val="197"/>
          <c:order val="197"/>
          <c:tx>
            <c:v>Thigh R Mean 15</c:v>
          </c:tx>
          <c:spPr>
            <a:ln w="19050" cap="rnd">
              <a:solidFill>
                <a:srgbClr val="00B050"/>
              </a:solidFill>
              <a:round/>
            </a:ln>
            <a:effectLst/>
          </c:spPr>
          <c:marker>
            <c:symbol val="circle"/>
            <c:size val="2"/>
            <c:spPr>
              <a:solidFill>
                <a:srgbClr val="00B050"/>
              </a:solidFill>
              <a:ln w="9525">
                <a:noFill/>
              </a:ln>
              <a:effectLst/>
            </c:spPr>
          </c:marker>
          <c:xVal>
            <c:numRef>
              <c:f>Solution!$BK$75:$BK$78</c:f>
              <c:numCache>
                <c:formatCode>0.0</c:formatCode>
                <c:ptCount val="4"/>
                <c:pt idx="0">
                  <c:v>0</c:v>
                </c:pt>
                <c:pt idx="1">
                  <c:v>0</c:v>
                </c:pt>
                <c:pt idx="2">
                  <c:v>-1.9</c:v>
                </c:pt>
                <c:pt idx="3">
                  <c:v>-1.9</c:v>
                </c:pt>
              </c:numCache>
            </c:numRef>
          </c:xVal>
          <c:yVal>
            <c:numRef>
              <c:f>Solution!$BL$75:$BL$78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8-BD2D-4991-9D42-84343DE074F2}"/>
            </c:ext>
          </c:extLst>
        </c:ser>
        <c:ser>
          <c:idx val="198"/>
          <c:order val="198"/>
          <c:tx>
            <c:v>Thigh R 95th 15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Solution!$BM$75:$BM$78</c:f>
              <c:numCache>
                <c:formatCode>0.0</c:formatCode>
                <c:ptCount val="4"/>
                <c:pt idx="0">
                  <c:v>0</c:v>
                </c:pt>
                <c:pt idx="1">
                  <c:v>0</c:v>
                </c:pt>
                <c:pt idx="2">
                  <c:v>-1.9</c:v>
                </c:pt>
                <c:pt idx="3">
                  <c:v>-1.9</c:v>
                </c:pt>
              </c:numCache>
            </c:numRef>
          </c:xVal>
          <c:yVal>
            <c:numRef>
              <c:f>Solution!$BN$75:$BN$78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9-BD2D-4991-9D42-84343DE074F2}"/>
            </c:ext>
          </c:extLst>
        </c:ser>
        <c:ser>
          <c:idx val="199"/>
          <c:order val="199"/>
          <c:tx>
            <c:v>Thigh L 5th 15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Solution!$BP$75:$BP$78</c:f>
              <c:numCache>
                <c:formatCode>0.0</c:formatCode>
                <c:ptCount val="4"/>
                <c:pt idx="0">
                  <c:v>0</c:v>
                </c:pt>
                <c:pt idx="1">
                  <c:v>0</c:v>
                </c:pt>
                <c:pt idx="2">
                  <c:v>1.9</c:v>
                </c:pt>
                <c:pt idx="3">
                  <c:v>1.9</c:v>
                </c:pt>
              </c:numCache>
            </c:numRef>
          </c:xVal>
          <c:yVal>
            <c:numRef>
              <c:f>Solution!$BQ$75:$BQ$78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A-BD2D-4991-9D42-84343DE074F2}"/>
            </c:ext>
          </c:extLst>
        </c:ser>
        <c:ser>
          <c:idx val="200"/>
          <c:order val="200"/>
          <c:tx>
            <c:v>Thigh L Mean 15</c:v>
          </c:tx>
          <c:spPr>
            <a:ln w="19050" cap="rnd">
              <a:solidFill>
                <a:srgbClr val="00B050"/>
              </a:solidFill>
              <a:round/>
            </a:ln>
            <a:effectLst/>
          </c:spPr>
          <c:marker>
            <c:symbol val="circle"/>
            <c:size val="2"/>
            <c:spPr>
              <a:solidFill>
                <a:srgbClr val="00B050"/>
              </a:solidFill>
              <a:ln w="9525">
                <a:noFill/>
              </a:ln>
              <a:effectLst/>
            </c:spPr>
          </c:marker>
          <c:xVal>
            <c:numRef>
              <c:f>Solution!$BR$75:$BR$78</c:f>
              <c:numCache>
                <c:formatCode>0.0</c:formatCode>
                <c:ptCount val="4"/>
                <c:pt idx="0">
                  <c:v>0</c:v>
                </c:pt>
                <c:pt idx="1">
                  <c:v>0</c:v>
                </c:pt>
                <c:pt idx="2">
                  <c:v>1.9</c:v>
                </c:pt>
                <c:pt idx="3">
                  <c:v>1.9</c:v>
                </c:pt>
              </c:numCache>
            </c:numRef>
          </c:xVal>
          <c:yVal>
            <c:numRef>
              <c:f>Solution!$BS$75:$BS$78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B-BD2D-4991-9D42-84343DE074F2}"/>
            </c:ext>
          </c:extLst>
        </c:ser>
        <c:ser>
          <c:idx val="201"/>
          <c:order val="201"/>
          <c:tx>
            <c:v>Thigh L 95th 15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Solution!$BT$75:$BT$78</c:f>
              <c:numCache>
                <c:formatCode>0.0</c:formatCode>
                <c:ptCount val="4"/>
                <c:pt idx="0">
                  <c:v>0</c:v>
                </c:pt>
                <c:pt idx="1">
                  <c:v>0</c:v>
                </c:pt>
                <c:pt idx="2">
                  <c:v>1.9</c:v>
                </c:pt>
                <c:pt idx="3">
                  <c:v>1.9</c:v>
                </c:pt>
              </c:numCache>
            </c:numRef>
          </c:xVal>
          <c:yVal>
            <c:numRef>
              <c:f>Solution!$BU$75:$BU$78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C-BD2D-4991-9D42-84343DE074F2}"/>
            </c:ext>
          </c:extLst>
        </c:ser>
        <c:ser>
          <c:idx val="202"/>
          <c:order val="202"/>
          <c:tx>
            <c:v>Crotch Strap</c:v>
          </c:tx>
          <c:spPr>
            <a:ln w="19050" cap="rnd">
              <a:solidFill>
                <a:schemeClr val="bg1">
                  <a:lumMod val="75000"/>
                </a:schemeClr>
              </a:solidFill>
              <a:round/>
            </a:ln>
            <a:effectLst/>
          </c:spPr>
          <c:marker>
            <c:symbol val="picture"/>
            <c:spPr>
              <a:blipFill dpi="0" rotWithShape="1">
                <a:blip xmlns:r="http://schemas.openxmlformats.org/officeDocument/2006/relationships" r:embed="rId1">
                  <a:alphaModFix amt="70000"/>
                </a:blip>
                <a:srcRect/>
                <a:stretch>
                  <a:fillRect/>
                </a:stretch>
              </a:blipFill>
              <a:ln w="9525">
                <a:solidFill>
                  <a:schemeClr val="accent5">
                    <a:lumMod val="70000"/>
                    <a:lumOff val="30000"/>
                  </a:schemeClr>
                </a:solidFill>
              </a:ln>
              <a:effectLst/>
            </c:spPr>
          </c:marker>
          <c:dPt>
            <c:idx val="0"/>
            <c:marker>
              <c:symbol val="none"/>
            </c:marker>
            <c:bubble3D val="0"/>
            <c:extLst>
              <c:ext xmlns:c16="http://schemas.microsoft.com/office/drawing/2014/chart" uri="{C3380CC4-5D6E-409C-BE32-E72D297353CC}">
                <c16:uniqueId val="{000000ED-BD2D-4991-9D42-84343DE074F2}"/>
              </c:ext>
            </c:extLst>
          </c:dPt>
          <c:dPt>
            <c:idx val="1"/>
            <c:marker>
              <c:spPr>
                <a:blipFill dpi="0" rotWithShape="1">
                  <a:blip xmlns:r="http://schemas.openxmlformats.org/officeDocument/2006/relationships" r:embed="rId2">
                    <a:alphaModFix amt="40000"/>
                  </a:blip>
                  <a:srcRect/>
                  <a:stretch>
                    <a:fillRect/>
                  </a:stretch>
                </a:blipFill>
                <a:ln>
                  <a:noFill/>
                </a:ln>
              </c:spPr>
            </c:marker>
            <c:bubble3D val="0"/>
            <c:spPr>
              <a:ln w="279400" cap="rnd">
                <a:noFill/>
                <a:round/>
              </a:ln>
              <a:effectLst/>
            </c:spPr>
            <c:extLst>
              <c:ext xmlns:c16="http://schemas.microsoft.com/office/drawing/2014/chart" uri="{C3380CC4-5D6E-409C-BE32-E72D297353CC}">
                <c16:uniqueId val="{000000EF-BD2D-4991-9D42-84343DE074F2}"/>
              </c:ext>
            </c:extLst>
          </c:dPt>
          <c:xVal>
            <c:numRef>
              <c:f>Solution!$CA$49:$CA$50</c:f>
              <c:numCache>
                <c:formatCode>General</c:formatCode>
                <c:ptCount val="2"/>
                <c:pt idx="0">
                  <c:v>0</c:v>
                </c:pt>
                <c:pt idx="1">
                  <c:v>0</c:v>
                </c:pt>
              </c:numCache>
            </c:numRef>
          </c:xVal>
          <c:yVal>
            <c:numRef>
              <c:f>Solution!$CC$49:$CC$50</c:f>
              <c:numCache>
                <c:formatCode>General</c:formatCode>
                <c:ptCount val="2"/>
                <c:pt idx="0">
                  <c:v>0</c:v>
                </c:pt>
                <c:pt idx="1">
                  <c:v>12.506000000000002</c:v>
                </c:pt>
              </c:numCache>
            </c:numRef>
          </c:yVal>
          <c:smooth val="1"/>
          <c:extLst>
            <c:ext xmlns:c16="http://schemas.microsoft.com/office/drawing/2014/chart" uri="{C3380CC4-5D6E-409C-BE32-E72D297353CC}">
              <c16:uniqueId val="{000000F0-BD2D-4991-9D42-84343DE074F2}"/>
            </c:ext>
          </c:extLst>
        </c:ser>
        <c:ser>
          <c:idx val="204"/>
          <c:order val="203"/>
          <c:tx>
            <c:v>Chest Clip Position</c:v>
          </c:tx>
          <c:spPr>
            <a:ln w="19050" cap="rnd">
              <a:noFill/>
              <a:round/>
            </a:ln>
            <a:effectLst/>
          </c:spPr>
          <c:marker>
            <c:symbol val="circle"/>
            <c:size val="5"/>
            <c:spPr>
              <a:solidFill>
                <a:schemeClr val="accent1">
                  <a:lumMod val="70000"/>
                </a:schemeClr>
              </a:solidFill>
              <a:ln w="9525">
                <a:noFill/>
              </a:ln>
              <a:effectLst/>
            </c:spPr>
          </c:marker>
          <c:dPt>
            <c:idx val="1"/>
            <c:marker>
              <c:symbol val="picture"/>
              <c:spPr>
                <a:blipFill dpi="0" rotWithShape="1">
                  <a:blip xmlns:r="http://schemas.openxmlformats.org/officeDocument/2006/relationships" r:embed="rId3">
                    <a:alphaModFix amt="60000"/>
                  </a:blip>
                  <a:srcRect/>
                  <a:stretch>
                    <a:fillRect/>
                  </a:stretch>
                </a:blipFill>
                <a:ln w="9525">
                  <a:noFill/>
                </a:ln>
                <a:effectLst/>
              </c:spPr>
            </c:marker>
            <c:bubble3D val="0"/>
            <c:extLst>
              <c:ext xmlns:c16="http://schemas.microsoft.com/office/drawing/2014/chart" uri="{C3380CC4-5D6E-409C-BE32-E72D297353CC}">
                <c16:uniqueId val="{000000F1-BD2D-4991-9D42-84343DE074F2}"/>
              </c:ext>
            </c:extLst>
          </c:dPt>
          <c:xVal>
            <c:numRef>
              <c:f>Solution!$CA$53:$CA$54</c:f>
              <c:numCache>
                <c:formatCode>General</c:formatCode>
                <c:ptCount val="2"/>
                <c:pt idx="0">
                  <c:v>0</c:v>
                </c:pt>
                <c:pt idx="1">
                  <c:v>0</c:v>
                </c:pt>
              </c:numCache>
            </c:numRef>
          </c:xVal>
          <c:yVal>
            <c:numRef>
              <c:f>Solution!$CC$53:$CC$54</c:f>
              <c:numCache>
                <c:formatCode>General</c:formatCode>
                <c:ptCount val="2"/>
                <c:pt idx="0">
                  <c:v>0</c:v>
                </c:pt>
                <c:pt idx="1">
                  <c:v>26.187199999999997</c:v>
                </c:pt>
              </c:numCache>
            </c:numRef>
          </c:yVal>
          <c:smooth val="1"/>
          <c:extLst>
            <c:ext xmlns:c16="http://schemas.microsoft.com/office/drawing/2014/chart" uri="{C3380CC4-5D6E-409C-BE32-E72D297353CC}">
              <c16:uniqueId val="{000000F2-BD2D-4991-9D42-84343DE074F2}"/>
            </c:ext>
          </c:extLst>
        </c:ser>
        <c:ser>
          <c:idx val="205"/>
          <c:order val="204"/>
          <c:tx>
            <c:v>Harness Length Left Outside Edge Max</c:v>
          </c:tx>
          <c:spPr>
            <a:ln w="47625">
              <a:solidFill>
                <a:schemeClr val="tx1">
                  <a:lumMod val="65000"/>
                  <a:lumOff val="35000"/>
                </a:schemeClr>
              </a:solidFill>
            </a:ln>
          </c:spPr>
          <c:marker>
            <c:symbol val="diamond"/>
            <c:size val="10"/>
            <c:spPr>
              <a:solidFill>
                <a:schemeClr val="tx1">
                  <a:lumMod val="50000"/>
                  <a:lumOff val="50000"/>
                </a:schemeClr>
              </a:solidFill>
              <a:ln>
                <a:solidFill>
                  <a:schemeClr val="tx1"/>
                </a:solidFill>
              </a:ln>
            </c:spPr>
          </c:marker>
          <c:xVal>
            <c:numRef>
              <c:f>Solution!$CG$20:$CG$25</c:f>
              <c:numCache>
                <c:formatCode>0.00</c:formatCode>
                <c:ptCount val="6"/>
                <c:pt idx="0">
                  <c:v>6.7309999999999999</c:v>
                </c:pt>
                <c:pt idx="1">
                  <c:v>7.8867000000000003</c:v>
                </c:pt>
                <c:pt idx="2">
                  <c:v>4.5</c:v>
                </c:pt>
                <c:pt idx="3">
                  <c:v>6</c:v>
                </c:pt>
                <c:pt idx="4">
                  <c:v>6.5</c:v>
                </c:pt>
                <c:pt idx="5">
                  <c:v>7.2289999999999992</c:v>
                </c:pt>
              </c:numCache>
            </c:numRef>
          </c:xVal>
          <c:yVal>
            <c:numRef>
              <c:f>Solution!$CI$20:$CI$25</c:f>
              <c:numCache>
                <c:formatCode>0.00</c:formatCode>
                <c:ptCount val="6"/>
                <c:pt idx="0">
                  <c:v>0</c:v>
                </c:pt>
                <c:pt idx="1">
                  <c:v>9.620000000000001</c:v>
                </c:pt>
                <c:pt idx="2">
                  <c:v>13.506000000000002</c:v>
                </c:pt>
                <c:pt idx="3">
                  <c:v>23.187199999999997</c:v>
                </c:pt>
                <c:pt idx="4">
                  <c:v>28.687199999999997</c:v>
                </c:pt>
                <c:pt idx="5">
                  <c:v>32.733999999999995</c:v>
                </c:pt>
              </c:numCache>
            </c:numRef>
          </c:yVal>
          <c:smooth val="1"/>
          <c:extLst>
            <c:ext xmlns:c16="http://schemas.microsoft.com/office/drawing/2014/chart" uri="{C3380CC4-5D6E-409C-BE32-E72D297353CC}">
              <c16:uniqueId val="{000000F3-BD2D-4991-9D42-84343DE074F2}"/>
            </c:ext>
          </c:extLst>
        </c:ser>
        <c:ser>
          <c:idx val="206"/>
          <c:order val="205"/>
          <c:tx>
            <c:v>Harness Length Right outside Edge Max</c:v>
          </c:tx>
          <c:spPr>
            <a:ln w="50800">
              <a:solidFill>
                <a:schemeClr val="tx1">
                  <a:lumMod val="65000"/>
                  <a:lumOff val="35000"/>
                </a:schemeClr>
              </a:solidFill>
            </a:ln>
          </c:spPr>
          <c:marker>
            <c:symbol val="diamond"/>
            <c:size val="10"/>
            <c:spPr>
              <a:solidFill>
                <a:schemeClr val="tx1">
                  <a:lumMod val="50000"/>
                  <a:lumOff val="50000"/>
                </a:schemeClr>
              </a:solidFill>
              <a:ln>
                <a:solidFill>
                  <a:schemeClr val="tx1"/>
                </a:solidFill>
              </a:ln>
            </c:spPr>
          </c:marker>
          <c:xVal>
            <c:numRef>
              <c:f>Solution!$CA$20:$CA$25</c:f>
              <c:numCache>
                <c:formatCode>0.00</c:formatCode>
                <c:ptCount val="6"/>
                <c:pt idx="0">
                  <c:v>-6.7309999999999999</c:v>
                </c:pt>
                <c:pt idx="1">
                  <c:v>-7.8867000000000003</c:v>
                </c:pt>
                <c:pt idx="2">
                  <c:v>-4.5</c:v>
                </c:pt>
                <c:pt idx="3">
                  <c:v>-6</c:v>
                </c:pt>
                <c:pt idx="4">
                  <c:v>-6.5</c:v>
                </c:pt>
                <c:pt idx="5">
                  <c:v>-7.2289999999999992</c:v>
                </c:pt>
              </c:numCache>
            </c:numRef>
          </c:xVal>
          <c:yVal>
            <c:numRef>
              <c:f>Solution!$CC$20:$CC$25</c:f>
              <c:numCache>
                <c:formatCode>0.00</c:formatCode>
                <c:ptCount val="6"/>
                <c:pt idx="0">
                  <c:v>0</c:v>
                </c:pt>
                <c:pt idx="1">
                  <c:v>9.620000000000001</c:v>
                </c:pt>
                <c:pt idx="2">
                  <c:v>13.506000000000002</c:v>
                </c:pt>
                <c:pt idx="3">
                  <c:v>23.187199999999997</c:v>
                </c:pt>
                <c:pt idx="4">
                  <c:v>28.687199999999997</c:v>
                </c:pt>
                <c:pt idx="5">
                  <c:v>32.733999999999995</c:v>
                </c:pt>
              </c:numCache>
            </c:numRef>
          </c:yVal>
          <c:smooth val="1"/>
          <c:extLst>
            <c:ext xmlns:c16="http://schemas.microsoft.com/office/drawing/2014/chart" uri="{C3380CC4-5D6E-409C-BE32-E72D297353CC}">
              <c16:uniqueId val="{000000F4-BD2D-4991-9D42-84343DE074F2}"/>
            </c:ext>
          </c:extLst>
        </c:ser>
        <c:ser>
          <c:idx val="209"/>
          <c:order val="206"/>
          <c:tx>
            <c:v>Harness Length Left Outside Edge Min</c:v>
          </c:tx>
          <c:spPr>
            <a:ln w="50800">
              <a:solidFill>
                <a:schemeClr val="tx1">
                  <a:lumMod val="50000"/>
                  <a:lumOff val="50000"/>
                </a:schemeClr>
              </a:solidFill>
            </a:ln>
          </c:spPr>
          <c:marker>
            <c:symbol val="diamond"/>
            <c:size val="10"/>
            <c:spPr>
              <a:ln>
                <a:solidFill>
                  <a:schemeClr val="tx1"/>
                </a:solidFill>
              </a:ln>
            </c:spPr>
          </c:marker>
          <c:xVal>
            <c:numRef>
              <c:f>Solution!$CD$20:$CD$25</c:f>
              <c:numCache>
                <c:formatCode>0.00</c:formatCode>
                <c:ptCount val="6"/>
                <c:pt idx="0">
                  <c:v>0</c:v>
                </c:pt>
                <c:pt idx="1">
                  <c:v>0</c:v>
                </c:pt>
                <c:pt idx="2">
                  <c:v>0</c:v>
                </c:pt>
                <c:pt idx="3">
                  <c:v>0</c:v>
                </c:pt>
                <c:pt idx="4">
                  <c:v>0</c:v>
                </c:pt>
                <c:pt idx="5">
                  <c:v>0</c:v>
                </c:pt>
              </c:numCache>
            </c:numRef>
          </c:xVal>
          <c:yVal>
            <c:numRef>
              <c:f>Solution!$CF$20:$CF$25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F5-BD2D-4991-9D42-84343DE074F2}"/>
            </c:ext>
          </c:extLst>
        </c:ser>
        <c:ser>
          <c:idx val="210"/>
          <c:order val="207"/>
          <c:tx>
            <c:v>Harness Length Right Outside Edge Min</c:v>
          </c:tx>
          <c:spPr>
            <a:ln w="50800">
              <a:solidFill>
                <a:schemeClr val="tx1">
                  <a:lumMod val="50000"/>
                  <a:lumOff val="50000"/>
                </a:schemeClr>
              </a:solidFill>
            </a:ln>
          </c:spPr>
          <c:marker>
            <c:symbol val="diamond"/>
            <c:size val="10"/>
            <c:spPr>
              <a:ln>
                <a:solidFill>
                  <a:schemeClr val="tx1"/>
                </a:solidFill>
              </a:ln>
            </c:spPr>
          </c:marker>
          <c:xVal>
            <c:numRef>
              <c:f>Solution!$BX$20:$BX$25</c:f>
              <c:numCache>
                <c:formatCode>0.00</c:formatCode>
                <c:ptCount val="6"/>
                <c:pt idx="0">
                  <c:v>0</c:v>
                </c:pt>
                <c:pt idx="1">
                  <c:v>0</c:v>
                </c:pt>
                <c:pt idx="2">
                  <c:v>0</c:v>
                </c:pt>
                <c:pt idx="3">
                  <c:v>0</c:v>
                </c:pt>
                <c:pt idx="4">
                  <c:v>0</c:v>
                </c:pt>
                <c:pt idx="5">
                  <c:v>0</c:v>
                </c:pt>
              </c:numCache>
            </c:numRef>
          </c:xVal>
          <c:yVal>
            <c:numRef>
              <c:f>Solution!$BZ$20:$BZ$25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F6-BD2D-4991-9D42-84343DE074F2}"/>
            </c:ext>
          </c:extLst>
        </c:ser>
        <c:ser>
          <c:idx val="213"/>
          <c:order val="208"/>
          <c:tx>
            <c:v>Harness Loop Style</c:v>
          </c:tx>
          <c:spPr>
            <a:ln w="50800">
              <a:solidFill>
                <a:schemeClr val="tx1">
                  <a:lumMod val="50000"/>
                  <a:lumOff val="50000"/>
                </a:schemeClr>
              </a:solidFill>
              <a:prstDash val="sysDash"/>
            </a:ln>
          </c:spPr>
          <c:marker>
            <c:symbol val="diamond"/>
            <c:size val="10"/>
            <c:spPr>
              <a:solidFill>
                <a:schemeClr val="bg1"/>
              </a:solidFill>
              <a:ln>
                <a:solidFill>
                  <a:schemeClr val="tx1"/>
                </a:solidFill>
              </a:ln>
            </c:spPr>
          </c:marker>
          <c:xVal>
            <c:numRef>
              <c:f>Solution!$CA$57:$CA$59</c:f>
              <c:numCache>
                <c:formatCode>0.0</c:formatCode>
                <c:ptCount val="3"/>
                <c:pt idx="0">
                  <c:v>-6.7309999999999999</c:v>
                </c:pt>
                <c:pt idx="1">
                  <c:v>0</c:v>
                </c:pt>
                <c:pt idx="2">
                  <c:v>6.7309999999999999</c:v>
                </c:pt>
              </c:numCache>
            </c:numRef>
          </c:xVal>
          <c:yVal>
            <c:numRef>
              <c:f>Solution!$CC$57:$CC$59</c:f>
              <c:numCache>
                <c:formatCode>0.0</c:formatCode>
                <c:ptCount val="3"/>
                <c:pt idx="0">
                  <c:v>0</c:v>
                </c:pt>
                <c:pt idx="1">
                  <c:v>-1</c:v>
                </c:pt>
                <c:pt idx="2">
                  <c:v>0</c:v>
                </c:pt>
              </c:numCache>
            </c:numRef>
          </c:yVal>
          <c:smooth val="1"/>
          <c:extLst>
            <c:ext xmlns:c16="http://schemas.microsoft.com/office/drawing/2014/chart" uri="{C3380CC4-5D6E-409C-BE32-E72D297353CC}">
              <c16:uniqueId val="{000000F7-BD2D-4991-9D42-84343DE074F2}"/>
            </c:ext>
          </c:extLst>
        </c:ser>
        <c:ser>
          <c:idx val="214"/>
          <c:order val="209"/>
          <c:tx>
            <c:v>Chest Depth Right Shoulder 5th</c:v>
          </c:tx>
          <c:spPr>
            <a:ln>
              <a:noFill/>
            </a:ln>
          </c:spPr>
          <c:marker>
            <c:symbol val="circle"/>
            <c:size val="5"/>
            <c:spPr>
              <a:solidFill>
                <a:schemeClr val="accent5">
                  <a:lumMod val="60000"/>
                  <a:lumOff val="40000"/>
                </a:schemeClr>
              </a:solidFill>
              <a:ln>
                <a:solidFill>
                  <a:schemeClr val="tx1"/>
                </a:solidFill>
              </a:ln>
            </c:spPr>
          </c:marker>
          <c:xVal>
            <c:numRef>
              <c:f>'Big Data'!$BS$3:$BS$45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Data'!$BG$3:$BG$45</c:f>
              <c:numCache>
                <c:formatCode>0.0</c:formatCode>
                <c:ptCount val="43"/>
                <c:pt idx="0">
                  <c:v>-9.1120000000000001</c:v>
                </c:pt>
                <c:pt idx="1">
                  <c:v>-10.128</c:v>
                </c:pt>
                <c:pt idx="2">
                  <c:v>-10.889999999999999</c:v>
                </c:pt>
                <c:pt idx="3">
                  <c:v>-11.398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8-BD2D-4991-9D42-84343DE074F2}"/>
            </c:ext>
          </c:extLst>
        </c:ser>
        <c:ser>
          <c:idx val="215"/>
          <c:order val="210"/>
          <c:tx>
            <c:v>Chest Depth Right Shoulder Mean</c:v>
          </c:tx>
          <c:spPr>
            <a:ln>
              <a:noFill/>
            </a:ln>
          </c:spPr>
          <c:marker>
            <c:symbol val="circle"/>
            <c:size val="5"/>
            <c:spPr>
              <a:solidFill>
                <a:srgbClr val="00B050"/>
              </a:solidFill>
              <a:ln>
                <a:solidFill>
                  <a:schemeClr val="tx1"/>
                </a:solidFill>
              </a:ln>
            </c:spPr>
          </c:marker>
          <c:xVal>
            <c:numRef>
              <c:f>'Big Data'!$BT$3:$BT$45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Data'!$BH$3:$BH$45</c:f>
              <c:numCache>
                <c:formatCode>0.0</c:formatCode>
                <c:ptCount val="43"/>
                <c:pt idx="0">
                  <c:v>-11.144</c:v>
                </c:pt>
                <c:pt idx="1">
                  <c:v>-12.16</c:v>
                </c:pt>
                <c:pt idx="2">
                  <c:v>-12.921999999999999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9-BD2D-4991-9D42-84343DE074F2}"/>
            </c:ext>
          </c:extLst>
        </c:ser>
        <c:ser>
          <c:idx val="216"/>
          <c:order val="211"/>
          <c:tx>
            <c:v>Chest Depth Right Shoulder 95th</c:v>
          </c:tx>
          <c:spPr>
            <a:ln>
              <a:noFill/>
            </a:ln>
          </c:spPr>
          <c:marker>
            <c:symbol val="circle"/>
            <c:size val="5"/>
            <c:spPr>
              <a:solidFill>
                <a:schemeClr val="accent4">
                  <a:lumMod val="50000"/>
                </a:schemeClr>
              </a:solidFill>
              <a:ln>
                <a:solidFill>
                  <a:schemeClr val="tx1"/>
                </a:solidFill>
              </a:ln>
            </c:spPr>
          </c:marker>
          <c:xVal>
            <c:numRef>
              <c:f>'Big Data'!$BU$3:$BU$45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Data'!$BI$3:$BI$45</c:f>
              <c:numCache>
                <c:formatCode>0.0</c:formatCode>
                <c:ptCount val="43"/>
                <c:pt idx="0">
                  <c:v>-13.176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A-BD2D-4991-9D42-84343DE074F2}"/>
            </c:ext>
          </c:extLst>
        </c:ser>
        <c:ser>
          <c:idx val="217"/>
          <c:order val="212"/>
          <c:tx>
            <c:v>Chest Depth Left Shoulder 5th</c:v>
          </c:tx>
          <c:spPr>
            <a:ln>
              <a:noFill/>
            </a:ln>
          </c:spPr>
          <c:marker>
            <c:symbol val="circle"/>
            <c:size val="5"/>
            <c:spPr>
              <a:solidFill>
                <a:schemeClr val="accent5">
                  <a:lumMod val="60000"/>
                  <a:lumOff val="40000"/>
                </a:schemeClr>
              </a:solidFill>
              <a:ln>
                <a:solidFill>
                  <a:schemeClr val="tx1"/>
                </a:solidFill>
              </a:ln>
            </c:spPr>
          </c:marker>
          <c:xVal>
            <c:numRef>
              <c:f>'Big Data'!$BW$3:$BW$45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Data'!$BG$3:$BG$45</c:f>
              <c:numCache>
                <c:formatCode>0.0</c:formatCode>
                <c:ptCount val="43"/>
                <c:pt idx="0">
                  <c:v>-9.1120000000000001</c:v>
                </c:pt>
                <c:pt idx="1">
                  <c:v>-10.128</c:v>
                </c:pt>
                <c:pt idx="2">
                  <c:v>-10.889999999999999</c:v>
                </c:pt>
                <c:pt idx="3">
                  <c:v>-11.398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B-BD2D-4991-9D42-84343DE074F2}"/>
            </c:ext>
          </c:extLst>
        </c:ser>
        <c:ser>
          <c:idx val="218"/>
          <c:order val="213"/>
          <c:tx>
            <c:v>Chest Depth Left Shoulder Mean</c:v>
          </c:tx>
          <c:spPr>
            <a:ln>
              <a:noFill/>
            </a:ln>
          </c:spPr>
          <c:marker>
            <c:symbol val="circle"/>
            <c:size val="5"/>
            <c:spPr>
              <a:solidFill>
                <a:srgbClr val="00B050"/>
              </a:solidFill>
              <a:ln>
                <a:solidFill>
                  <a:schemeClr val="tx1"/>
                </a:solidFill>
              </a:ln>
            </c:spPr>
          </c:marker>
          <c:xVal>
            <c:numRef>
              <c:f>'Big Data'!$BX$3:$BX$45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Data'!$BH$3:$BH$45</c:f>
              <c:numCache>
                <c:formatCode>0.0</c:formatCode>
                <c:ptCount val="43"/>
                <c:pt idx="0">
                  <c:v>-11.144</c:v>
                </c:pt>
                <c:pt idx="1">
                  <c:v>-12.16</c:v>
                </c:pt>
                <c:pt idx="2">
                  <c:v>-12.921999999999999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C-BD2D-4991-9D42-84343DE074F2}"/>
            </c:ext>
          </c:extLst>
        </c:ser>
        <c:ser>
          <c:idx val="219"/>
          <c:order val="214"/>
          <c:tx>
            <c:v>Chest Depth Right Shoulder 95th</c:v>
          </c:tx>
          <c:spPr>
            <a:ln>
              <a:noFill/>
            </a:ln>
          </c:spPr>
          <c:marker>
            <c:symbol val="circle"/>
            <c:size val="5"/>
            <c:spPr>
              <a:solidFill>
                <a:schemeClr val="accent4">
                  <a:lumMod val="50000"/>
                </a:schemeClr>
              </a:solidFill>
              <a:ln>
                <a:solidFill>
                  <a:schemeClr val="tx1"/>
                </a:solidFill>
              </a:ln>
            </c:spPr>
          </c:marker>
          <c:xVal>
            <c:numRef>
              <c:f>'Big Data'!$BY$3:$BY$45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Data'!$BI$3:$BI$45</c:f>
              <c:numCache>
                <c:formatCode>0.0</c:formatCode>
                <c:ptCount val="43"/>
                <c:pt idx="0">
                  <c:v>-13.176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D-BD2D-4991-9D42-84343DE074F2}"/>
            </c:ext>
          </c:extLst>
        </c:ser>
        <c:ser>
          <c:idx val="220"/>
          <c:order val="215"/>
          <c:tx>
            <c:v>Top View Harness Max Left Outer</c:v>
          </c:tx>
          <c:spPr>
            <a:ln w="50800">
              <a:solidFill>
                <a:schemeClr val="tx1">
                  <a:lumMod val="65000"/>
                  <a:lumOff val="35000"/>
                </a:schemeClr>
              </a:solidFill>
            </a:ln>
          </c:spPr>
          <c:marker>
            <c:symbol val="diamond"/>
            <c:size val="10"/>
            <c:spPr>
              <a:solidFill>
                <a:schemeClr val="tx1">
                  <a:lumMod val="50000"/>
                  <a:lumOff val="50000"/>
                </a:schemeClr>
              </a:solidFill>
              <a:ln w="9525">
                <a:solidFill>
                  <a:schemeClr val="tx1"/>
                </a:solidFill>
              </a:ln>
            </c:spPr>
          </c:marker>
          <c:xVal>
            <c:numRef>
              <c:f>Solution!$CG$20:$CG$25</c:f>
              <c:numCache>
                <c:formatCode>0.00</c:formatCode>
                <c:ptCount val="6"/>
                <c:pt idx="0">
                  <c:v>6.7309999999999999</c:v>
                </c:pt>
                <c:pt idx="1">
                  <c:v>7.8867000000000003</c:v>
                </c:pt>
                <c:pt idx="2">
                  <c:v>4.5</c:v>
                </c:pt>
                <c:pt idx="3">
                  <c:v>6</c:v>
                </c:pt>
                <c:pt idx="4">
                  <c:v>6.5</c:v>
                </c:pt>
                <c:pt idx="5">
                  <c:v>7.2289999999999992</c:v>
                </c:pt>
              </c:numCache>
            </c:numRef>
          </c:xVal>
          <c:yVal>
            <c:numRef>
              <c:f>Solution!$CH$20:$CH$25</c:f>
              <c:numCache>
                <c:formatCode>0.00</c:formatCode>
                <c:ptCount val="6"/>
                <c:pt idx="0">
                  <c:v>0</c:v>
                </c:pt>
                <c:pt idx="1">
                  <c:v>-11.620000000000001</c:v>
                </c:pt>
                <c:pt idx="2">
                  <c:v>-15.176</c:v>
                </c:pt>
                <c:pt idx="3">
                  <c:v>-15.176</c:v>
                </c:pt>
                <c:pt idx="4">
                  <c:v>-15.176</c:v>
                </c:pt>
                <c:pt idx="5">
                  <c:v>0</c:v>
                </c:pt>
              </c:numCache>
            </c:numRef>
          </c:yVal>
          <c:smooth val="1"/>
          <c:extLst>
            <c:ext xmlns:c16="http://schemas.microsoft.com/office/drawing/2014/chart" uri="{C3380CC4-5D6E-409C-BE32-E72D297353CC}">
              <c16:uniqueId val="{000000FE-BD2D-4991-9D42-84343DE074F2}"/>
            </c:ext>
          </c:extLst>
        </c:ser>
        <c:ser>
          <c:idx val="221"/>
          <c:order val="216"/>
          <c:tx>
            <c:v>Top View Harness Max Right Outer</c:v>
          </c:tx>
          <c:spPr>
            <a:ln w="50800">
              <a:solidFill>
                <a:schemeClr val="tx1">
                  <a:lumMod val="65000"/>
                  <a:lumOff val="35000"/>
                </a:schemeClr>
              </a:solidFill>
            </a:ln>
          </c:spPr>
          <c:marker>
            <c:symbol val="diamond"/>
            <c:size val="11"/>
            <c:spPr>
              <a:solidFill>
                <a:schemeClr val="tx1">
                  <a:lumMod val="50000"/>
                  <a:lumOff val="50000"/>
                </a:schemeClr>
              </a:solidFill>
              <a:ln>
                <a:solidFill>
                  <a:schemeClr val="tx1"/>
                </a:solidFill>
              </a:ln>
            </c:spPr>
          </c:marker>
          <c:xVal>
            <c:numRef>
              <c:f>Solution!$CA$20:$CA$25</c:f>
              <c:numCache>
                <c:formatCode>0.00</c:formatCode>
                <c:ptCount val="6"/>
                <c:pt idx="0">
                  <c:v>-6.7309999999999999</c:v>
                </c:pt>
                <c:pt idx="1">
                  <c:v>-7.8867000000000003</c:v>
                </c:pt>
                <c:pt idx="2">
                  <c:v>-4.5</c:v>
                </c:pt>
                <c:pt idx="3">
                  <c:v>-6</c:v>
                </c:pt>
                <c:pt idx="4">
                  <c:v>-6.5</c:v>
                </c:pt>
                <c:pt idx="5">
                  <c:v>-7.2289999999999992</c:v>
                </c:pt>
              </c:numCache>
            </c:numRef>
          </c:xVal>
          <c:yVal>
            <c:numRef>
              <c:f>Solution!$CB$20:$CB$25</c:f>
              <c:numCache>
                <c:formatCode>0.00</c:formatCode>
                <c:ptCount val="6"/>
                <c:pt idx="0">
                  <c:v>0</c:v>
                </c:pt>
                <c:pt idx="1">
                  <c:v>-11.620000000000001</c:v>
                </c:pt>
                <c:pt idx="2">
                  <c:v>-15.176</c:v>
                </c:pt>
                <c:pt idx="3">
                  <c:v>-15.176</c:v>
                </c:pt>
                <c:pt idx="4">
                  <c:v>-15.176</c:v>
                </c:pt>
                <c:pt idx="5">
                  <c:v>0</c:v>
                </c:pt>
              </c:numCache>
            </c:numRef>
          </c:yVal>
          <c:smooth val="1"/>
          <c:extLst>
            <c:ext xmlns:c16="http://schemas.microsoft.com/office/drawing/2014/chart" uri="{C3380CC4-5D6E-409C-BE32-E72D297353CC}">
              <c16:uniqueId val="{000000FF-BD2D-4991-9D42-84343DE074F2}"/>
            </c:ext>
          </c:extLst>
        </c:ser>
        <c:ser>
          <c:idx val="222"/>
          <c:order val="217"/>
          <c:tx>
            <c:v>Top View Harness Min Left Outer</c:v>
          </c:tx>
          <c:spPr>
            <a:ln w="50800">
              <a:solidFill>
                <a:schemeClr val="tx1">
                  <a:lumMod val="50000"/>
                  <a:lumOff val="50000"/>
                </a:schemeClr>
              </a:solidFill>
            </a:ln>
          </c:spPr>
          <c:marker>
            <c:symbol val="diamond"/>
            <c:size val="10"/>
            <c:spPr>
              <a:ln>
                <a:solidFill>
                  <a:schemeClr val="tx1"/>
                </a:solidFill>
              </a:ln>
            </c:spPr>
          </c:marker>
          <c:xVal>
            <c:numRef>
              <c:f>Solution!$CD$20:$CD$25</c:f>
              <c:numCache>
                <c:formatCode>0.00</c:formatCode>
                <c:ptCount val="6"/>
                <c:pt idx="0">
                  <c:v>0</c:v>
                </c:pt>
                <c:pt idx="1">
                  <c:v>0</c:v>
                </c:pt>
                <c:pt idx="2">
                  <c:v>0</c:v>
                </c:pt>
                <c:pt idx="3">
                  <c:v>0</c:v>
                </c:pt>
                <c:pt idx="4">
                  <c:v>0</c:v>
                </c:pt>
                <c:pt idx="5">
                  <c:v>0</c:v>
                </c:pt>
              </c:numCache>
            </c:numRef>
          </c:xVal>
          <c:yVal>
            <c:numRef>
              <c:f>Solution!$CE$20:$CE$25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100-BD2D-4991-9D42-84343DE074F2}"/>
            </c:ext>
          </c:extLst>
        </c:ser>
        <c:ser>
          <c:idx val="223"/>
          <c:order val="218"/>
          <c:tx>
            <c:v>Top View Harness Min Right Outer</c:v>
          </c:tx>
          <c:spPr>
            <a:ln w="50800">
              <a:solidFill>
                <a:schemeClr val="tx1">
                  <a:lumMod val="50000"/>
                  <a:lumOff val="50000"/>
                </a:schemeClr>
              </a:solidFill>
            </a:ln>
          </c:spPr>
          <c:marker>
            <c:symbol val="diamond"/>
            <c:size val="10"/>
            <c:spPr>
              <a:solidFill>
                <a:schemeClr val="accent5">
                  <a:lumMod val="20000"/>
                  <a:lumOff val="80000"/>
                </a:schemeClr>
              </a:solidFill>
              <a:ln>
                <a:solidFill>
                  <a:schemeClr val="tx1"/>
                </a:solidFill>
              </a:ln>
            </c:spPr>
          </c:marker>
          <c:xVal>
            <c:numRef>
              <c:f>Solution!$BX$20:$BX$25</c:f>
              <c:numCache>
                <c:formatCode>0.00</c:formatCode>
                <c:ptCount val="6"/>
                <c:pt idx="0">
                  <c:v>0</c:v>
                </c:pt>
                <c:pt idx="1">
                  <c:v>0</c:v>
                </c:pt>
                <c:pt idx="2">
                  <c:v>0</c:v>
                </c:pt>
                <c:pt idx="3">
                  <c:v>0</c:v>
                </c:pt>
                <c:pt idx="4">
                  <c:v>0</c:v>
                </c:pt>
                <c:pt idx="5">
                  <c:v>0</c:v>
                </c:pt>
              </c:numCache>
            </c:numRef>
          </c:xVal>
          <c:yVal>
            <c:numRef>
              <c:f>Solution!$BY$20:$BY$25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101-BD2D-4991-9D42-84343DE074F2}"/>
            </c:ext>
          </c:extLst>
        </c:ser>
        <c:ser>
          <c:idx val="207"/>
          <c:order val="219"/>
          <c:tx>
            <c:v>Slot to Splitter Left</c:v>
          </c:tx>
          <c:marker>
            <c:symbol val="diamond"/>
            <c:size val="10"/>
            <c:spPr>
              <a:solidFill>
                <a:schemeClr val="bg1"/>
              </a:solidFill>
              <a:ln>
                <a:solidFill>
                  <a:schemeClr val="tx1"/>
                </a:solidFill>
              </a:ln>
            </c:spPr>
          </c:marker>
          <c:dPt>
            <c:idx val="1"/>
            <c:bubble3D val="0"/>
            <c:spPr>
              <a:ln w="50800">
                <a:solidFill>
                  <a:schemeClr val="tx1">
                    <a:lumMod val="50000"/>
                    <a:lumOff val="50000"/>
                  </a:schemeClr>
                </a:solidFill>
                <a:prstDash val="sysDash"/>
              </a:ln>
            </c:spPr>
            <c:extLst>
              <c:ext xmlns:c16="http://schemas.microsoft.com/office/drawing/2014/chart" uri="{C3380CC4-5D6E-409C-BE32-E72D297353CC}">
                <c16:uniqueId val="{00000103-BD2D-4991-9D42-84343DE074F2}"/>
              </c:ext>
            </c:extLst>
          </c:dPt>
          <c:xVal>
            <c:numRef>
              <c:f>Solution!$CC$62:$CC$63</c:f>
              <c:numCache>
                <c:formatCode>0.00</c:formatCode>
                <c:ptCount val="2"/>
                <c:pt idx="0">
                  <c:v>7.2289999999999992</c:v>
                </c:pt>
                <c:pt idx="1">
                  <c:v>2.2289999999999992</c:v>
                </c:pt>
              </c:numCache>
            </c:numRef>
          </c:xVal>
          <c:yVal>
            <c:numRef>
              <c:f>Solution!$CD$62:$CD$63</c:f>
              <c:numCache>
                <c:formatCode>0.00</c:formatCode>
                <c:ptCount val="2"/>
                <c:pt idx="0">
                  <c:v>32.733999999999995</c:v>
                </c:pt>
                <c:pt idx="1">
                  <c:v>27.733999999999995</c:v>
                </c:pt>
              </c:numCache>
            </c:numRef>
          </c:yVal>
          <c:smooth val="1"/>
          <c:extLst>
            <c:ext xmlns:c16="http://schemas.microsoft.com/office/drawing/2014/chart" uri="{C3380CC4-5D6E-409C-BE32-E72D297353CC}">
              <c16:uniqueId val="{00000104-BD2D-4991-9D42-84343DE074F2}"/>
            </c:ext>
          </c:extLst>
        </c:ser>
        <c:ser>
          <c:idx val="208"/>
          <c:order val="220"/>
          <c:tx>
            <c:v>Slot to Splitter Right</c:v>
          </c:tx>
          <c:spPr>
            <a:ln w="50800">
              <a:solidFill>
                <a:schemeClr val="tx1">
                  <a:lumMod val="50000"/>
                  <a:lumOff val="50000"/>
                </a:schemeClr>
              </a:solidFill>
              <a:prstDash val="sysDash"/>
            </a:ln>
          </c:spPr>
          <c:marker>
            <c:symbol val="diamond"/>
            <c:size val="10"/>
            <c:spPr>
              <a:solidFill>
                <a:schemeClr val="bg1"/>
              </a:solidFill>
              <a:ln>
                <a:solidFill>
                  <a:schemeClr val="tx1"/>
                </a:solidFill>
              </a:ln>
            </c:spPr>
          </c:marker>
          <c:xVal>
            <c:numRef>
              <c:f>Solution!$CA$62:$CA$63</c:f>
              <c:numCache>
                <c:formatCode>0.00</c:formatCode>
                <c:ptCount val="2"/>
                <c:pt idx="0">
                  <c:v>-7.2289999999999992</c:v>
                </c:pt>
                <c:pt idx="1">
                  <c:v>-2.2289999999999992</c:v>
                </c:pt>
              </c:numCache>
            </c:numRef>
          </c:xVal>
          <c:yVal>
            <c:numRef>
              <c:f>Solution!$CB$62:$CB$63</c:f>
              <c:numCache>
                <c:formatCode>0.00</c:formatCode>
                <c:ptCount val="2"/>
                <c:pt idx="0">
                  <c:v>32.733999999999995</c:v>
                </c:pt>
                <c:pt idx="1">
                  <c:v>27.733999999999995</c:v>
                </c:pt>
              </c:numCache>
            </c:numRef>
          </c:yVal>
          <c:smooth val="1"/>
          <c:extLst>
            <c:ext xmlns:c16="http://schemas.microsoft.com/office/drawing/2014/chart" uri="{C3380CC4-5D6E-409C-BE32-E72D297353CC}">
              <c16:uniqueId val="{00000105-BD2D-4991-9D42-84343DE074F2}"/>
            </c:ext>
          </c:extLst>
        </c:ser>
        <c:ser>
          <c:idx val="203"/>
          <c:order val="221"/>
          <c:tx>
            <c:v>Pythagorean x Axis</c:v>
          </c:tx>
          <c:spPr>
            <a:ln w="25400" cap="rnd">
              <a:solidFill>
                <a:srgbClr val="FF0000"/>
              </a:solidFill>
              <a:prstDash val="lgDashDotDot"/>
              <a:round/>
            </a:ln>
            <a:effectLst/>
          </c:spPr>
          <c:marker>
            <c:symbol val="none"/>
          </c:marker>
          <c:dLbls>
            <c:dLbl>
              <c:idx val="1"/>
              <c:layout>
                <c:manualLayout>
                  <c:x val="-4.1025644181065378E-2"/>
                  <c:y val="-1.029866284432200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106-BD2D-4991-9D42-84343DE074F2}"/>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Solution!$CF$49:$CF$50</c:f>
              <c:numCache>
                <c:formatCode>General</c:formatCode>
                <c:ptCount val="2"/>
                <c:pt idx="0">
                  <c:v>-25</c:v>
                </c:pt>
                <c:pt idx="1">
                  <c:v>25</c:v>
                </c:pt>
              </c:numCache>
            </c:numRef>
          </c:xVal>
          <c:yVal>
            <c:numRef>
              <c:f>Solution!$CG$49:$CG$50</c:f>
              <c:numCache>
                <c:formatCode>General</c:formatCode>
                <c:ptCount val="2"/>
                <c:pt idx="0">
                  <c:v>0</c:v>
                </c:pt>
                <c:pt idx="1">
                  <c:v>0</c:v>
                </c:pt>
              </c:numCache>
            </c:numRef>
          </c:yVal>
          <c:smooth val="1"/>
          <c:extLst>
            <c:ext xmlns:c16="http://schemas.microsoft.com/office/drawing/2014/chart" uri="{C3380CC4-5D6E-409C-BE32-E72D297353CC}">
              <c16:uniqueId val="{00000107-BD2D-4991-9D42-84343DE074F2}"/>
            </c:ext>
          </c:extLst>
        </c:ser>
        <c:ser>
          <c:idx val="211"/>
          <c:order val="222"/>
          <c:tx>
            <c:v>Pythagorean y Axis</c:v>
          </c:tx>
          <c:spPr>
            <a:ln w="25400">
              <a:solidFill>
                <a:srgbClr val="0070C0"/>
              </a:solidFill>
              <a:prstDash val="lgDashDotDot"/>
            </a:ln>
          </c:spPr>
          <c:dLbls>
            <c:dLbl>
              <c:idx val="1"/>
              <c:layout>
                <c:manualLayout>
                  <c:x val="-6.5445670479318582E-2"/>
                  <c:y val="1.647786055091521E-2"/>
                </c:manualLayout>
              </c:layout>
              <c:spPr>
                <a:noFill/>
                <a:ln>
                  <a:noFill/>
                </a:ln>
                <a:effectLst/>
              </c:spPr>
              <c:txPr>
                <a:bodyPr wrap="square" lIns="38100" tIns="19050" rIns="38100" bIns="19050" anchor="ctr">
                  <a:noAutofit/>
                </a:bodyPr>
                <a:lstStyle/>
                <a:p>
                  <a:pPr>
                    <a:defRPr b="1"/>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2363363222932766"/>
                      <c:h val="2.9047419098326928E-2"/>
                    </c:manualLayout>
                  </c15:layout>
                </c:ext>
                <c:ext xmlns:c16="http://schemas.microsoft.com/office/drawing/2014/chart" uri="{C3380CC4-5D6E-409C-BE32-E72D297353CC}">
                  <c16:uniqueId val="{00000108-BD2D-4991-9D42-84343DE074F2}"/>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Solution!$CH$49:$CH$50</c:f>
              <c:numCache>
                <c:formatCode>General</c:formatCode>
                <c:ptCount val="2"/>
                <c:pt idx="0">
                  <c:v>-25</c:v>
                </c:pt>
                <c:pt idx="1">
                  <c:v>-25</c:v>
                </c:pt>
              </c:numCache>
            </c:numRef>
          </c:xVal>
          <c:yVal>
            <c:numRef>
              <c:f>Solution!$CI$49:$CI$50</c:f>
              <c:numCache>
                <c:formatCode>General</c:formatCode>
                <c:ptCount val="2"/>
                <c:pt idx="0">
                  <c:v>0</c:v>
                </c:pt>
                <c:pt idx="1">
                  <c:v>-40</c:v>
                </c:pt>
              </c:numCache>
            </c:numRef>
          </c:yVal>
          <c:smooth val="1"/>
          <c:extLst>
            <c:ext xmlns:c16="http://schemas.microsoft.com/office/drawing/2014/chart" uri="{C3380CC4-5D6E-409C-BE32-E72D297353CC}">
              <c16:uniqueId val="{00000109-BD2D-4991-9D42-84343DE074F2}"/>
            </c:ext>
          </c:extLst>
        </c:ser>
        <c:ser>
          <c:idx val="212"/>
          <c:order val="223"/>
          <c:tx>
            <c:v>Pythagorean z Axis</c:v>
          </c:tx>
          <c:spPr>
            <a:ln w="25400">
              <a:solidFill>
                <a:schemeClr val="tx1"/>
              </a:solidFill>
              <a:prstDash val="lgDashDotDot"/>
            </a:ln>
          </c:spPr>
          <c:dLbls>
            <c:dLbl>
              <c:idx val="1"/>
              <c:layout>
                <c:manualLayout>
                  <c:x val="-7.3036568354845524E-2"/>
                  <c:y val="-2.7806349133752746E-2"/>
                </c:manualLayout>
              </c:layout>
              <c:spPr>
                <a:noFill/>
                <a:ln>
                  <a:noFill/>
                </a:ln>
                <a:effectLst/>
              </c:spPr>
              <c:txPr>
                <a:bodyPr wrap="square" lIns="38100" tIns="19050" rIns="38100" bIns="19050" anchor="ctr">
                  <a:noAutofit/>
                </a:bodyPr>
                <a:lstStyle/>
                <a:p>
                  <a:pPr>
                    <a:defRPr b="1"/>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154481932410905"/>
                      <c:h val="4.2435680795945535E-2"/>
                    </c:manualLayout>
                  </c15:layout>
                </c:ext>
                <c:ext xmlns:c16="http://schemas.microsoft.com/office/drawing/2014/chart" uri="{C3380CC4-5D6E-409C-BE32-E72D297353CC}">
                  <c16:uniqueId val="{0000010A-BD2D-4991-9D42-84343DE074F2}"/>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Solution!$CK$49:$CK$50</c:f>
              <c:numCache>
                <c:formatCode>General</c:formatCode>
                <c:ptCount val="2"/>
                <c:pt idx="0">
                  <c:v>-25</c:v>
                </c:pt>
                <c:pt idx="1">
                  <c:v>-25</c:v>
                </c:pt>
              </c:numCache>
            </c:numRef>
          </c:xVal>
          <c:yVal>
            <c:numRef>
              <c:f>Solution!$CL$49:$CL$50</c:f>
              <c:numCache>
                <c:formatCode>General</c:formatCode>
                <c:ptCount val="2"/>
                <c:pt idx="0">
                  <c:v>0</c:v>
                </c:pt>
                <c:pt idx="1">
                  <c:v>40</c:v>
                </c:pt>
              </c:numCache>
            </c:numRef>
          </c:yVal>
          <c:smooth val="1"/>
          <c:extLst>
            <c:ext xmlns:c16="http://schemas.microsoft.com/office/drawing/2014/chart" uri="{C3380CC4-5D6E-409C-BE32-E72D297353CC}">
              <c16:uniqueId val="{0000010B-BD2D-4991-9D42-84343DE074F2}"/>
            </c:ext>
          </c:extLst>
        </c:ser>
        <c:ser>
          <c:idx val="224"/>
          <c:order val="224"/>
          <c:tx>
            <c:v>Pan Depth 5th</c:v>
          </c:tx>
          <c:spPr>
            <a:ln>
              <a:noFill/>
            </a:ln>
          </c:spPr>
          <c:marker>
            <c:symbol val="dash"/>
            <c:size val="15"/>
            <c:spPr>
              <a:solidFill>
                <a:schemeClr val="accent5">
                  <a:lumMod val="60000"/>
                  <a:lumOff val="40000"/>
                </a:schemeClr>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Data'!$AM$3:$AM$45</c:f>
              <c:numCache>
                <c:formatCode>0.0</c:formatCode>
                <c:ptCount val="43"/>
                <c:pt idx="0">
                  <c:v>-11.611360000000001</c:v>
                </c:pt>
                <c:pt idx="1">
                  <c:v>-13.399520000000001</c:v>
                </c:pt>
                <c:pt idx="2">
                  <c:v>-16.752319999999997</c:v>
                </c:pt>
                <c:pt idx="3">
                  <c:v>-17.86992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C-BD2D-4991-9D42-84343DE074F2}"/>
            </c:ext>
          </c:extLst>
        </c:ser>
        <c:ser>
          <c:idx val="225"/>
          <c:order val="225"/>
          <c:tx>
            <c:v>Pan Depth Mean</c:v>
          </c:tx>
          <c:spPr>
            <a:ln>
              <a:noFill/>
            </a:ln>
          </c:spPr>
          <c:marker>
            <c:symbol val="dash"/>
            <c:size val="15"/>
            <c:spPr>
              <a:solidFill>
                <a:srgbClr val="00B050"/>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Data'!$AN$3:$AN$45</c:f>
              <c:numCache>
                <c:formatCode>0.0</c:formatCode>
                <c:ptCount val="43"/>
                <c:pt idx="0">
                  <c:v>-14.293600000000001</c:v>
                </c:pt>
                <c:pt idx="1">
                  <c:v>-16.975839999999998</c:v>
                </c:pt>
                <c:pt idx="2">
                  <c:v>-19.434560000000001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D-BD2D-4991-9D42-84343DE074F2}"/>
            </c:ext>
          </c:extLst>
        </c:ser>
        <c:ser>
          <c:idx val="226"/>
          <c:order val="226"/>
          <c:tx>
            <c:v>Pan Depth 95th</c:v>
          </c:tx>
          <c:spPr>
            <a:ln>
              <a:noFill/>
            </a:ln>
          </c:spPr>
          <c:marker>
            <c:symbol val="dash"/>
            <c:size val="15"/>
            <c:spPr>
              <a:solidFill>
                <a:schemeClr val="accent4">
                  <a:lumMod val="75000"/>
                </a:schemeClr>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Data'!$AO$3:$AO$45</c:f>
              <c:numCache>
                <c:formatCode>0.0</c:formatCode>
                <c:ptCount val="43"/>
                <c:pt idx="0">
                  <c:v>-16.975839999999998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E-BD2D-4991-9D42-84343DE074F2}"/>
            </c:ext>
          </c:extLst>
        </c:ser>
        <c:ser>
          <c:idx val="227"/>
          <c:order val="227"/>
          <c:tx>
            <c:v>Show Splitter Plate</c:v>
          </c:tx>
          <c:spPr>
            <a:ln>
              <a:noFill/>
            </a:ln>
          </c:spPr>
          <c:marker>
            <c:symbol val="triangle"/>
            <c:size val="5"/>
          </c:marker>
          <c:dPt>
            <c:idx val="1"/>
            <c:marker>
              <c:symbol val="picture"/>
              <c:spPr>
                <a:blipFill dpi="0" rotWithShape="1">
                  <a:blip xmlns:r="http://schemas.openxmlformats.org/officeDocument/2006/relationships" r:embed="rId4">
                    <a:alphaModFix amt="30000"/>
                  </a:blip>
                  <a:srcRect/>
                  <a:stretch>
                    <a:fillRect/>
                  </a:stretch>
                </a:blipFill>
                <a:ln>
                  <a:noFill/>
                </a:ln>
              </c:spPr>
            </c:marker>
            <c:bubble3D val="0"/>
            <c:extLst>
              <c:ext xmlns:c16="http://schemas.microsoft.com/office/drawing/2014/chart" uri="{C3380CC4-5D6E-409C-BE32-E72D297353CC}">
                <c16:uniqueId val="{0000010F-BD2D-4991-9D42-84343DE074F2}"/>
              </c:ext>
            </c:extLst>
          </c:dPt>
          <c:xVal>
            <c:numRef>
              <c:f>Solution!$CC$65:$CC$66</c:f>
              <c:numCache>
                <c:formatCode>General</c:formatCode>
                <c:ptCount val="2"/>
                <c:pt idx="0">
                  <c:v>0</c:v>
                </c:pt>
                <c:pt idx="1">
                  <c:v>0</c:v>
                </c:pt>
              </c:numCache>
            </c:numRef>
          </c:xVal>
          <c:yVal>
            <c:numRef>
              <c:f>Solution!$CD$65:$CD$66</c:f>
              <c:numCache>
                <c:formatCode>0.00</c:formatCode>
                <c:ptCount val="2"/>
                <c:pt idx="0" formatCode="General">
                  <c:v>0</c:v>
                </c:pt>
                <c:pt idx="1">
                  <c:v>27.733999999999995</c:v>
                </c:pt>
              </c:numCache>
            </c:numRef>
          </c:yVal>
          <c:smooth val="1"/>
          <c:extLst>
            <c:ext xmlns:c16="http://schemas.microsoft.com/office/drawing/2014/chart" uri="{C3380CC4-5D6E-409C-BE32-E72D297353CC}">
              <c16:uniqueId val="{00000110-BD2D-4991-9D42-84343DE074F2}"/>
            </c:ext>
          </c:extLst>
        </c:ser>
        <c:ser>
          <c:idx val="228"/>
          <c:order val="228"/>
          <c:tx>
            <c:v>Locate CFA</c:v>
          </c:tx>
          <c:spPr>
            <a:ln>
              <a:noFill/>
            </a:ln>
          </c:spPr>
          <c:marker>
            <c:symbol val="square"/>
            <c:size val="8"/>
            <c:spPr>
              <a:ln>
                <a:noFill/>
              </a:ln>
            </c:spPr>
          </c:marker>
          <c:dPt>
            <c:idx val="0"/>
            <c:marker>
              <c:symbol val="square"/>
              <c:size val="2"/>
            </c:marker>
            <c:bubble3D val="0"/>
            <c:extLst>
              <c:ext xmlns:c16="http://schemas.microsoft.com/office/drawing/2014/chart" uri="{C3380CC4-5D6E-409C-BE32-E72D297353CC}">
                <c16:uniqueId val="{00000111-BD2D-4991-9D42-84343DE074F2}"/>
              </c:ext>
            </c:extLst>
          </c:dPt>
          <c:dPt>
            <c:idx val="1"/>
            <c:marker>
              <c:symbol val="picture"/>
              <c:spPr>
                <a:blipFill dpi="0" rotWithShape="1">
                  <a:blip xmlns:r="http://schemas.openxmlformats.org/officeDocument/2006/relationships" r:embed="rId5">
                    <a:alphaModFix amt="72000"/>
                  </a:blip>
                  <a:srcRect/>
                  <a:stretch>
                    <a:fillRect/>
                  </a:stretch>
                </a:blipFill>
                <a:ln>
                  <a:noFill/>
                </a:ln>
              </c:spPr>
            </c:marker>
            <c:bubble3D val="0"/>
            <c:extLst>
              <c:ext xmlns:c16="http://schemas.microsoft.com/office/drawing/2014/chart" uri="{C3380CC4-5D6E-409C-BE32-E72D297353CC}">
                <c16:uniqueId val="{00000112-BD2D-4991-9D42-84343DE074F2}"/>
              </c:ext>
            </c:extLst>
          </c:dPt>
          <c:xVal>
            <c:numRef>
              <c:f>Solution!$CC$69:$CC$70</c:f>
              <c:numCache>
                <c:formatCode>General</c:formatCode>
                <c:ptCount val="2"/>
                <c:pt idx="0">
                  <c:v>0</c:v>
                </c:pt>
                <c:pt idx="1">
                  <c:v>0</c:v>
                </c:pt>
              </c:numCache>
            </c:numRef>
          </c:xVal>
          <c:yVal>
            <c:numRef>
              <c:f>Solution!$CD$69:$CD$70</c:f>
              <c:numCache>
                <c:formatCode>General</c:formatCode>
                <c:ptCount val="2"/>
                <c:pt idx="0">
                  <c:v>0</c:v>
                </c:pt>
                <c:pt idx="1">
                  <c:v>-19.434560000000001</c:v>
                </c:pt>
              </c:numCache>
            </c:numRef>
          </c:yVal>
          <c:smooth val="1"/>
          <c:extLst>
            <c:ext xmlns:c16="http://schemas.microsoft.com/office/drawing/2014/chart" uri="{C3380CC4-5D6E-409C-BE32-E72D297353CC}">
              <c16:uniqueId val="{00000113-BD2D-4991-9D42-84343DE074F2}"/>
            </c:ext>
          </c:extLst>
        </c:ser>
        <c:ser>
          <c:idx val="229"/>
          <c:order val="229"/>
          <c:tx>
            <c:v>Plot Back Perimeter Surface</c:v>
          </c:tx>
          <c:spPr>
            <a:ln w="50800">
              <a:solidFill>
                <a:schemeClr val="tx1"/>
              </a:solidFill>
            </a:ln>
          </c:spPr>
          <c:marker>
            <c:symbol val="diamond"/>
            <c:size val="5"/>
            <c:spPr>
              <a:ln>
                <a:solidFill>
                  <a:schemeClr val="tx1"/>
                </a:solidFill>
              </a:ln>
            </c:spPr>
          </c:marker>
          <c:xVal>
            <c:numRef>
              <c:f>Solution!$CB$76:$CB$86</c:f>
              <c:numCache>
                <c:formatCode>0.0</c:formatCode>
                <c:ptCount val="11"/>
                <c:pt idx="0">
                  <c:v>-13.2</c:v>
                </c:pt>
                <c:pt idx="1">
                  <c:v>-14.32</c:v>
                </c:pt>
                <c:pt idx="2">
                  <c:v>-13.2</c:v>
                </c:pt>
                <c:pt idx="3">
                  <c:v>-13.2</c:v>
                </c:pt>
                <c:pt idx="4">
                  <c:v>-13.2</c:v>
                </c:pt>
                <c:pt idx="5">
                  <c:v>0</c:v>
                </c:pt>
                <c:pt idx="6">
                  <c:v>13.2</c:v>
                </c:pt>
                <c:pt idx="7">
                  <c:v>13.2</c:v>
                </c:pt>
                <c:pt idx="8">
                  <c:v>13.2</c:v>
                </c:pt>
                <c:pt idx="9">
                  <c:v>14.32</c:v>
                </c:pt>
                <c:pt idx="10">
                  <c:v>13.2</c:v>
                </c:pt>
              </c:numCache>
            </c:numRef>
          </c:xVal>
          <c:yVal>
            <c:numRef>
              <c:f>Solution!$CC$76:$CC$86</c:f>
              <c:numCache>
                <c:formatCode>0.0</c:formatCode>
                <c:ptCount val="11"/>
                <c:pt idx="0">
                  <c:v>-17.491104</c:v>
                </c:pt>
                <c:pt idx="1">
                  <c:v>-9.7172800000000006</c:v>
                </c:pt>
                <c:pt idx="2">
                  <c:v>0</c:v>
                </c:pt>
                <c:pt idx="3">
                  <c:v>26.25</c:v>
                </c:pt>
                <c:pt idx="4">
                  <c:v>52.5</c:v>
                </c:pt>
                <c:pt idx="5">
                  <c:v>52.5</c:v>
                </c:pt>
                <c:pt idx="6">
                  <c:v>52.5</c:v>
                </c:pt>
                <c:pt idx="7">
                  <c:v>26.25</c:v>
                </c:pt>
                <c:pt idx="8">
                  <c:v>0</c:v>
                </c:pt>
                <c:pt idx="9">
                  <c:v>-9.7172800000000006</c:v>
                </c:pt>
                <c:pt idx="10">
                  <c:v>-17.491104</c:v>
                </c:pt>
              </c:numCache>
            </c:numRef>
          </c:yVal>
          <c:smooth val="1"/>
          <c:extLst>
            <c:ext xmlns:c16="http://schemas.microsoft.com/office/drawing/2014/chart" uri="{C3380CC4-5D6E-409C-BE32-E72D297353CC}">
              <c16:uniqueId val="{00000114-BD2D-4991-9D42-84343DE074F2}"/>
            </c:ext>
          </c:extLst>
        </c:ser>
        <c:ser>
          <c:idx val="230"/>
          <c:order val="230"/>
          <c:tx>
            <c:v>Show Water Fall Perimeter</c:v>
          </c:tx>
          <c:spPr>
            <a:ln w="50800">
              <a:solidFill>
                <a:schemeClr val="tx1"/>
              </a:solidFill>
            </a:ln>
          </c:spPr>
          <c:marker>
            <c:symbol val="diamond"/>
            <c:size val="5"/>
            <c:spPr>
              <a:ln>
                <a:solidFill>
                  <a:schemeClr val="tx1"/>
                </a:solidFill>
              </a:ln>
            </c:spPr>
          </c:marker>
          <c:xVal>
            <c:numRef>
              <c:f>Solution!$CB$88:$CB$90</c:f>
              <c:numCache>
                <c:formatCode>0.0</c:formatCode>
                <c:ptCount val="3"/>
                <c:pt idx="0">
                  <c:v>13.2</c:v>
                </c:pt>
                <c:pt idx="1">
                  <c:v>0</c:v>
                </c:pt>
                <c:pt idx="2">
                  <c:v>-13.2</c:v>
                </c:pt>
              </c:numCache>
            </c:numRef>
          </c:xVal>
          <c:yVal>
            <c:numRef>
              <c:f>Solution!$CC$88:$CC$90</c:f>
              <c:numCache>
                <c:formatCode>0.0</c:formatCode>
                <c:ptCount val="3"/>
                <c:pt idx="0">
                  <c:v>-17.491104</c:v>
                </c:pt>
                <c:pt idx="1">
                  <c:v>-19.434560000000001</c:v>
                </c:pt>
                <c:pt idx="2">
                  <c:v>-17.491104</c:v>
                </c:pt>
              </c:numCache>
            </c:numRef>
          </c:yVal>
          <c:smooth val="1"/>
          <c:extLst>
            <c:ext xmlns:c16="http://schemas.microsoft.com/office/drawing/2014/chart" uri="{C3380CC4-5D6E-409C-BE32-E72D297353CC}">
              <c16:uniqueId val="{00000115-BD2D-4991-9D42-84343DE074F2}"/>
            </c:ext>
          </c:extLst>
        </c:ser>
        <c:ser>
          <c:idx val="231"/>
          <c:order val="231"/>
          <c:tx>
            <c:v>R129 Shield Min Left</c:v>
          </c:tx>
          <c:spPr>
            <a:ln w="44450">
              <a:solidFill>
                <a:srgbClr val="0070C0"/>
              </a:solidFill>
            </a:ln>
          </c:spPr>
          <c:xVal>
            <c:numRef>
              <c:f>'R129 Annex 18 Data'!$D$44:$D$45</c:f>
              <c:numCache>
                <c:formatCode>General</c:formatCode>
                <c:ptCount val="2"/>
                <c:pt idx="0">
                  <c:v>0</c:v>
                </c:pt>
                <c:pt idx="1">
                  <c:v>0</c:v>
                </c:pt>
              </c:numCache>
            </c:numRef>
          </c:xVal>
          <c:yVal>
            <c:numRef>
              <c:f>'R129 Annex 18 Data'!$G$44:$G$45</c:f>
              <c:numCache>
                <c:formatCode>General</c:formatCode>
                <c:ptCount val="2"/>
                <c:pt idx="0">
                  <c:v>0</c:v>
                </c:pt>
                <c:pt idx="1">
                  <c:v>0</c:v>
                </c:pt>
              </c:numCache>
            </c:numRef>
          </c:yVal>
          <c:smooth val="1"/>
          <c:extLst>
            <c:ext xmlns:c16="http://schemas.microsoft.com/office/drawing/2014/chart" uri="{C3380CC4-5D6E-409C-BE32-E72D297353CC}">
              <c16:uniqueId val="{00000116-BD2D-4991-9D42-84343DE074F2}"/>
            </c:ext>
          </c:extLst>
        </c:ser>
        <c:ser>
          <c:idx val="232"/>
          <c:order val="232"/>
          <c:tx>
            <c:v>R129 Shield Min Inside</c:v>
          </c:tx>
          <c:spPr>
            <a:ln w="44450">
              <a:solidFill>
                <a:srgbClr val="0070C0"/>
              </a:solidFill>
            </a:ln>
          </c:spPr>
          <c:marker>
            <c:symbol val="none"/>
          </c:marker>
          <c:xVal>
            <c:numRef>
              <c:f>'R129 Annex 18 Data'!$D$45:$D$46</c:f>
              <c:numCache>
                <c:formatCode>General</c:formatCode>
                <c:ptCount val="2"/>
                <c:pt idx="0">
                  <c:v>0</c:v>
                </c:pt>
                <c:pt idx="1">
                  <c:v>0</c:v>
                </c:pt>
              </c:numCache>
            </c:numRef>
          </c:xVal>
          <c:yVal>
            <c:numRef>
              <c:f>'R129 Annex 18 Data'!$G$45:$G$46</c:f>
              <c:numCache>
                <c:formatCode>General</c:formatCode>
                <c:ptCount val="2"/>
                <c:pt idx="0">
                  <c:v>0</c:v>
                </c:pt>
                <c:pt idx="1">
                  <c:v>0</c:v>
                </c:pt>
              </c:numCache>
            </c:numRef>
          </c:yVal>
          <c:smooth val="1"/>
          <c:extLst>
            <c:ext xmlns:c16="http://schemas.microsoft.com/office/drawing/2014/chart" uri="{C3380CC4-5D6E-409C-BE32-E72D297353CC}">
              <c16:uniqueId val="{00000117-BD2D-4991-9D42-84343DE074F2}"/>
            </c:ext>
          </c:extLst>
        </c:ser>
        <c:ser>
          <c:idx val="233"/>
          <c:order val="233"/>
          <c:tx>
            <c:v>R129 Shield Min Right</c:v>
          </c:tx>
          <c:spPr>
            <a:ln w="44450">
              <a:solidFill>
                <a:srgbClr val="0070C0"/>
              </a:solidFill>
            </a:ln>
          </c:spPr>
          <c:dPt>
            <c:idx val="1"/>
            <c:marker>
              <c:symbol val="none"/>
            </c:marker>
            <c:bubble3D val="0"/>
            <c:extLst>
              <c:ext xmlns:c16="http://schemas.microsoft.com/office/drawing/2014/chart" uri="{C3380CC4-5D6E-409C-BE32-E72D297353CC}">
                <c16:uniqueId val="{00000118-BD2D-4991-9D42-84343DE074F2}"/>
              </c:ext>
            </c:extLst>
          </c:dPt>
          <c:xVal>
            <c:numRef>
              <c:f>'R129 Annex 18 Data'!$D$46:$D$47</c:f>
              <c:numCache>
                <c:formatCode>General</c:formatCode>
                <c:ptCount val="2"/>
                <c:pt idx="0">
                  <c:v>0</c:v>
                </c:pt>
                <c:pt idx="1">
                  <c:v>0</c:v>
                </c:pt>
              </c:numCache>
            </c:numRef>
          </c:xVal>
          <c:yVal>
            <c:numRef>
              <c:f>'R129 Annex 18 Data'!$G$46:$G$47</c:f>
              <c:numCache>
                <c:formatCode>General</c:formatCode>
                <c:ptCount val="2"/>
                <c:pt idx="0">
                  <c:v>0</c:v>
                </c:pt>
                <c:pt idx="1">
                  <c:v>0</c:v>
                </c:pt>
              </c:numCache>
            </c:numRef>
          </c:yVal>
          <c:smooth val="1"/>
          <c:extLst>
            <c:ext xmlns:c16="http://schemas.microsoft.com/office/drawing/2014/chart" uri="{C3380CC4-5D6E-409C-BE32-E72D297353CC}">
              <c16:uniqueId val="{00000119-BD2D-4991-9D42-84343DE074F2}"/>
            </c:ext>
          </c:extLst>
        </c:ser>
        <c:ser>
          <c:idx val="234"/>
          <c:order val="234"/>
          <c:tx>
            <c:v>R129 Shield Min Top</c:v>
          </c:tx>
          <c:spPr>
            <a:ln w="44450">
              <a:solidFill>
                <a:srgbClr val="0070C0"/>
              </a:solidFill>
            </a:ln>
          </c:spPr>
          <c:marker>
            <c:symbol val="none"/>
          </c:marker>
          <c:xVal>
            <c:numRef>
              <c:f>'R129 Annex 18 Data'!$D$47:$D$48</c:f>
              <c:numCache>
                <c:formatCode>General</c:formatCode>
                <c:ptCount val="2"/>
                <c:pt idx="0">
                  <c:v>0</c:v>
                </c:pt>
                <c:pt idx="1">
                  <c:v>0</c:v>
                </c:pt>
              </c:numCache>
            </c:numRef>
          </c:xVal>
          <c:yVal>
            <c:numRef>
              <c:f>'R129 Annex 18 Data'!$G$47:$G$48</c:f>
              <c:numCache>
                <c:formatCode>General</c:formatCode>
                <c:ptCount val="2"/>
                <c:pt idx="0">
                  <c:v>0</c:v>
                </c:pt>
                <c:pt idx="1">
                  <c:v>0</c:v>
                </c:pt>
              </c:numCache>
            </c:numRef>
          </c:yVal>
          <c:smooth val="1"/>
          <c:extLst>
            <c:ext xmlns:c16="http://schemas.microsoft.com/office/drawing/2014/chart" uri="{C3380CC4-5D6E-409C-BE32-E72D297353CC}">
              <c16:uniqueId val="{0000011A-BD2D-4991-9D42-84343DE074F2}"/>
            </c:ext>
          </c:extLst>
        </c:ser>
        <c:ser>
          <c:idx val="235"/>
          <c:order val="235"/>
          <c:tx>
            <c:v>R129 Shield Max Left</c:v>
          </c:tx>
          <c:spPr>
            <a:ln w="44450">
              <a:solidFill>
                <a:srgbClr val="0070C0"/>
              </a:solidFill>
            </a:ln>
          </c:spPr>
          <c:marker>
            <c:symbol val="none"/>
          </c:marker>
          <c:xVal>
            <c:numRef>
              <c:f>'R129 Annex 18 Data'!$D$51:$D$52</c:f>
              <c:numCache>
                <c:formatCode>General</c:formatCode>
                <c:ptCount val="2"/>
                <c:pt idx="0">
                  <c:v>0</c:v>
                </c:pt>
                <c:pt idx="1">
                  <c:v>0</c:v>
                </c:pt>
              </c:numCache>
            </c:numRef>
          </c:xVal>
          <c:yVal>
            <c:numRef>
              <c:f>'R129 Annex 18 Data'!$G$51:$G$52</c:f>
              <c:numCache>
                <c:formatCode>General</c:formatCode>
                <c:ptCount val="2"/>
                <c:pt idx="0">
                  <c:v>0</c:v>
                </c:pt>
                <c:pt idx="1">
                  <c:v>0</c:v>
                </c:pt>
              </c:numCache>
            </c:numRef>
          </c:yVal>
          <c:smooth val="1"/>
          <c:extLst>
            <c:ext xmlns:c16="http://schemas.microsoft.com/office/drawing/2014/chart" uri="{C3380CC4-5D6E-409C-BE32-E72D297353CC}">
              <c16:uniqueId val="{0000011B-BD2D-4991-9D42-84343DE074F2}"/>
            </c:ext>
          </c:extLst>
        </c:ser>
        <c:ser>
          <c:idx val="236"/>
          <c:order val="236"/>
          <c:tx>
            <c:v>R129 Shield Max Inside</c:v>
          </c:tx>
          <c:spPr>
            <a:ln w="44450">
              <a:solidFill>
                <a:srgbClr val="0070C0"/>
              </a:solidFill>
            </a:ln>
          </c:spPr>
          <c:marker>
            <c:symbol val="none"/>
          </c:marker>
          <c:xVal>
            <c:numRef>
              <c:f>'R129 Annex 18 Data'!$D$52:$D$53</c:f>
              <c:numCache>
                <c:formatCode>General</c:formatCode>
                <c:ptCount val="2"/>
                <c:pt idx="0">
                  <c:v>0</c:v>
                </c:pt>
                <c:pt idx="1">
                  <c:v>0</c:v>
                </c:pt>
              </c:numCache>
            </c:numRef>
          </c:xVal>
          <c:yVal>
            <c:numRef>
              <c:f>'R129 Annex 18 Data'!$G$52:$G$53</c:f>
              <c:numCache>
                <c:formatCode>General</c:formatCode>
                <c:ptCount val="2"/>
                <c:pt idx="0">
                  <c:v>0</c:v>
                </c:pt>
                <c:pt idx="1">
                  <c:v>0</c:v>
                </c:pt>
              </c:numCache>
            </c:numRef>
          </c:yVal>
          <c:smooth val="1"/>
          <c:extLst>
            <c:ext xmlns:c16="http://schemas.microsoft.com/office/drawing/2014/chart" uri="{C3380CC4-5D6E-409C-BE32-E72D297353CC}">
              <c16:uniqueId val="{0000011C-BD2D-4991-9D42-84343DE074F2}"/>
            </c:ext>
          </c:extLst>
        </c:ser>
        <c:ser>
          <c:idx val="237"/>
          <c:order val="237"/>
          <c:tx>
            <c:v>R129 Shield Max Right</c:v>
          </c:tx>
          <c:spPr>
            <a:ln w="44450">
              <a:solidFill>
                <a:srgbClr val="0070C0"/>
              </a:solidFill>
            </a:ln>
          </c:spPr>
          <c:marker>
            <c:symbol val="none"/>
          </c:marker>
          <c:xVal>
            <c:numRef>
              <c:f>'R129 Annex 18 Data'!$D$53:$D$54</c:f>
              <c:numCache>
                <c:formatCode>General</c:formatCode>
                <c:ptCount val="2"/>
                <c:pt idx="0">
                  <c:v>0</c:v>
                </c:pt>
                <c:pt idx="1">
                  <c:v>0</c:v>
                </c:pt>
              </c:numCache>
            </c:numRef>
          </c:xVal>
          <c:yVal>
            <c:numRef>
              <c:f>'R129 Annex 18 Data'!$G$53:$G$54</c:f>
              <c:numCache>
                <c:formatCode>General</c:formatCode>
                <c:ptCount val="2"/>
                <c:pt idx="0">
                  <c:v>0</c:v>
                </c:pt>
                <c:pt idx="1">
                  <c:v>0</c:v>
                </c:pt>
              </c:numCache>
            </c:numRef>
          </c:yVal>
          <c:smooth val="1"/>
          <c:extLst>
            <c:ext xmlns:c16="http://schemas.microsoft.com/office/drawing/2014/chart" uri="{C3380CC4-5D6E-409C-BE32-E72D297353CC}">
              <c16:uniqueId val="{0000011D-BD2D-4991-9D42-84343DE074F2}"/>
            </c:ext>
          </c:extLst>
        </c:ser>
        <c:ser>
          <c:idx val="238"/>
          <c:order val="238"/>
          <c:tx>
            <c:v>R129 Shield Max Top</c:v>
          </c:tx>
          <c:spPr>
            <a:ln w="44450">
              <a:solidFill>
                <a:srgbClr val="0070C0"/>
              </a:solidFill>
            </a:ln>
          </c:spPr>
          <c:marker>
            <c:symbol val="none"/>
          </c:marker>
          <c:xVal>
            <c:numRef>
              <c:f>'R129 Annex 18 Data'!$D$54:$D$55</c:f>
              <c:numCache>
                <c:formatCode>General</c:formatCode>
                <c:ptCount val="2"/>
                <c:pt idx="0">
                  <c:v>0</c:v>
                </c:pt>
                <c:pt idx="1">
                  <c:v>0</c:v>
                </c:pt>
              </c:numCache>
            </c:numRef>
          </c:xVal>
          <c:yVal>
            <c:numRef>
              <c:f>'R129 Annex 18 Data'!$G$54:$G$55</c:f>
              <c:numCache>
                <c:formatCode>General</c:formatCode>
                <c:ptCount val="2"/>
                <c:pt idx="0">
                  <c:v>0</c:v>
                </c:pt>
                <c:pt idx="1">
                  <c:v>0</c:v>
                </c:pt>
              </c:numCache>
            </c:numRef>
          </c:yVal>
          <c:smooth val="1"/>
          <c:extLst>
            <c:ext xmlns:c16="http://schemas.microsoft.com/office/drawing/2014/chart" uri="{C3380CC4-5D6E-409C-BE32-E72D297353CC}">
              <c16:uniqueId val="{0000011E-BD2D-4991-9D42-84343DE074F2}"/>
            </c:ext>
          </c:extLst>
        </c:ser>
        <c:ser>
          <c:idx val="239"/>
          <c:order val="239"/>
          <c:tx>
            <c:v>Back Pad Thickness</c:v>
          </c:tx>
          <c:spPr>
            <a:ln w="53975">
              <a:solidFill>
                <a:schemeClr val="bg1">
                  <a:lumMod val="50000"/>
                </a:schemeClr>
              </a:solidFill>
            </a:ln>
          </c:spPr>
          <c:marker>
            <c:symbol val="none"/>
          </c:marker>
          <c:xVal>
            <c:numRef>
              <c:f>Solution!$CB$93:$CB$97</c:f>
              <c:numCache>
                <c:formatCode>General</c:formatCode>
                <c:ptCount val="5"/>
                <c:pt idx="0">
                  <c:v>-11.2</c:v>
                </c:pt>
                <c:pt idx="1">
                  <c:v>-11.2</c:v>
                </c:pt>
                <c:pt idx="2" formatCode="0">
                  <c:v>11.2</c:v>
                </c:pt>
                <c:pt idx="3" formatCode="0">
                  <c:v>11.2</c:v>
                </c:pt>
                <c:pt idx="4">
                  <c:v>-11.2</c:v>
                </c:pt>
              </c:numCache>
            </c:numRef>
          </c:xVal>
          <c:yVal>
            <c:numRef>
              <c:f>Solution!$CC$93:$CC$97</c:f>
              <c:numCache>
                <c:formatCode>General</c:formatCode>
                <c:ptCount val="5"/>
                <c:pt idx="0">
                  <c:v>0</c:v>
                </c:pt>
                <c:pt idx="1">
                  <c:v>-2</c:v>
                </c:pt>
                <c:pt idx="2">
                  <c:v>-2</c:v>
                </c:pt>
                <c:pt idx="3">
                  <c:v>0</c:v>
                </c:pt>
                <c:pt idx="4">
                  <c:v>0</c:v>
                </c:pt>
              </c:numCache>
            </c:numRef>
          </c:yVal>
          <c:smooth val="1"/>
          <c:extLst>
            <c:ext xmlns:c16="http://schemas.microsoft.com/office/drawing/2014/chart" uri="{C3380CC4-5D6E-409C-BE32-E72D297353CC}">
              <c16:uniqueId val="{0000011F-BD2D-4991-9D42-84343DE074F2}"/>
            </c:ext>
          </c:extLst>
        </c:ser>
        <c:ser>
          <c:idx val="240"/>
          <c:order val="240"/>
          <c:tx>
            <c:v>Seat Pad Thickness</c:v>
          </c:tx>
          <c:spPr>
            <a:ln w="50800">
              <a:solidFill>
                <a:schemeClr val="bg2">
                  <a:lumMod val="50000"/>
                </a:schemeClr>
              </a:solidFill>
            </a:ln>
          </c:spPr>
          <c:xVal>
            <c:numRef>
              <c:f>Solution!$CB$99:$CB$103</c:f>
              <c:numCache>
                <c:formatCode>General</c:formatCode>
                <c:ptCount val="5"/>
                <c:pt idx="0">
                  <c:v>-11.2</c:v>
                </c:pt>
                <c:pt idx="1">
                  <c:v>-11.2</c:v>
                </c:pt>
                <c:pt idx="2" formatCode="0">
                  <c:v>11.2</c:v>
                </c:pt>
                <c:pt idx="3" formatCode="0">
                  <c:v>11.2</c:v>
                </c:pt>
                <c:pt idx="4">
                  <c:v>-11.2</c:v>
                </c:pt>
              </c:numCache>
            </c:numRef>
          </c:xVal>
          <c:yVal>
            <c:numRef>
              <c:f>Solution!$CC$99:$CC$103</c:f>
              <c:numCache>
                <c:formatCode>General</c:formatCode>
                <c:ptCount val="5"/>
                <c:pt idx="0">
                  <c:v>0</c:v>
                </c:pt>
                <c:pt idx="1">
                  <c:v>2</c:v>
                </c:pt>
                <c:pt idx="2">
                  <c:v>2</c:v>
                </c:pt>
                <c:pt idx="3">
                  <c:v>0</c:v>
                </c:pt>
                <c:pt idx="4">
                  <c:v>0</c:v>
                </c:pt>
              </c:numCache>
            </c:numRef>
          </c:yVal>
          <c:smooth val="1"/>
          <c:extLst>
            <c:ext xmlns:c16="http://schemas.microsoft.com/office/drawing/2014/chart" uri="{C3380CC4-5D6E-409C-BE32-E72D297353CC}">
              <c16:uniqueId val="{00000120-BD2D-4991-9D42-84343DE074F2}"/>
            </c:ext>
          </c:extLst>
        </c:ser>
        <c:ser>
          <c:idx val="241"/>
          <c:order val="241"/>
          <c:tx>
            <c:v>Plot Side Pad Thickness</c:v>
          </c:tx>
          <c:spPr>
            <a:ln w="44450">
              <a:solidFill>
                <a:schemeClr val="bg2">
                  <a:lumMod val="50000"/>
                </a:schemeClr>
              </a:solidFill>
            </a:ln>
          </c:spPr>
          <c:xVal>
            <c:numRef>
              <c:f>Solution!$CK$76:$CK$86</c:f>
              <c:numCache>
                <c:formatCode>0.0</c:formatCode>
                <c:ptCount val="11"/>
                <c:pt idx="0">
                  <c:v>-11.2</c:v>
                </c:pt>
                <c:pt idx="1">
                  <c:v>-12.32</c:v>
                </c:pt>
                <c:pt idx="2">
                  <c:v>-11.2</c:v>
                </c:pt>
                <c:pt idx="3">
                  <c:v>-11.2</c:v>
                </c:pt>
                <c:pt idx="4">
                  <c:v>-11.2</c:v>
                </c:pt>
                <c:pt idx="5">
                  <c:v>0</c:v>
                </c:pt>
                <c:pt idx="6">
                  <c:v>11.2</c:v>
                </c:pt>
                <c:pt idx="7">
                  <c:v>11.2</c:v>
                </c:pt>
                <c:pt idx="8">
                  <c:v>11.2</c:v>
                </c:pt>
                <c:pt idx="9">
                  <c:v>12.32</c:v>
                </c:pt>
                <c:pt idx="10">
                  <c:v>11.2</c:v>
                </c:pt>
              </c:numCache>
            </c:numRef>
          </c:xVal>
          <c:yVal>
            <c:numRef>
              <c:f>Solution!$CL$76:$CL$86</c:f>
              <c:numCache>
                <c:formatCode>0.0</c:formatCode>
                <c:ptCount val="11"/>
                <c:pt idx="0">
                  <c:v>-17.491104</c:v>
                </c:pt>
                <c:pt idx="1">
                  <c:v>-9.7172800000000006</c:v>
                </c:pt>
                <c:pt idx="2">
                  <c:v>0</c:v>
                </c:pt>
                <c:pt idx="3">
                  <c:v>26.25</c:v>
                </c:pt>
                <c:pt idx="4">
                  <c:v>52.5</c:v>
                </c:pt>
                <c:pt idx="5">
                  <c:v>52.5</c:v>
                </c:pt>
                <c:pt idx="6">
                  <c:v>52.5</c:v>
                </c:pt>
                <c:pt idx="7">
                  <c:v>26.25</c:v>
                </c:pt>
                <c:pt idx="8">
                  <c:v>0</c:v>
                </c:pt>
                <c:pt idx="9">
                  <c:v>-9.7172800000000006</c:v>
                </c:pt>
                <c:pt idx="10">
                  <c:v>-17.491104</c:v>
                </c:pt>
              </c:numCache>
            </c:numRef>
          </c:yVal>
          <c:smooth val="1"/>
          <c:extLst>
            <c:ext xmlns:c16="http://schemas.microsoft.com/office/drawing/2014/chart" uri="{C3380CC4-5D6E-409C-BE32-E72D297353CC}">
              <c16:uniqueId val="{00000121-BD2D-4991-9D42-84343DE074F2}"/>
            </c:ext>
          </c:extLst>
        </c:ser>
        <c:dLbls>
          <c:showLegendKey val="0"/>
          <c:showVal val="0"/>
          <c:showCatName val="0"/>
          <c:showSerName val="0"/>
          <c:showPercent val="0"/>
          <c:showBubbleSize val="0"/>
        </c:dLbls>
        <c:axId val="193378640"/>
        <c:axId val="193377856"/>
      </c:scatterChart>
      <c:valAx>
        <c:axId val="193378640"/>
        <c:scaling>
          <c:orientation val="minMax"/>
          <c:max val="30"/>
          <c:min val="-30"/>
        </c:scaling>
        <c:delete val="0"/>
        <c:axPos val="b"/>
        <c:majorGridlines>
          <c:spPr>
            <a:ln w="9525" cap="flat" cmpd="sng" algn="ctr">
              <a:solidFill>
                <a:schemeClr val="tx1">
                  <a:lumMod val="50000"/>
                  <a:lumOff val="50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crossAx val="193377856"/>
        <c:crosses val="autoZero"/>
        <c:crossBetween val="midCat"/>
        <c:majorUnit val="5"/>
      </c:valAx>
      <c:valAx>
        <c:axId val="193377856"/>
        <c:scaling>
          <c:orientation val="minMax"/>
          <c:max val="85"/>
          <c:min val="-50"/>
        </c:scaling>
        <c:delete val="0"/>
        <c:axPos val="l"/>
        <c:majorGridlines>
          <c:spPr>
            <a:ln w="9525" cap="flat" cmpd="sng" algn="ctr">
              <a:solidFill>
                <a:schemeClr val="tx1">
                  <a:lumMod val="50000"/>
                  <a:lumOff val="50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crossAx val="193378640"/>
        <c:crosses val="autoZero"/>
        <c:crossBetween val="midCat"/>
        <c:maj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Solution!$Y$20</c:f>
              <c:strCache>
                <c:ptCount val="1"/>
                <c:pt idx="0">
                  <c:v>Newborn</c:v>
                </c:pt>
              </c:strCache>
            </c:strRef>
          </c:tx>
          <c:spPr>
            <a:solidFill>
              <a:srgbClr val="FF0000"/>
            </a:solidFill>
            <a:ln w="9525">
              <a:solidFill>
                <a:schemeClr val="tx1"/>
              </a:solidFill>
            </a:ln>
            <a:effectLst/>
          </c:spPr>
          <c:invertIfNegative val="0"/>
          <c:dLbls>
            <c:dLbl>
              <c:idx val="0"/>
              <c:layout>
                <c:manualLayout>
                  <c:x val="-4.0444893832153692E-3"/>
                  <c:y val="-1.9397951362274405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cat>
            <c:numRef>
              <c:f>Solution!$Z$20</c:f>
              <c:numCache>
                <c:formatCode>0.0</c:formatCode>
                <c:ptCount val="1"/>
                <c:pt idx="0">
                  <c:v>50.4</c:v>
                </c:pt>
              </c:numCache>
            </c:numRef>
          </c:cat>
          <c:val>
            <c:numRef>
              <c:f>Solution!$AB$20</c:f>
              <c:numCache>
                <c:formatCode>0.0</c:formatCode>
                <c:ptCount val="1"/>
                <c:pt idx="0">
                  <c:v>26.7</c:v>
                </c:pt>
              </c:numCache>
            </c:numRef>
          </c:val>
          <c:extLst>
            <c:ext xmlns:c16="http://schemas.microsoft.com/office/drawing/2014/chart" uri="{C3380CC4-5D6E-409C-BE32-E72D297353CC}">
              <c16:uniqueId val="{00000001-B7D1-40A4-B2C1-8FBABB6AAC5A}"/>
            </c:ext>
          </c:extLst>
        </c:ser>
        <c:ser>
          <c:idx val="1"/>
          <c:order val="1"/>
          <c:tx>
            <c:strRef>
              <c:f>Solution!$Y$22</c:f>
              <c:strCache>
                <c:ptCount val="1"/>
                <c:pt idx="0">
                  <c:v>Q0</c:v>
                </c:pt>
              </c:strCache>
            </c:strRef>
          </c:tx>
          <c:spPr>
            <a:solidFill>
              <a:srgbClr val="0070C0"/>
            </a:solidFill>
            <a:ln w="9525">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cat>
            <c:numRef>
              <c:f>Solution!$Z$22</c:f>
              <c:numCache>
                <c:formatCode>0.0</c:formatCode>
                <c:ptCount val="1"/>
                <c:pt idx="0">
                  <c:v>0</c:v>
                </c:pt>
              </c:numCache>
            </c:numRef>
          </c:cat>
          <c:val>
            <c:numRef>
              <c:f>Solution!$AB$22</c:f>
              <c:numCache>
                <c:formatCode>0.0</c:formatCode>
                <c:ptCount val="1"/>
                <c:pt idx="0">
                  <c:v>0</c:v>
                </c:pt>
              </c:numCache>
            </c:numRef>
          </c:val>
          <c:extLst>
            <c:ext xmlns:c16="http://schemas.microsoft.com/office/drawing/2014/chart" uri="{C3380CC4-5D6E-409C-BE32-E72D297353CC}">
              <c16:uniqueId val="{00000002-B7D1-40A4-B2C1-8FBABB6AAC5A}"/>
            </c:ext>
          </c:extLst>
        </c:ser>
        <c:ser>
          <c:idx val="2"/>
          <c:order val="2"/>
          <c:tx>
            <c:strRef>
              <c:f>Solution!$Y$23</c:f>
              <c:strCache>
                <c:ptCount val="1"/>
                <c:pt idx="0">
                  <c:v>Q1</c:v>
                </c:pt>
              </c:strCache>
            </c:strRef>
          </c:tx>
          <c:spPr>
            <a:solidFill>
              <a:srgbClr val="0070C0"/>
            </a:solidFill>
            <a:ln w="9525">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Solution!$Z$23</c:f>
              <c:numCache>
                <c:formatCode>0.0</c:formatCode>
                <c:ptCount val="1"/>
                <c:pt idx="0">
                  <c:v>0</c:v>
                </c:pt>
              </c:numCache>
            </c:numRef>
          </c:cat>
          <c:val>
            <c:numRef>
              <c:f>Solution!$AB$23</c:f>
              <c:numCache>
                <c:formatCode>0.0</c:formatCode>
                <c:ptCount val="1"/>
                <c:pt idx="0">
                  <c:v>0</c:v>
                </c:pt>
              </c:numCache>
            </c:numRef>
          </c:val>
          <c:extLst>
            <c:ext xmlns:c16="http://schemas.microsoft.com/office/drawing/2014/chart" uri="{C3380CC4-5D6E-409C-BE32-E72D297353CC}">
              <c16:uniqueId val="{00000003-B7D1-40A4-B2C1-8FBABB6AAC5A}"/>
            </c:ext>
          </c:extLst>
        </c:ser>
        <c:ser>
          <c:idx val="3"/>
          <c:order val="3"/>
          <c:tx>
            <c:strRef>
              <c:f>Solution!$Y$24</c:f>
              <c:strCache>
                <c:ptCount val="1"/>
                <c:pt idx="0">
                  <c:v>CRABI 12</c:v>
                </c:pt>
              </c:strCache>
            </c:strRef>
          </c:tx>
          <c:spPr>
            <a:solidFill>
              <a:srgbClr val="FF0000"/>
            </a:solidFill>
            <a:ln w="9525">
              <a:solidFill>
                <a:schemeClr val="tx1"/>
              </a:solidFill>
            </a:ln>
            <a:effectLst/>
          </c:spPr>
          <c:invertIfNegative val="0"/>
          <c:dLbls>
            <c:dLbl>
              <c:idx val="0"/>
              <c:layout>
                <c:manualLayout>
                  <c:x val="-1.2133468149646144E-2"/>
                  <c:y val="-1.6468074234083571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Solution!$Z$24</c:f>
              <c:numCache>
                <c:formatCode>0.0</c:formatCode>
                <c:ptCount val="1"/>
                <c:pt idx="0">
                  <c:v>74.7</c:v>
                </c:pt>
              </c:numCache>
            </c:numRef>
          </c:cat>
          <c:val>
            <c:numRef>
              <c:f>Solution!$AB$24</c:f>
              <c:numCache>
                <c:formatCode>0.0</c:formatCode>
                <c:ptCount val="1"/>
                <c:pt idx="0">
                  <c:v>32.700000000000003</c:v>
                </c:pt>
              </c:numCache>
            </c:numRef>
          </c:val>
          <c:extLst>
            <c:ext xmlns:c16="http://schemas.microsoft.com/office/drawing/2014/chart" uri="{C3380CC4-5D6E-409C-BE32-E72D297353CC}">
              <c16:uniqueId val="{00000005-B7D1-40A4-B2C1-8FBABB6AAC5A}"/>
            </c:ext>
          </c:extLst>
        </c:ser>
        <c:ser>
          <c:idx val="4"/>
          <c:order val="4"/>
          <c:tx>
            <c:strRef>
              <c:f>Solution!$Y$25</c:f>
              <c:strCache>
                <c:ptCount val="1"/>
                <c:pt idx="0">
                  <c:v>Q1.5</c:v>
                </c:pt>
              </c:strCache>
            </c:strRef>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Solution!$AB$25</c:f>
              <c:numCache>
                <c:formatCode>0.0</c:formatCode>
                <c:ptCount val="1"/>
                <c:pt idx="0">
                  <c:v>0</c:v>
                </c:pt>
              </c:numCache>
            </c:numRef>
          </c:val>
          <c:extLst>
            <c:ext xmlns:c16="http://schemas.microsoft.com/office/drawing/2014/chart" uri="{C3380CC4-5D6E-409C-BE32-E72D297353CC}">
              <c16:uniqueId val="{00000006-B7D1-40A4-B2C1-8FBABB6AAC5A}"/>
            </c:ext>
          </c:extLst>
        </c:ser>
        <c:ser>
          <c:idx val="5"/>
          <c:order val="5"/>
          <c:tx>
            <c:strRef>
              <c:f>Solution!$Y$26</c:f>
              <c:strCache>
                <c:ptCount val="1"/>
                <c:pt idx="0">
                  <c:v>CRABI 18</c:v>
                </c:pt>
              </c:strCache>
            </c:strRef>
          </c:tx>
          <c:spPr>
            <a:solidFill>
              <a:srgbClr val="FF0000"/>
            </a:solidFill>
            <a:ln>
              <a:solidFill>
                <a:schemeClr val="tx1"/>
              </a:solidFill>
            </a:ln>
            <a:effectLst/>
          </c:spPr>
          <c:invertIfNegative val="0"/>
          <c:dLbls>
            <c:dLbl>
              <c:idx val="0"/>
              <c:layout>
                <c:manualLayout>
                  <c:x val="-1.2133468149646181E-2"/>
                  <c:y val="-1.4408752003344823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Solution!$AB$26</c:f>
              <c:numCache>
                <c:formatCode>0.0</c:formatCode>
                <c:ptCount val="1"/>
                <c:pt idx="0">
                  <c:v>34.5</c:v>
                </c:pt>
              </c:numCache>
            </c:numRef>
          </c:val>
          <c:extLst>
            <c:ext xmlns:c16="http://schemas.microsoft.com/office/drawing/2014/chart" uri="{C3380CC4-5D6E-409C-BE32-E72D297353CC}">
              <c16:uniqueId val="{00000008-B7D1-40A4-B2C1-8FBABB6AAC5A}"/>
            </c:ext>
          </c:extLst>
        </c:ser>
        <c:ser>
          <c:idx val="6"/>
          <c:order val="6"/>
          <c:tx>
            <c:strRef>
              <c:f>Solution!$Y$27</c:f>
              <c:strCache>
                <c:ptCount val="1"/>
                <c:pt idx="0">
                  <c:v>Q3</c:v>
                </c:pt>
              </c:strCache>
            </c:strRef>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Solution!$AB$27</c:f>
              <c:numCache>
                <c:formatCode>0.0</c:formatCode>
                <c:ptCount val="1"/>
                <c:pt idx="0">
                  <c:v>0</c:v>
                </c:pt>
              </c:numCache>
            </c:numRef>
          </c:val>
          <c:extLst>
            <c:ext xmlns:c16="http://schemas.microsoft.com/office/drawing/2014/chart" uri="{C3380CC4-5D6E-409C-BE32-E72D297353CC}">
              <c16:uniqueId val="{00000009-B7D1-40A4-B2C1-8FBABB6AAC5A}"/>
            </c:ext>
          </c:extLst>
        </c:ser>
        <c:ser>
          <c:idx val="7"/>
          <c:order val="7"/>
          <c:tx>
            <c:strRef>
              <c:f>Solution!$Y$28</c:f>
              <c:strCache>
                <c:ptCount val="1"/>
                <c:pt idx="0">
                  <c:v>HIII-3yr</c:v>
                </c:pt>
              </c:strCache>
            </c:strRef>
          </c:tx>
          <c:spPr>
            <a:solidFill>
              <a:srgbClr val="FF0000"/>
            </a:solidFill>
            <a:ln>
              <a:solidFill>
                <a:schemeClr val="tx1"/>
              </a:solidFill>
            </a:ln>
            <a:effectLst/>
          </c:spPr>
          <c:invertIfNegative val="0"/>
          <c:dLbls>
            <c:dLbl>
              <c:idx val="0"/>
              <c:layout>
                <c:manualLayout>
                  <c:x val="-8.0889787664308131E-3"/>
                  <c:y val="-2.4941351357629024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Solution!$AB$28</c:f>
              <c:numCache>
                <c:formatCode>0.0</c:formatCode>
                <c:ptCount val="1"/>
                <c:pt idx="0">
                  <c:v>0</c:v>
                </c:pt>
              </c:numCache>
            </c:numRef>
          </c:val>
          <c:extLst>
            <c:ext xmlns:c16="http://schemas.microsoft.com/office/drawing/2014/chart" uri="{C3380CC4-5D6E-409C-BE32-E72D297353CC}">
              <c16:uniqueId val="{0000000B-B7D1-40A4-B2C1-8FBABB6AAC5A}"/>
            </c:ext>
          </c:extLst>
        </c:ser>
        <c:ser>
          <c:idx val="8"/>
          <c:order val="8"/>
          <c:tx>
            <c:strRef>
              <c:f>Solution!$Y$29</c:f>
              <c:strCache>
                <c:ptCount val="1"/>
                <c:pt idx="0">
                  <c:v>Q6</c:v>
                </c:pt>
              </c:strCache>
            </c:strRef>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Solution!$AB$29</c:f>
              <c:numCache>
                <c:formatCode>0.0</c:formatCode>
                <c:ptCount val="1"/>
                <c:pt idx="0">
                  <c:v>0</c:v>
                </c:pt>
              </c:numCache>
            </c:numRef>
          </c:val>
          <c:extLst>
            <c:ext xmlns:c16="http://schemas.microsoft.com/office/drawing/2014/chart" uri="{C3380CC4-5D6E-409C-BE32-E72D297353CC}">
              <c16:uniqueId val="{0000000C-B7D1-40A4-B2C1-8FBABB6AAC5A}"/>
            </c:ext>
          </c:extLst>
        </c:ser>
        <c:ser>
          <c:idx val="9"/>
          <c:order val="9"/>
          <c:tx>
            <c:strRef>
              <c:f>Solution!$Y$30</c:f>
              <c:strCache>
                <c:ptCount val="1"/>
                <c:pt idx="0">
                  <c:v>HIII-6yr</c:v>
                </c:pt>
              </c:strCache>
            </c:strRef>
          </c:tx>
          <c:spPr>
            <a:solidFill>
              <a:srgbClr val="FF0000"/>
            </a:solidFill>
            <a:ln>
              <a:solidFill>
                <a:schemeClr val="tx1"/>
              </a:solidFill>
            </a:ln>
            <a:effectLst/>
          </c:spPr>
          <c:invertIfNegative val="0"/>
          <c:dLbls>
            <c:dLbl>
              <c:idx val="0"/>
              <c:layout>
                <c:manualLayout>
                  <c:x val="-5.2578361981799798E-2"/>
                  <c:y val="-2.4387150721204096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Solution!$AB$30</c:f>
              <c:numCache>
                <c:formatCode>0.0</c:formatCode>
                <c:ptCount val="1"/>
                <c:pt idx="0">
                  <c:v>0</c:v>
                </c:pt>
              </c:numCache>
            </c:numRef>
          </c:val>
          <c:extLst>
            <c:ext xmlns:c16="http://schemas.microsoft.com/office/drawing/2014/chart" uri="{C3380CC4-5D6E-409C-BE32-E72D297353CC}">
              <c16:uniqueId val="{0000000E-B7D1-40A4-B2C1-8FBABB6AAC5A}"/>
            </c:ext>
          </c:extLst>
        </c:ser>
        <c:ser>
          <c:idx val="10"/>
          <c:order val="10"/>
          <c:tx>
            <c:strRef>
              <c:f>Solution!$Y$31</c:f>
              <c:strCache>
                <c:ptCount val="1"/>
                <c:pt idx="0">
                  <c:v>HIII-6yr wtd</c:v>
                </c:pt>
              </c:strCache>
            </c:strRef>
          </c:tx>
          <c:spPr>
            <a:solidFill>
              <a:srgbClr val="FF0000"/>
            </a:solidFill>
            <a:ln>
              <a:solidFill>
                <a:schemeClr val="tx1"/>
              </a:solidFill>
            </a:ln>
            <a:effectLst/>
          </c:spPr>
          <c:invertIfNegative val="0"/>
          <c:dLbls>
            <c:dLbl>
              <c:idx val="0"/>
              <c:layout>
                <c:manualLayout>
                  <c:x val="-3.2355915065722954E-2"/>
                  <c:y val="-6.0894246626251362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Solution!$AB$31</c:f>
              <c:numCache>
                <c:formatCode>0.0</c:formatCode>
                <c:ptCount val="1"/>
                <c:pt idx="0">
                  <c:v>0</c:v>
                </c:pt>
              </c:numCache>
            </c:numRef>
          </c:val>
          <c:extLst>
            <c:ext xmlns:c16="http://schemas.microsoft.com/office/drawing/2014/chart" uri="{C3380CC4-5D6E-409C-BE32-E72D297353CC}">
              <c16:uniqueId val="{00000010-B7D1-40A4-B2C1-8FBABB6AAC5A}"/>
            </c:ext>
          </c:extLst>
        </c:ser>
        <c:ser>
          <c:idx val="11"/>
          <c:order val="11"/>
          <c:tx>
            <c:strRef>
              <c:f>Solution!$Y$32</c:f>
              <c:strCache>
                <c:ptCount val="1"/>
                <c:pt idx="0">
                  <c:v>HIII-10yr</c:v>
                </c:pt>
              </c:strCache>
            </c:strRef>
          </c:tx>
          <c:spPr>
            <a:solidFill>
              <a:srgbClr val="FF0000"/>
            </a:solidFill>
            <a:ln>
              <a:solidFill>
                <a:schemeClr val="tx1"/>
              </a:solidFill>
            </a:ln>
            <a:effectLst/>
          </c:spPr>
          <c:invertIfNegative val="0"/>
          <c:dLbls>
            <c:dLbl>
              <c:idx val="0"/>
              <c:layout>
                <c:manualLayout>
                  <c:x val="-2.8311425682507583E-2"/>
                  <c:y val="-1.4448702761712335E-2"/>
                </c:manualLayout>
              </c:layout>
              <c:dLblPos val="outEnd"/>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B7D1-40A4-B2C1-8FBABB6AAC5A}"/>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Solution!$AB$32</c:f>
              <c:numCache>
                <c:formatCode>0.0</c:formatCode>
                <c:ptCount val="1"/>
                <c:pt idx="0">
                  <c:v>0</c:v>
                </c:pt>
              </c:numCache>
            </c:numRef>
          </c:val>
          <c:extLst>
            <c:ext xmlns:c16="http://schemas.microsoft.com/office/drawing/2014/chart" uri="{C3380CC4-5D6E-409C-BE32-E72D297353CC}">
              <c16:uniqueId val="{00000012-B7D1-40A4-B2C1-8FBABB6AAC5A}"/>
            </c:ext>
          </c:extLst>
        </c:ser>
        <c:ser>
          <c:idx val="12"/>
          <c:order val="12"/>
          <c:tx>
            <c:strRef>
              <c:f>Solution!$Y$33</c:f>
              <c:strCache>
                <c:ptCount val="1"/>
                <c:pt idx="0">
                  <c:v>Q10.5</c:v>
                </c:pt>
              </c:strCache>
            </c:strRef>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zh-CN"/>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Solution!$AB$33</c:f>
              <c:numCache>
                <c:formatCode>0.0</c:formatCode>
                <c:ptCount val="1"/>
                <c:pt idx="0">
                  <c:v>0</c:v>
                </c:pt>
              </c:numCache>
            </c:numRef>
          </c:val>
          <c:extLst>
            <c:ext xmlns:c16="http://schemas.microsoft.com/office/drawing/2014/chart" uri="{C3380CC4-5D6E-409C-BE32-E72D297353CC}">
              <c16:uniqueId val="{00000013-B7D1-40A4-B2C1-8FBABB6AAC5A}"/>
            </c:ext>
          </c:extLst>
        </c:ser>
        <c:dLbls>
          <c:showLegendKey val="0"/>
          <c:showVal val="0"/>
          <c:showCatName val="0"/>
          <c:showSerName val="0"/>
          <c:showPercent val="0"/>
          <c:showBubbleSize val="0"/>
        </c:dLbls>
        <c:gapWidth val="150"/>
        <c:axId val="191336824"/>
        <c:axId val="408206688"/>
      </c:barChart>
      <c:catAx>
        <c:axId val="191336824"/>
        <c:scaling>
          <c:orientation val="minMax"/>
        </c:scaling>
        <c:delete val="1"/>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408206688"/>
        <c:crosses val="autoZero"/>
        <c:auto val="1"/>
        <c:lblAlgn val="ctr"/>
        <c:lblOffset val="100"/>
        <c:noMultiLvlLbl val="0"/>
      </c:catAx>
      <c:valAx>
        <c:axId val="408206688"/>
        <c:scaling>
          <c:orientation val="minMax"/>
          <c:min val="2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zh-CN"/>
          </a:p>
        </c:txPr>
        <c:crossAx val="191336824"/>
        <c:crosses val="autoZero"/>
        <c:crossBetween val="between"/>
        <c:majorUnit val="2"/>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x-z  Coordinates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tx>
            <c:v>Harness Max</c:v>
          </c:tx>
          <c:spPr>
            <a:ln w="19050" cap="rnd">
              <a:solidFill>
                <a:schemeClr val="accent1"/>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Solution!$CG$19:$CG$25</c:f>
              <c:numCache>
                <c:formatCode>0.00</c:formatCode>
                <c:ptCount val="7"/>
                <c:pt idx="0">
                  <c:v>0</c:v>
                </c:pt>
                <c:pt idx="1">
                  <c:v>6.7309999999999999</c:v>
                </c:pt>
                <c:pt idx="2">
                  <c:v>7.8867000000000003</c:v>
                </c:pt>
                <c:pt idx="3">
                  <c:v>4.5</c:v>
                </c:pt>
                <c:pt idx="4">
                  <c:v>6</c:v>
                </c:pt>
                <c:pt idx="5">
                  <c:v>6.5</c:v>
                </c:pt>
                <c:pt idx="6">
                  <c:v>7.2289999999999992</c:v>
                </c:pt>
              </c:numCache>
            </c:numRef>
          </c:xVal>
          <c:yVal>
            <c:numRef>
              <c:f>Solution!$CI$19:$CI$25</c:f>
              <c:numCache>
                <c:formatCode>0.00</c:formatCode>
                <c:ptCount val="7"/>
                <c:pt idx="0">
                  <c:v>-1</c:v>
                </c:pt>
                <c:pt idx="1">
                  <c:v>0</c:v>
                </c:pt>
                <c:pt idx="2">
                  <c:v>9.620000000000001</c:v>
                </c:pt>
                <c:pt idx="3">
                  <c:v>13.506000000000002</c:v>
                </c:pt>
                <c:pt idx="4">
                  <c:v>23.187199999999997</c:v>
                </c:pt>
                <c:pt idx="5">
                  <c:v>28.687199999999997</c:v>
                </c:pt>
                <c:pt idx="6">
                  <c:v>32.733999999999995</c:v>
                </c:pt>
              </c:numCache>
            </c:numRef>
          </c:yVal>
          <c:smooth val="0"/>
          <c:extLst>
            <c:ext xmlns:c16="http://schemas.microsoft.com/office/drawing/2014/chart" uri="{C3380CC4-5D6E-409C-BE32-E72D297353CC}">
              <c16:uniqueId val="{00000000-088D-46CB-BDE9-C3980D58C815}"/>
            </c:ext>
          </c:extLst>
        </c:ser>
        <c:ser>
          <c:idx val="1"/>
          <c:order val="1"/>
          <c:tx>
            <c:v>Harness Min</c:v>
          </c:tx>
          <c:spPr>
            <a:ln w="190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Solution!$CD$19:$CD$25</c:f>
              <c:numCache>
                <c:formatCode>0.00</c:formatCode>
                <c:ptCount val="7"/>
                <c:pt idx="0">
                  <c:v>0</c:v>
                </c:pt>
                <c:pt idx="1">
                  <c:v>0</c:v>
                </c:pt>
                <c:pt idx="2">
                  <c:v>0</c:v>
                </c:pt>
                <c:pt idx="3">
                  <c:v>0</c:v>
                </c:pt>
                <c:pt idx="4">
                  <c:v>0</c:v>
                </c:pt>
                <c:pt idx="5">
                  <c:v>0</c:v>
                </c:pt>
                <c:pt idx="6">
                  <c:v>0</c:v>
                </c:pt>
              </c:numCache>
            </c:numRef>
          </c:xVal>
          <c:yVal>
            <c:numRef>
              <c:f>Solution!$CF$19:$CF$25</c:f>
              <c:numCache>
                <c:formatCode>0.00</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1-088D-46CB-BDE9-C3980D58C815}"/>
            </c:ext>
          </c:extLst>
        </c:ser>
        <c:dLbls>
          <c:showLegendKey val="0"/>
          <c:showVal val="0"/>
          <c:showCatName val="0"/>
          <c:showSerName val="0"/>
          <c:showPercent val="0"/>
          <c:showBubbleSize val="0"/>
        </c:dLbls>
        <c:axId val="408209040"/>
        <c:axId val="408209432"/>
      </c:scatterChart>
      <c:valAx>
        <c:axId val="40820904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08209432"/>
        <c:crosses val="autoZero"/>
        <c:crossBetween val="midCat"/>
        <c:majorUnit val="2"/>
      </c:valAx>
      <c:valAx>
        <c:axId val="408209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08209040"/>
        <c:crosses val="autoZero"/>
        <c:crossBetween val="midCat"/>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x-y Coordinates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tx>
            <c:v>Harness Max</c:v>
          </c:tx>
          <c:spPr>
            <a:ln w="19050" cap="rnd">
              <a:solidFill>
                <a:schemeClr val="accent1"/>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Solution!$CG$19:$CG$25</c:f>
              <c:numCache>
                <c:formatCode>0.00</c:formatCode>
                <c:ptCount val="7"/>
                <c:pt idx="0">
                  <c:v>0</c:v>
                </c:pt>
                <c:pt idx="1">
                  <c:v>6.7309999999999999</c:v>
                </c:pt>
                <c:pt idx="2">
                  <c:v>7.8867000000000003</c:v>
                </c:pt>
                <c:pt idx="3">
                  <c:v>4.5</c:v>
                </c:pt>
                <c:pt idx="4">
                  <c:v>6</c:v>
                </c:pt>
                <c:pt idx="5">
                  <c:v>6.5</c:v>
                </c:pt>
                <c:pt idx="6">
                  <c:v>7.2289999999999992</c:v>
                </c:pt>
              </c:numCache>
            </c:numRef>
          </c:xVal>
          <c:yVal>
            <c:numRef>
              <c:f>Solution!$CH$19:$CH$25</c:f>
              <c:numCache>
                <c:formatCode>0.00</c:formatCode>
                <c:ptCount val="7"/>
                <c:pt idx="0">
                  <c:v>0</c:v>
                </c:pt>
                <c:pt idx="1">
                  <c:v>0</c:v>
                </c:pt>
                <c:pt idx="2">
                  <c:v>-11.620000000000001</c:v>
                </c:pt>
                <c:pt idx="3">
                  <c:v>-15.176</c:v>
                </c:pt>
                <c:pt idx="4">
                  <c:v>-15.176</c:v>
                </c:pt>
                <c:pt idx="5">
                  <c:v>-15.176</c:v>
                </c:pt>
                <c:pt idx="6">
                  <c:v>0</c:v>
                </c:pt>
              </c:numCache>
            </c:numRef>
          </c:yVal>
          <c:smooth val="0"/>
          <c:extLst>
            <c:ext xmlns:c16="http://schemas.microsoft.com/office/drawing/2014/chart" uri="{C3380CC4-5D6E-409C-BE32-E72D297353CC}">
              <c16:uniqueId val="{00000000-F21F-468A-93FC-9D167B395699}"/>
            </c:ext>
          </c:extLst>
        </c:ser>
        <c:ser>
          <c:idx val="1"/>
          <c:order val="1"/>
          <c:tx>
            <c:v>Harness Min</c:v>
          </c:tx>
          <c:spPr>
            <a:ln w="190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Solution!$CD$19:$CD$25</c:f>
              <c:numCache>
                <c:formatCode>0.00</c:formatCode>
                <c:ptCount val="7"/>
                <c:pt idx="0">
                  <c:v>0</c:v>
                </c:pt>
                <c:pt idx="1">
                  <c:v>0</c:v>
                </c:pt>
                <c:pt idx="2">
                  <c:v>0</c:v>
                </c:pt>
                <c:pt idx="3">
                  <c:v>0</c:v>
                </c:pt>
                <c:pt idx="4">
                  <c:v>0</c:v>
                </c:pt>
                <c:pt idx="5">
                  <c:v>0</c:v>
                </c:pt>
                <c:pt idx="6">
                  <c:v>0</c:v>
                </c:pt>
              </c:numCache>
            </c:numRef>
          </c:xVal>
          <c:yVal>
            <c:numRef>
              <c:f>Solution!$CE$19:$CE$25</c:f>
              <c:numCache>
                <c:formatCode>0.00</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1-F21F-468A-93FC-9D167B395699}"/>
            </c:ext>
          </c:extLst>
        </c:ser>
        <c:dLbls>
          <c:showLegendKey val="0"/>
          <c:showVal val="0"/>
          <c:showCatName val="0"/>
          <c:showSerName val="0"/>
          <c:showPercent val="0"/>
          <c:showBubbleSize val="0"/>
        </c:dLbls>
        <c:axId val="405217000"/>
        <c:axId val="405217392"/>
      </c:scatterChart>
      <c:valAx>
        <c:axId val="4052170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05217392"/>
        <c:crosses val="autoZero"/>
        <c:crossBetween val="midCat"/>
        <c:majorUnit val="2"/>
      </c:valAx>
      <c:valAx>
        <c:axId val="4052173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05217000"/>
        <c:crosses val="autoZero"/>
        <c:crossBetween val="midCat"/>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1135495073538504E-2"/>
          <c:y val="1.1328529128754207E-2"/>
          <c:w val="0.93651285408653562"/>
          <c:h val="0.97734294174249159"/>
        </c:manualLayout>
      </c:layout>
      <c:scatterChart>
        <c:scatterStyle val="smoothMarker"/>
        <c:varyColors val="0"/>
        <c:ser>
          <c:idx val="9"/>
          <c:order val="0"/>
          <c:tx>
            <c:v>US ATD CAMI-Newborn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1.3229556551210884E-2"/>
                  <c:y val="2.8200389284564208E-2"/>
                </c:manualLayout>
              </c:layout>
              <c:numFmt formatCode="#&quot;&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0821958620489198"/>
                      <c:h val="2.7540579064904411E-2"/>
                    </c:manualLayout>
                  </c15:layout>
                </c:ext>
                <c:ext xmlns:c16="http://schemas.microsoft.com/office/drawing/2014/chart" uri="{C3380CC4-5D6E-409C-BE32-E72D297353CC}">
                  <c16:uniqueId val="{00000000-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Solution!$AN$26:$AN$29</c:f>
              <c:numCache>
                <c:formatCode>0.0</c:formatCode>
                <c:ptCount val="4"/>
                <c:pt idx="0">
                  <c:v>-6</c:v>
                </c:pt>
                <c:pt idx="1">
                  <c:v>-5.5200000000000005</c:v>
                </c:pt>
                <c:pt idx="2">
                  <c:v>-2.5760000000000005</c:v>
                </c:pt>
                <c:pt idx="3">
                  <c:v>0</c:v>
                </c:pt>
              </c:numCache>
            </c:numRef>
          </c:xVal>
          <c:yVal>
            <c:numRef>
              <c:f>Solution!$AO$26:$AO$29</c:f>
              <c:numCache>
                <c:formatCode>0.0</c:formatCode>
                <c:ptCount val="4"/>
                <c:pt idx="0">
                  <c:v>-2</c:v>
                </c:pt>
                <c:pt idx="1">
                  <c:v>-5.2200000000000006</c:v>
                </c:pt>
                <c:pt idx="2">
                  <c:v>-8.4400000000000013</c:v>
                </c:pt>
                <c:pt idx="3">
                  <c:v>-9</c:v>
                </c:pt>
              </c:numCache>
            </c:numRef>
          </c:yVal>
          <c:smooth val="1"/>
          <c:extLst>
            <c:ext xmlns:c16="http://schemas.microsoft.com/office/drawing/2014/chart" uri="{C3380CC4-5D6E-409C-BE32-E72D297353CC}">
              <c16:uniqueId val="{00000001-F900-4243-8888-E2CCF32BDD82}"/>
            </c:ext>
          </c:extLst>
        </c:ser>
        <c:ser>
          <c:idx val="10"/>
          <c:order val="1"/>
          <c:tx>
            <c:v>US ATD CAMI-6mo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4.5039450456342993E-2"/>
                  <c:y val="2.637301043214000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prstDash val="sysDash"/>
                      <a:round/>
                    </a:ln>
                    <a:effectLst/>
                  </c:spPr>
                </c15:leaderLines>
              </c:ext>
            </c:extLst>
          </c:dLbls>
          <c:xVal>
            <c:numRef>
              <c:f>Solution!$AN$33:$AN$36</c:f>
              <c:numCache>
                <c:formatCode>0.0</c:formatCode>
                <c:ptCount val="4"/>
                <c:pt idx="0">
                  <c:v>-7.5</c:v>
                </c:pt>
                <c:pt idx="1">
                  <c:v>-6.9</c:v>
                </c:pt>
                <c:pt idx="2">
                  <c:v>-4.0480000000000009</c:v>
                </c:pt>
                <c:pt idx="3">
                  <c:v>0</c:v>
                </c:pt>
              </c:numCache>
            </c:numRef>
          </c:xVal>
          <c:yVal>
            <c:numRef>
              <c:f>Solution!$AO$33:$AO$36</c:f>
              <c:numCache>
                <c:formatCode>0.0</c:formatCode>
                <c:ptCount val="4"/>
                <c:pt idx="0">
                  <c:v>-2</c:v>
                </c:pt>
                <c:pt idx="1">
                  <c:v>-7.0600000000000005</c:v>
                </c:pt>
                <c:pt idx="2">
                  <c:v>-12.120000000000001</c:v>
                </c:pt>
                <c:pt idx="3">
                  <c:v>-13</c:v>
                </c:pt>
              </c:numCache>
            </c:numRef>
          </c:yVal>
          <c:smooth val="1"/>
          <c:extLst>
            <c:ext xmlns:c16="http://schemas.microsoft.com/office/drawing/2014/chart" uri="{C3380CC4-5D6E-409C-BE32-E72D297353CC}">
              <c16:uniqueId val="{00000003-F900-4243-8888-E2CCF32BDD82}"/>
            </c:ext>
          </c:extLst>
        </c:ser>
        <c:ser>
          <c:idx val="11"/>
          <c:order val="2"/>
          <c:tx>
            <c:v>EU ATD Q0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8138747884940772E-2"/>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Solution!$AN$42:$AN$45</c:f>
              <c:numCache>
                <c:formatCode>0.0</c:formatCode>
                <c:ptCount val="4"/>
                <c:pt idx="0">
                  <c:v>0</c:v>
                </c:pt>
                <c:pt idx="1">
                  <c:v>0</c:v>
                </c:pt>
                <c:pt idx="2">
                  <c:v>0</c:v>
                </c:pt>
                <c:pt idx="3">
                  <c:v>0</c:v>
                </c:pt>
              </c:numCache>
            </c:numRef>
          </c:xVal>
          <c:yVal>
            <c:numRef>
              <c:f>Solution!$AO$42:$AO$45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5-F900-4243-8888-E2CCF32BDD82}"/>
            </c:ext>
          </c:extLst>
        </c:ser>
        <c:ser>
          <c:idx val="12"/>
          <c:order val="3"/>
          <c:tx>
            <c:v>EU ATD Q1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9678510998307953E-2"/>
                  <c:y val="1.21268656716417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F900-4243-8888-E2CCF32BDD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Solution!$AN$49:$AN$52</c:f>
              <c:numCache>
                <c:formatCode>0.0</c:formatCode>
                <c:ptCount val="4"/>
                <c:pt idx="0">
                  <c:v>0</c:v>
                </c:pt>
                <c:pt idx="1">
                  <c:v>0</c:v>
                </c:pt>
                <c:pt idx="2">
                  <c:v>0</c:v>
                </c:pt>
                <c:pt idx="3">
                  <c:v>0</c:v>
                </c:pt>
              </c:numCache>
            </c:numRef>
          </c:xVal>
          <c:yVal>
            <c:numRef>
              <c:f>Solution!$AO$49:$AO$52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7-F900-4243-8888-E2CCF32BDD82}"/>
            </c:ext>
          </c:extLst>
        </c:ser>
        <c:ser>
          <c:idx val="13"/>
          <c:order val="4"/>
          <c:tx>
            <c:v>US ATD CRABI 12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30148879863007882"/>
                  <c:y val="2.104576352745567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Solution!$AN$54:$AN$57</c:f>
              <c:numCache>
                <c:formatCode>0.0</c:formatCode>
                <c:ptCount val="4"/>
                <c:pt idx="0">
                  <c:v>-8.5</c:v>
                </c:pt>
                <c:pt idx="1">
                  <c:v>-7.82</c:v>
                </c:pt>
                <c:pt idx="2">
                  <c:v>-4.1915200000000006</c:v>
                </c:pt>
                <c:pt idx="3">
                  <c:v>0</c:v>
                </c:pt>
              </c:numCache>
            </c:numRef>
          </c:xVal>
          <c:yVal>
            <c:numRef>
              <c:f>Solution!$AO$54:$AO$57</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9-F900-4243-8888-E2CCF32BDD82}"/>
            </c:ext>
          </c:extLst>
        </c:ser>
        <c:ser>
          <c:idx val="14"/>
          <c:order val="5"/>
          <c:tx>
            <c:v>EU ATD Q1.5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9830795262267222E-2"/>
                  <c:y val="-2.33208955223881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Solution!$AN$63:$AN$66</c:f>
              <c:numCache>
                <c:formatCode>0.0</c:formatCode>
                <c:ptCount val="4"/>
                <c:pt idx="0">
                  <c:v>0</c:v>
                </c:pt>
                <c:pt idx="1">
                  <c:v>0</c:v>
                </c:pt>
                <c:pt idx="2">
                  <c:v>0</c:v>
                </c:pt>
                <c:pt idx="3">
                  <c:v>0</c:v>
                </c:pt>
              </c:numCache>
            </c:numRef>
          </c:xVal>
          <c:yVal>
            <c:numRef>
              <c:f>Solution!$AO$63:$AO$66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B-F900-4243-8888-E2CCF32BDD82}"/>
            </c:ext>
          </c:extLst>
        </c:ser>
        <c:ser>
          <c:idx val="15"/>
          <c:order val="6"/>
          <c:tx>
            <c:v>US ATD CRABI 18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25920962675843545"/>
                  <c:y val="-8.8020901152094828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Solution!$AN$68:$AN$71</c:f>
              <c:numCache>
                <c:formatCode>0.0</c:formatCode>
                <c:ptCount val="4"/>
                <c:pt idx="0">
                  <c:v>-8.5</c:v>
                </c:pt>
                <c:pt idx="1">
                  <c:v>-7.82</c:v>
                </c:pt>
                <c:pt idx="2">
                  <c:v>-4.1915200000000006</c:v>
                </c:pt>
                <c:pt idx="3">
                  <c:v>0</c:v>
                </c:pt>
              </c:numCache>
            </c:numRef>
          </c:xVal>
          <c:yVal>
            <c:numRef>
              <c:f>Solution!$AO$68:$AO$71</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D-F900-4243-8888-E2CCF32BDD82}"/>
            </c:ext>
          </c:extLst>
        </c:ser>
        <c:ser>
          <c:idx val="16"/>
          <c:order val="7"/>
          <c:tx>
            <c:v>EU ATD Q3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1218274111675121E-2"/>
                  <c:y val="-9.3283582089553601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Solution!$AN$77:$AN$80</c:f>
              <c:numCache>
                <c:formatCode>0.0</c:formatCode>
                <c:ptCount val="4"/>
                <c:pt idx="0">
                  <c:v>0</c:v>
                </c:pt>
                <c:pt idx="1">
                  <c:v>0</c:v>
                </c:pt>
                <c:pt idx="2">
                  <c:v>0</c:v>
                </c:pt>
                <c:pt idx="3">
                  <c:v>0</c:v>
                </c:pt>
              </c:numCache>
            </c:numRef>
          </c:xVal>
          <c:yVal>
            <c:numRef>
              <c:f>Solution!$AO$77:$AO$80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F-F900-4243-8888-E2CCF32BDD82}"/>
            </c:ext>
          </c:extLst>
        </c:ser>
        <c:ser>
          <c:idx val="17"/>
          <c:order val="8"/>
          <c:tx>
            <c:v>US ATD HIII-3yr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4890016920473773"/>
                  <c:y val="1.8656716417909079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Solution!$AN$82:$AN$85</c:f>
              <c:numCache>
                <c:formatCode>0.0</c:formatCode>
                <c:ptCount val="4"/>
                <c:pt idx="0">
                  <c:v>0</c:v>
                </c:pt>
                <c:pt idx="1">
                  <c:v>0</c:v>
                </c:pt>
                <c:pt idx="2">
                  <c:v>0</c:v>
                </c:pt>
                <c:pt idx="3">
                  <c:v>0</c:v>
                </c:pt>
              </c:numCache>
            </c:numRef>
          </c:xVal>
          <c:yVal>
            <c:numRef>
              <c:f>Solution!$AO$82:$AO$85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1-F900-4243-8888-E2CCF32BDD82}"/>
            </c:ext>
          </c:extLst>
        </c:ser>
        <c:ser>
          <c:idx val="18"/>
          <c:order val="9"/>
          <c:tx>
            <c:v>EU ATD Q6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6.4297800338409469E-2"/>
                  <c:y val="-2.798507462686567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Solution!$AN$91:$AN$94</c:f>
              <c:numCache>
                <c:formatCode>0.0</c:formatCode>
                <c:ptCount val="4"/>
                <c:pt idx="0">
                  <c:v>0</c:v>
                </c:pt>
                <c:pt idx="1">
                  <c:v>0</c:v>
                </c:pt>
                <c:pt idx="2">
                  <c:v>0</c:v>
                </c:pt>
                <c:pt idx="3">
                  <c:v>0</c:v>
                </c:pt>
              </c:numCache>
            </c:numRef>
          </c:xVal>
          <c:yVal>
            <c:numRef>
              <c:f>Solution!$AO$91:$AO$94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3-F900-4243-8888-E2CCF32BDD82}"/>
            </c:ext>
          </c:extLst>
        </c:ser>
        <c:ser>
          <c:idx val="19"/>
          <c:order val="10"/>
          <c:tx>
            <c:v>US ATD HIII-6yr Hip</c:v>
          </c:tx>
          <c:spPr>
            <a:ln w="19050" cap="rnd">
              <a:solidFill>
                <a:srgbClr val="FF0000"/>
              </a:solidFill>
              <a:round/>
            </a:ln>
            <a:effectLst/>
          </c:spPr>
          <c:marker>
            <c:symbol val="circle"/>
            <c:size val="2"/>
            <c:spPr>
              <a:solidFill>
                <a:srgbClr val="FF0000"/>
              </a:solidFill>
              <a:ln w="9525">
                <a:solidFill>
                  <a:srgbClr val="FF0000"/>
                </a:solidFill>
              </a:ln>
              <a:effectLst/>
            </c:spPr>
          </c:marker>
          <c:xVal>
            <c:numRef>
              <c:f>Solution!$AN$96:$AN$99</c:f>
              <c:numCache>
                <c:formatCode>0.0</c:formatCode>
                <c:ptCount val="4"/>
                <c:pt idx="0">
                  <c:v>0</c:v>
                </c:pt>
                <c:pt idx="1">
                  <c:v>0</c:v>
                </c:pt>
                <c:pt idx="2">
                  <c:v>0</c:v>
                </c:pt>
                <c:pt idx="3">
                  <c:v>0</c:v>
                </c:pt>
              </c:numCache>
            </c:numRef>
          </c:xVal>
          <c:yVal>
            <c:numRef>
              <c:f>Solution!$AO$96:$AO$99</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4-F900-4243-8888-E2CCF32BDD82}"/>
            </c:ext>
          </c:extLst>
        </c:ser>
        <c:ser>
          <c:idx val="20"/>
          <c:order val="11"/>
          <c:tx>
            <c:v>US ATD HIII-6yr wtd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381993548492579"/>
                  <c:y val="3.9944681982476736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Solution!$AN$103:$AN$106</c:f>
              <c:numCache>
                <c:formatCode>0.0</c:formatCode>
                <c:ptCount val="4"/>
                <c:pt idx="0">
                  <c:v>0</c:v>
                </c:pt>
                <c:pt idx="1">
                  <c:v>0</c:v>
                </c:pt>
                <c:pt idx="2">
                  <c:v>0</c:v>
                </c:pt>
                <c:pt idx="3">
                  <c:v>0</c:v>
                </c:pt>
              </c:numCache>
            </c:numRef>
          </c:xVal>
          <c:yVal>
            <c:numRef>
              <c:f>Solution!$AO$103:$AO$106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6-F900-4243-8888-E2CCF32BDD82}"/>
            </c:ext>
          </c:extLst>
        </c:ser>
        <c:ser>
          <c:idx val="21"/>
          <c:order val="12"/>
          <c:tx>
            <c:v>US ATD HIII-10yr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550214757565868"/>
                  <c:y val="7.8941579852154339E-4"/>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Solution!$AN$110:$AN$113</c:f>
              <c:numCache>
                <c:formatCode>0.0</c:formatCode>
                <c:ptCount val="4"/>
                <c:pt idx="0">
                  <c:v>0</c:v>
                </c:pt>
                <c:pt idx="1">
                  <c:v>0</c:v>
                </c:pt>
                <c:pt idx="2">
                  <c:v>0</c:v>
                </c:pt>
                <c:pt idx="3">
                  <c:v>0</c:v>
                </c:pt>
              </c:numCache>
            </c:numRef>
          </c:xVal>
          <c:yVal>
            <c:numRef>
              <c:f>Solution!$AO$110:$AO$114</c:f>
              <c:numCache>
                <c:formatCode>0.0</c:formatCode>
                <c:ptCount val="5"/>
                <c:pt idx="0">
                  <c:v>-2</c:v>
                </c:pt>
                <c:pt idx="1">
                  <c:v>-2</c:v>
                </c:pt>
                <c:pt idx="2">
                  <c:v>-2</c:v>
                </c:pt>
                <c:pt idx="3">
                  <c:v>-2</c:v>
                </c:pt>
              </c:numCache>
            </c:numRef>
          </c:yVal>
          <c:smooth val="1"/>
          <c:extLst>
            <c:ext xmlns:c16="http://schemas.microsoft.com/office/drawing/2014/chart" uri="{C3380CC4-5D6E-409C-BE32-E72D297353CC}">
              <c16:uniqueId val="{00000018-F900-4243-8888-E2CCF32BDD82}"/>
            </c:ext>
          </c:extLst>
        </c:ser>
        <c:ser>
          <c:idx val="22"/>
          <c:order val="13"/>
          <c:tx>
            <c:v>EU ATD Q10.5 Hip</c:v>
          </c:tx>
          <c:spPr>
            <a:ln w="19050" cap="rnd">
              <a:solidFill>
                <a:schemeClr val="accent5">
                  <a:lumMod val="80000"/>
                </a:schemeClr>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Solution!$AN$119:$AN$122</c:f>
              <c:numCache>
                <c:formatCode>0.0</c:formatCode>
                <c:ptCount val="4"/>
                <c:pt idx="0">
                  <c:v>0</c:v>
                </c:pt>
                <c:pt idx="1">
                  <c:v>0</c:v>
                </c:pt>
                <c:pt idx="2">
                  <c:v>0</c:v>
                </c:pt>
                <c:pt idx="3">
                  <c:v>0</c:v>
                </c:pt>
              </c:numCache>
            </c:numRef>
          </c:xVal>
          <c:yVal>
            <c:numRef>
              <c:f>Solution!$AO$119:$AO$122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A-F900-4243-8888-E2CCF32BDD82}"/>
            </c:ext>
          </c:extLst>
        </c:ser>
        <c:ser>
          <c:idx val="23"/>
          <c:order val="14"/>
          <c:tx>
            <c:v>Row 12 Left</c:v>
          </c:tx>
          <c:spPr>
            <a:ln w="50800" cap="rnd">
              <a:solidFill>
                <a:schemeClr val="tx1"/>
              </a:solidFill>
              <a:round/>
            </a:ln>
            <a:effectLst/>
          </c:spPr>
          <c:marker>
            <c:symbol val="circle"/>
            <c:size val="5"/>
            <c:spPr>
              <a:noFill/>
              <a:ln w="9525">
                <a:noFill/>
              </a:ln>
              <a:effectLst/>
            </c:spPr>
          </c:marker>
          <c:xVal>
            <c:numRef>
              <c:f>Solution!$AU$3:$AU$4</c:f>
              <c:numCache>
                <c:formatCode>0.0</c:formatCode>
                <c:ptCount val="2"/>
                <c:pt idx="0">
                  <c:v>0</c:v>
                </c:pt>
                <c:pt idx="1">
                  <c:v>0</c:v>
                </c:pt>
              </c:numCache>
            </c:numRef>
          </c:xVal>
          <c:yVal>
            <c:numRef>
              <c:f>Solution!$AV$3:$AV$4</c:f>
              <c:numCache>
                <c:formatCode>0.0</c:formatCode>
                <c:ptCount val="2"/>
                <c:pt idx="0">
                  <c:v>0</c:v>
                </c:pt>
                <c:pt idx="1">
                  <c:v>0</c:v>
                </c:pt>
              </c:numCache>
            </c:numRef>
          </c:yVal>
          <c:smooth val="1"/>
          <c:extLst>
            <c:ext xmlns:c16="http://schemas.microsoft.com/office/drawing/2014/chart" uri="{C3380CC4-5D6E-409C-BE32-E72D297353CC}">
              <c16:uniqueId val="{0000001B-F900-4243-8888-E2CCF32BDD82}"/>
            </c:ext>
          </c:extLst>
        </c:ser>
        <c:ser>
          <c:idx val="24"/>
          <c:order val="15"/>
          <c:tx>
            <c:v>Row 12 Right</c:v>
          </c:tx>
          <c:spPr>
            <a:ln w="50800" cap="rnd">
              <a:solidFill>
                <a:schemeClr val="tx1"/>
              </a:solidFill>
              <a:round/>
            </a:ln>
            <a:effectLst/>
          </c:spPr>
          <c:marker>
            <c:symbol val="circle"/>
            <c:size val="2"/>
            <c:spPr>
              <a:noFill/>
              <a:ln w="9525">
                <a:noFill/>
              </a:ln>
              <a:effectLst/>
            </c:spPr>
          </c:marker>
          <c:xVal>
            <c:numRef>
              <c:f>Solution!$BA$3:$BA$4</c:f>
              <c:numCache>
                <c:formatCode>0.0</c:formatCode>
                <c:ptCount val="2"/>
                <c:pt idx="0">
                  <c:v>0</c:v>
                </c:pt>
                <c:pt idx="1">
                  <c:v>0</c:v>
                </c:pt>
              </c:numCache>
            </c:numRef>
          </c:xVal>
          <c:yVal>
            <c:numRef>
              <c:f>Solution!$BB$3:$BB$4</c:f>
              <c:numCache>
                <c:formatCode>0.0</c:formatCode>
                <c:ptCount val="2"/>
                <c:pt idx="0">
                  <c:v>0</c:v>
                </c:pt>
                <c:pt idx="1">
                  <c:v>0</c:v>
                </c:pt>
              </c:numCache>
            </c:numRef>
          </c:yVal>
          <c:smooth val="1"/>
          <c:extLst>
            <c:ext xmlns:c16="http://schemas.microsoft.com/office/drawing/2014/chart" uri="{C3380CC4-5D6E-409C-BE32-E72D297353CC}">
              <c16:uniqueId val="{0000001C-F900-4243-8888-E2CCF32BDD82}"/>
            </c:ext>
          </c:extLst>
        </c:ser>
        <c:ser>
          <c:idx val="25"/>
          <c:order val="16"/>
          <c:tx>
            <c:v>Row 11 Left</c:v>
          </c:tx>
          <c:spPr>
            <a:ln w="50800" cap="rnd">
              <a:solidFill>
                <a:schemeClr val="tx1"/>
              </a:solidFill>
              <a:round/>
            </a:ln>
            <a:effectLst/>
          </c:spPr>
          <c:marker>
            <c:symbol val="circle"/>
            <c:size val="5"/>
            <c:spPr>
              <a:noFill/>
              <a:ln w="9525">
                <a:noFill/>
              </a:ln>
              <a:effectLst/>
            </c:spPr>
          </c:marker>
          <c:xVal>
            <c:numRef>
              <c:f>Solution!$AU$5:$AU$6</c:f>
              <c:numCache>
                <c:formatCode>0.0</c:formatCode>
                <c:ptCount val="2"/>
                <c:pt idx="0">
                  <c:v>0</c:v>
                </c:pt>
                <c:pt idx="1">
                  <c:v>0</c:v>
                </c:pt>
              </c:numCache>
            </c:numRef>
          </c:xVal>
          <c:yVal>
            <c:numRef>
              <c:f>Solution!$AV$5:$AV$6</c:f>
              <c:numCache>
                <c:formatCode>0.0</c:formatCode>
                <c:ptCount val="2"/>
                <c:pt idx="0">
                  <c:v>0</c:v>
                </c:pt>
                <c:pt idx="1">
                  <c:v>0</c:v>
                </c:pt>
              </c:numCache>
            </c:numRef>
          </c:yVal>
          <c:smooth val="1"/>
          <c:extLst>
            <c:ext xmlns:c16="http://schemas.microsoft.com/office/drawing/2014/chart" uri="{C3380CC4-5D6E-409C-BE32-E72D297353CC}">
              <c16:uniqueId val="{0000001D-F900-4243-8888-E2CCF32BDD82}"/>
            </c:ext>
          </c:extLst>
        </c:ser>
        <c:ser>
          <c:idx val="26"/>
          <c:order val="17"/>
          <c:tx>
            <c:v>Row 11 Right</c:v>
          </c:tx>
          <c:spPr>
            <a:ln w="50800" cap="rnd">
              <a:solidFill>
                <a:schemeClr val="tx1"/>
              </a:solidFill>
              <a:round/>
            </a:ln>
            <a:effectLst/>
          </c:spPr>
          <c:marker>
            <c:symbol val="circle"/>
            <c:size val="5"/>
            <c:spPr>
              <a:noFill/>
              <a:ln w="9525">
                <a:noFill/>
              </a:ln>
              <a:effectLst/>
            </c:spPr>
          </c:marker>
          <c:xVal>
            <c:numRef>
              <c:f>Solution!$BA$5:$BA$6</c:f>
              <c:numCache>
                <c:formatCode>0.0</c:formatCode>
                <c:ptCount val="2"/>
                <c:pt idx="0">
                  <c:v>0</c:v>
                </c:pt>
                <c:pt idx="1">
                  <c:v>0</c:v>
                </c:pt>
              </c:numCache>
            </c:numRef>
          </c:xVal>
          <c:yVal>
            <c:numRef>
              <c:f>Solution!$BB$5:$BB$6</c:f>
              <c:numCache>
                <c:formatCode>0.0</c:formatCode>
                <c:ptCount val="2"/>
                <c:pt idx="0">
                  <c:v>0</c:v>
                </c:pt>
                <c:pt idx="1">
                  <c:v>0</c:v>
                </c:pt>
              </c:numCache>
            </c:numRef>
          </c:yVal>
          <c:smooth val="1"/>
          <c:extLst>
            <c:ext xmlns:c16="http://schemas.microsoft.com/office/drawing/2014/chart" uri="{C3380CC4-5D6E-409C-BE32-E72D297353CC}">
              <c16:uniqueId val="{0000001E-F900-4243-8888-E2CCF32BDD82}"/>
            </c:ext>
          </c:extLst>
        </c:ser>
        <c:ser>
          <c:idx val="27"/>
          <c:order val="18"/>
          <c:tx>
            <c:v>Row 10 Left</c:v>
          </c:tx>
          <c:spPr>
            <a:ln w="50800" cap="rnd">
              <a:solidFill>
                <a:schemeClr val="tx1"/>
              </a:solidFill>
              <a:round/>
            </a:ln>
            <a:effectLst/>
          </c:spPr>
          <c:marker>
            <c:symbol val="circle"/>
            <c:size val="5"/>
            <c:spPr>
              <a:noFill/>
              <a:ln w="9525">
                <a:noFill/>
              </a:ln>
              <a:effectLst/>
            </c:spPr>
          </c:marker>
          <c:xVal>
            <c:numRef>
              <c:f>Solution!$AU$7:$AU$8</c:f>
              <c:numCache>
                <c:formatCode>0.0</c:formatCode>
                <c:ptCount val="2"/>
                <c:pt idx="0">
                  <c:v>0</c:v>
                </c:pt>
                <c:pt idx="1">
                  <c:v>0</c:v>
                </c:pt>
              </c:numCache>
            </c:numRef>
          </c:xVal>
          <c:yVal>
            <c:numRef>
              <c:f>Solution!$AV$7:$AV$8</c:f>
              <c:numCache>
                <c:formatCode>0.0</c:formatCode>
                <c:ptCount val="2"/>
                <c:pt idx="0">
                  <c:v>0</c:v>
                </c:pt>
                <c:pt idx="1">
                  <c:v>0</c:v>
                </c:pt>
              </c:numCache>
            </c:numRef>
          </c:yVal>
          <c:smooth val="1"/>
          <c:extLst>
            <c:ext xmlns:c16="http://schemas.microsoft.com/office/drawing/2014/chart" uri="{C3380CC4-5D6E-409C-BE32-E72D297353CC}">
              <c16:uniqueId val="{0000001F-F900-4243-8888-E2CCF32BDD82}"/>
            </c:ext>
          </c:extLst>
        </c:ser>
        <c:ser>
          <c:idx val="28"/>
          <c:order val="19"/>
          <c:tx>
            <c:v>Row 10 Right</c:v>
          </c:tx>
          <c:spPr>
            <a:ln w="50800" cap="rnd">
              <a:solidFill>
                <a:schemeClr val="tx1"/>
              </a:solidFill>
              <a:round/>
            </a:ln>
            <a:effectLst/>
          </c:spPr>
          <c:marker>
            <c:symbol val="circle"/>
            <c:size val="5"/>
            <c:spPr>
              <a:noFill/>
              <a:ln w="9525">
                <a:noFill/>
              </a:ln>
              <a:effectLst/>
            </c:spPr>
          </c:marker>
          <c:xVal>
            <c:numRef>
              <c:f>Solution!$BA$7:$BA$8</c:f>
              <c:numCache>
                <c:formatCode>0.0</c:formatCode>
                <c:ptCount val="2"/>
                <c:pt idx="0">
                  <c:v>0</c:v>
                </c:pt>
                <c:pt idx="1">
                  <c:v>0</c:v>
                </c:pt>
              </c:numCache>
            </c:numRef>
          </c:xVal>
          <c:yVal>
            <c:numRef>
              <c:f>Solution!$BB$7:$BB$8</c:f>
              <c:numCache>
                <c:formatCode>0.0</c:formatCode>
                <c:ptCount val="2"/>
                <c:pt idx="0">
                  <c:v>0</c:v>
                </c:pt>
                <c:pt idx="1">
                  <c:v>0</c:v>
                </c:pt>
              </c:numCache>
            </c:numRef>
          </c:yVal>
          <c:smooth val="1"/>
          <c:extLst>
            <c:ext xmlns:c16="http://schemas.microsoft.com/office/drawing/2014/chart" uri="{C3380CC4-5D6E-409C-BE32-E72D297353CC}">
              <c16:uniqueId val="{00000020-F900-4243-8888-E2CCF32BDD82}"/>
            </c:ext>
          </c:extLst>
        </c:ser>
        <c:ser>
          <c:idx val="29"/>
          <c:order val="20"/>
          <c:tx>
            <c:v>Row 9 Left</c:v>
          </c:tx>
          <c:spPr>
            <a:ln w="50800" cap="rnd">
              <a:solidFill>
                <a:schemeClr val="tx1"/>
              </a:solidFill>
              <a:round/>
            </a:ln>
            <a:effectLst/>
          </c:spPr>
          <c:marker>
            <c:symbol val="circle"/>
            <c:size val="5"/>
            <c:spPr>
              <a:noFill/>
              <a:ln w="9525">
                <a:noFill/>
              </a:ln>
              <a:effectLst/>
            </c:spPr>
          </c:marker>
          <c:xVal>
            <c:numRef>
              <c:f>Solution!$AU$9:$AU$10</c:f>
              <c:numCache>
                <c:formatCode>0.0</c:formatCode>
                <c:ptCount val="2"/>
                <c:pt idx="0">
                  <c:v>0</c:v>
                </c:pt>
                <c:pt idx="1">
                  <c:v>0</c:v>
                </c:pt>
              </c:numCache>
            </c:numRef>
          </c:xVal>
          <c:yVal>
            <c:numRef>
              <c:f>Solution!$AV$9:$AV$10</c:f>
              <c:numCache>
                <c:formatCode>0.0</c:formatCode>
                <c:ptCount val="2"/>
                <c:pt idx="0">
                  <c:v>0</c:v>
                </c:pt>
                <c:pt idx="1">
                  <c:v>0</c:v>
                </c:pt>
              </c:numCache>
            </c:numRef>
          </c:yVal>
          <c:smooth val="1"/>
          <c:extLst>
            <c:ext xmlns:c16="http://schemas.microsoft.com/office/drawing/2014/chart" uri="{C3380CC4-5D6E-409C-BE32-E72D297353CC}">
              <c16:uniqueId val="{00000021-F900-4243-8888-E2CCF32BDD82}"/>
            </c:ext>
          </c:extLst>
        </c:ser>
        <c:ser>
          <c:idx val="30"/>
          <c:order val="21"/>
          <c:tx>
            <c:v>Row 9 Right</c:v>
          </c:tx>
          <c:spPr>
            <a:ln w="50800" cap="rnd">
              <a:solidFill>
                <a:schemeClr val="tx1"/>
              </a:solidFill>
              <a:round/>
            </a:ln>
            <a:effectLst/>
          </c:spPr>
          <c:marker>
            <c:symbol val="circle"/>
            <c:size val="5"/>
            <c:spPr>
              <a:noFill/>
              <a:ln w="9525">
                <a:noFill/>
              </a:ln>
              <a:effectLst/>
            </c:spPr>
          </c:marker>
          <c:xVal>
            <c:numRef>
              <c:f>Solution!$BA$9:$BA$10</c:f>
              <c:numCache>
                <c:formatCode>0.0</c:formatCode>
                <c:ptCount val="2"/>
                <c:pt idx="0">
                  <c:v>0</c:v>
                </c:pt>
                <c:pt idx="1">
                  <c:v>0</c:v>
                </c:pt>
              </c:numCache>
            </c:numRef>
          </c:xVal>
          <c:yVal>
            <c:numRef>
              <c:f>Solution!$BB$9:$BB$10</c:f>
              <c:numCache>
                <c:formatCode>0.0</c:formatCode>
                <c:ptCount val="2"/>
                <c:pt idx="0">
                  <c:v>0</c:v>
                </c:pt>
                <c:pt idx="1">
                  <c:v>0</c:v>
                </c:pt>
              </c:numCache>
            </c:numRef>
          </c:yVal>
          <c:smooth val="1"/>
          <c:extLst>
            <c:ext xmlns:c16="http://schemas.microsoft.com/office/drawing/2014/chart" uri="{C3380CC4-5D6E-409C-BE32-E72D297353CC}">
              <c16:uniqueId val="{00000022-F900-4243-8888-E2CCF32BDD82}"/>
            </c:ext>
          </c:extLst>
        </c:ser>
        <c:ser>
          <c:idx val="31"/>
          <c:order val="22"/>
          <c:tx>
            <c:v>Row 8 Left</c:v>
          </c:tx>
          <c:spPr>
            <a:ln w="50800" cap="rnd">
              <a:solidFill>
                <a:schemeClr val="tx1"/>
              </a:solidFill>
              <a:round/>
            </a:ln>
            <a:effectLst/>
          </c:spPr>
          <c:marker>
            <c:symbol val="circle"/>
            <c:size val="5"/>
            <c:spPr>
              <a:noFill/>
              <a:ln w="9525">
                <a:noFill/>
              </a:ln>
              <a:effectLst/>
            </c:spPr>
          </c:marker>
          <c:xVal>
            <c:numRef>
              <c:f>Solution!$AU$11:$AU$12</c:f>
              <c:numCache>
                <c:formatCode>0.0</c:formatCode>
                <c:ptCount val="2"/>
                <c:pt idx="0">
                  <c:v>0</c:v>
                </c:pt>
                <c:pt idx="1">
                  <c:v>0</c:v>
                </c:pt>
              </c:numCache>
            </c:numRef>
          </c:xVal>
          <c:yVal>
            <c:numRef>
              <c:f>Solution!$AV$11:$AV$12</c:f>
              <c:numCache>
                <c:formatCode>0.0</c:formatCode>
                <c:ptCount val="2"/>
                <c:pt idx="0">
                  <c:v>0</c:v>
                </c:pt>
                <c:pt idx="1">
                  <c:v>0</c:v>
                </c:pt>
              </c:numCache>
            </c:numRef>
          </c:yVal>
          <c:smooth val="1"/>
          <c:extLst>
            <c:ext xmlns:c16="http://schemas.microsoft.com/office/drawing/2014/chart" uri="{C3380CC4-5D6E-409C-BE32-E72D297353CC}">
              <c16:uniqueId val="{00000023-F900-4243-8888-E2CCF32BDD82}"/>
            </c:ext>
          </c:extLst>
        </c:ser>
        <c:ser>
          <c:idx val="32"/>
          <c:order val="23"/>
          <c:tx>
            <c:v>Row 8 Right</c:v>
          </c:tx>
          <c:spPr>
            <a:ln w="50800" cap="rnd">
              <a:solidFill>
                <a:schemeClr val="tx1"/>
              </a:solidFill>
              <a:round/>
            </a:ln>
            <a:effectLst/>
          </c:spPr>
          <c:marker>
            <c:symbol val="circle"/>
            <c:size val="5"/>
            <c:spPr>
              <a:noFill/>
              <a:ln w="9525">
                <a:noFill/>
              </a:ln>
              <a:effectLst/>
            </c:spPr>
          </c:marker>
          <c:xVal>
            <c:numRef>
              <c:f>Solution!$BA$11:$BA$12</c:f>
              <c:numCache>
                <c:formatCode>0.0</c:formatCode>
                <c:ptCount val="2"/>
                <c:pt idx="0">
                  <c:v>0</c:v>
                </c:pt>
                <c:pt idx="1">
                  <c:v>0</c:v>
                </c:pt>
              </c:numCache>
            </c:numRef>
          </c:xVal>
          <c:yVal>
            <c:numRef>
              <c:f>Solution!$BB$11:$BB$12</c:f>
              <c:numCache>
                <c:formatCode>0.0</c:formatCode>
                <c:ptCount val="2"/>
                <c:pt idx="0">
                  <c:v>0</c:v>
                </c:pt>
                <c:pt idx="1">
                  <c:v>0</c:v>
                </c:pt>
              </c:numCache>
            </c:numRef>
          </c:yVal>
          <c:smooth val="1"/>
          <c:extLst>
            <c:ext xmlns:c16="http://schemas.microsoft.com/office/drawing/2014/chart" uri="{C3380CC4-5D6E-409C-BE32-E72D297353CC}">
              <c16:uniqueId val="{00000024-F900-4243-8888-E2CCF32BDD82}"/>
            </c:ext>
          </c:extLst>
        </c:ser>
        <c:ser>
          <c:idx val="33"/>
          <c:order val="24"/>
          <c:tx>
            <c:v>Row 7 Left</c:v>
          </c:tx>
          <c:spPr>
            <a:ln w="50800" cap="rnd">
              <a:solidFill>
                <a:schemeClr val="tx1"/>
              </a:solidFill>
              <a:round/>
            </a:ln>
            <a:effectLst/>
          </c:spPr>
          <c:marker>
            <c:symbol val="circle"/>
            <c:size val="5"/>
            <c:spPr>
              <a:noFill/>
              <a:ln w="9525">
                <a:noFill/>
              </a:ln>
              <a:effectLst/>
            </c:spPr>
          </c:marker>
          <c:xVal>
            <c:numRef>
              <c:f>Solution!$AU$13:$AU$14</c:f>
              <c:numCache>
                <c:formatCode>0.0</c:formatCode>
                <c:ptCount val="2"/>
                <c:pt idx="0">
                  <c:v>0</c:v>
                </c:pt>
                <c:pt idx="1">
                  <c:v>0</c:v>
                </c:pt>
              </c:numCache>
            </c:numRef>
          </c:xVal>
          <c:yVal>
            <c:numRef>
              <c:f>Solution!$AV$13:$AV$14</c:f>
              <c:numCache>
                <c:formatCode>0.0</c:formatCode>
                <c:ptCount val="2"/>
                <c:pt idx="0">
                  <c:v>0</c:v>
                </c:pt>
                <c:pt idx="1">
                  <c:v>0</c:v>
                </c:pt>
              </c:numCache>
            </c:numRef>
          </c:yVal>
          <c:smooth val="1"/>
          <c:extLst>
            <c:ext xmlns:c16="http://schemas.microsoft.com/office/drawing/2014/chart" uri="{C3380CC4-5D6E-409C-BE32-E72D297353CC}">
              <c16:uniqueId val="{00000025-F900-4243-8888-E2CCF32BDD82}"/>
            </c:ext>
          </c:extLst>
        </c:ser>
        <c:ser>
          <c:idx val="34"/>
          <c:order val="25"/>
          <c:tx>
            <c:v>Row 7 Right</c:v>
          </c:tx>
          <c:spPr>
            <a:ln w="50800" cap="rnd">
              <a:solidFill>
                <a:schemeClr val="tx1"/>
              </a:solidFill>
              <a:round/>
            </a:ln>
            <a:effectLst/>
          </c:spPr>
          <c:marker>
            <c:symbol val="circle"/>
            <c:size val="5"/>
            <c:spPr>
              <a:noFill/>
              <a:ln w="9525">
                <a:noFill/>
              </a:ln>
              <a:effectLst/>
            </c:spPr>
          </c:marker>
          <c:xVal>
            <c:numRef>
              <c:f>Solution!$BA$13:$BA$14</c:f>
              <c:numCache>
                <c:formatCode>0.0</c:formatCode>
                <c:ptCount val="2"/>
                <c:pt idx="0">
                  <c:v>0</c:v>
                </c:pt>
                <c:pt idx="1">
                  <c:v>0</c:v>
                </c:pt>
              </c:numCache>
            </c:numRef>
          </c:xVal>
          <c:yVal>
            <c:numRef>
              <c:f>Solution!$BB$13:$BB$14</c:f>
              <c:numCache>
                <c:formatCode>0.0</c:formatCode>
                <c:ptCount val="2"/>
                <c:pt idx="0">
                  <c:v>0</c:v>
                </c:pt>
                <c:pt idx="1">
                  <c:v>0</c:v>
                </c:pt>
              </c:numCache>
            </c:numRef>
          </c:yVal>
          <c:smooth val="1"/>
          <c:extLst>
            <c:ext xmlns:c16="http://schemas.microsoft.com/office/drawing/2014/chart" uri="{C3380CC4-5D6E-409C-BE32-E72D297353CC}">
              <c16:uniqueId val="{00000026-F900-4243-8888-E2CCF32BDD82}"/>
            </c:ext>
          </c:extLst>
        </c:ser>
        <c:ser>
          <c:idx val="35"/>
          <c:order val="26"/>
          <c:tx>
            <c:v>Row 6 Left</c:v>
          </c:tx>
          <c:spPr>
            <a:ln w="25400" cap="rnd">
              <a:gradFill>
                <a:gsLst>
                  <a:gs pos="0">
                    <a:srgbClr val="FF0000"/>
                  </a:gs>
                  <a:gs pos="56000">
                    <a:srgbClr val="0070C0"/>
                  </a:gs>
                  <a:gs pos="100000">
                    <a:schemeClr val="accent1">
                      <a:lumMod val="30000"/>
                      <a:lumOff val="70000"/>
                    </a:schemeClr>
                  </a:gs>
                </a:gsLst>
                <a:lin ang="5400000" scaled="1"/>
              </a:gradFill>
              <a:round/>
            </a:ln>
            <a:effectLst/>
          </c:spPr>
          <c:marker>
            <c:symbol val="circle"/>
            <c:size val="5"/>
            <c:spPr>
              <a:noFill/>
              <a:ln w="9525">
                <a:noFill/>
              </a:ln>
              <a:effectLst/>
            </c:spPr>
          </c:marker>
          <c:dPt>
            <c:idx val="1"/>
            <c:bubble3D val="0"/>
            <c:spPr>
              <a:ln w="50800" cap="rnd">
                <a:solidFill>
                  <a:schemeClr val="tx1"/>
                </a:solidFill>
                <a:round/>
              </a:ln>
              <a:effectLst/>
            </c:spPr>
            <c:extLst>
              <c:ext xmlns:c16="http://schemas.microsoft.com/office/drawing/2014/chart" uri="{C3380CC4-5D6E-409C-BE32-E72D297353CC}">
                <c16:uniqueId val="{00000028-F900-4243-8888-E2CCF32BDD82}"/>
              </c:ext>
            </c:extLst>
          </c:dPt>
          <c:xVal>
            <c:numRef>
              <c:f>Solution!$AX$3:$AX$4</c:f>
              <c:numCache>
                <c:formatCode>0.0</c:formatCode>
                <c:ptCount val="2"/>
                <c:pt idx="0">
                  <c:v>0</c:v>
                </c:pt>
                <c:pt idx="1">
                  <c:v>0</c:v>
                </c:pt>
              </c:numCache>
            </c:numRef>
          </c:xVal>
          <c:yVal>
            <c:numRef>
              <c:f>Solution!$AY$3:$AY$4</c:f>
              <c:numCache>
                <c:formatCode>0.0</c:formatCode>
                <c:ptCount val="2"/>
                <c:pt idx="0">
                  <c:v>0</c:v>
                </c:pt>
                <c:pt idx="1">
                  <c:v>0</c:v>
                </c:pt>
              </c:numCache>
            </c:numRef>
          </c:yVal>
          <c:smooth val="1"/>
          <c:extLst>
            <c:ext xmlns:c16="http://schemas.microsoft.com/office/drawing/2014/chart" uri="{C3380CC4-5D6E-409C-BE32-E72D297353CC}">
              <c16:uniqueId val="{00000029-F900-4243-8888-E2CCF32BDD82}"/>
            </c:ext>
          </c:extLst>
        </c:ser>
        <c:ser>
          <c:idx val="36"/>
          <c:order val="27"/>
          <c:tx>
            <c:v>Row 6 Right</c:v>
          </c:tx>
          <c:spPr>
            <a:ln w="50800" cap="rnd">
              <a:solidFill>
                <a:schemeClr val="tx1"/>
              </a:solidFill>
              <a:round/>
            </a:ln>
            <a:effectLst/>
          </c:spPr>
          <c:marker>
            <c:symbol val="circle"/>
            <c:size val="5"/>
            <c:spPr>
              <a:noFill/>
              <a:ln w="9525">
                <a:noFill/>
              </a:ln>
              <a:effectLst/>
            </c:spPr>
          </c:marker>
          <c:xVal>
            <c:numRef>
              <c:f>Solution!$BD$3:$BD$4</c:f>
              <c:numCache>
                <c:formatCode>0.0</c:formatCode>
                <c:ptCount val="2"/>
                <c:pt idx="0">
                  <c:v>0</c:v>
                </c:pt>
                <c:pt idx="1">
                  <c:v>0</c:v>
                </c:pt>
              </c:numCache>
            </c:numRef>
          </c:xVal>
          <c:yVal>
            <c:numRef>
              <c:f>Solution!$BE$3:$BE$4</c:f>
              <c:numCache>
                <c:formatCode>0.0</c:formatCode>
                <c:ptCount val="2"/>
                <c:pt idx="0">
                  <c:v>0</c:v>
                </c:pt>
                <c:pt idx="1">
                  <c:v>0</c:v>
                </c:pt>
              </c:numCache>
            </c:numRef>
          </c:yVal>
          <c:smooth val="1"/>
          <c:extLst>
            <c:ext xmlns:c16="http://schemas.microsoft.com/office/drawing/2014/chart" uri="{C3380CC4-5D6E-409C-BE32-E72D297353CC}">
              <c16:uniqueId val="{0000002A-F900-4243-8888-E2CCF32BDD82}"/>
            </c:ext>
          </c:extLst>
        </c:ser>
        <c:ser>
          <c:idx val="37"/>
          <c:order val="28"/>
          <c:tx>
            <c:v>Row 5 Left</c:v>
          </c:tx>
          <c:spPr>
            <a:ln w="50800" cap="rnd">
              <a:solidFill>
                <a:schemeClr val="tx1"/>
              </a:solidFill>
              <a:round/>
            </a:ln>
            <a:effectLst/>
          </c:spPr>
          <c:marker>
            <c:symbol val="circle"/>
            <c:size val="5"/>
            <c:spPr>
              <a:noFill/>
              <a:ln w="9525">
                <a:noFill/>
              </a:ln>
              <a:effectLst/>
            </c:spPr>
          </c:marker>
          <c:xVal>
            <c:numRef>
              <c:f>Solution!$AX$5:$AX$6</c:f>
              <c:numCache>
                <c:formatCode>0.0</c:formatCode>
                <c:ptCount val="2"/>
                <c:pt idx="0">
                  <c:v>0</c:v>
                </c:pt>
                <c:pt idx="1">
                  <c:v>0</c:v>
                </c:pt>
              </c:numCache>
            </c:numRef>
          </c:xVal>
          <c:yVal>
            <c:numRef>
              <c:f>Solution!$AY$5:$AY$6</c:f>
              <c:numCache>
                <c:formatCode>0.0</c:formatCode>
                <c:ptCount val="2"/>
                <c:pt idx="0">
                  <c:v>0</c:v>
                </c:pt>
                <c:pt idx="1">
                  <c:v>0</c:v>
                </c:pt>
              </c:numCache>
            </c:numRef>
          </c:yVal>
          <c:smooth val="1"/>
          <c:extLst>
            <c:ext xmlns:c16="http://schemas.microsoft.com/office/drawing/2014/chart" uri="{C3380CC4-5D6E-409C-BE32-E72D297353CC}">
              <c16:uniqueId val="{0000002B-F900-4243-8888-E2CCF32BDD82}"/>
            </c:ext>
          </c:extLst>
        </c:ser>
        <c:ser>
          <c:idx val="38"/>
          <c:order val="29"/>
          <c:tx>
            <c:v>Row 5 Right</c:v>
          </c:tx>
          <c:spPr>
            <a:ln w="50800" cap="rnd">
              <a:solidFill>
                <a:schemeClr val="tx1"/>
              </a:solidFill>
              <a:round/>
            </a:ln>
            <a:effectLst/>
          </c:spPr>
          <c:marker>
            <c:symbol val="circle"/>
            <c:size val="5"/>
            <c:spPr>
              <a:noFill/>
              <a:ln w="9525">
                <a:noFill/>
              </a:ln>
              <a:effectLst/>
            </c:spPr>
          </c:marker>
          <c:xVal>
            <c:numRef>
              <c:f>Solution!$BD$5:$BD$6</c:f>
              <c:numCache>
                <c:formatCode>0.0</c:formatCode>
                <c:ptCount val="2"/>
                <c:pt idx="0">
                  <c:v>0</c:v>
                </c:pt>
                <c:pt idx="1">
                  <c:v>0</c:v>
                </c:pt>
              </c:numCache>
            </c:numRef>
          </c:xVal>
          <c:yVal>
            <c:numRef>
              <c:f>Solution!$BE$5:$BE$6</c:f>
              <c:numCache>
                <c:formatCode>0.0</c:formatCode>
                <c:ptCount val="2"/>
                <c:pt idx="0">
                  <c:v>0</c:v>
                </c:pt>
                <c:pt idx="1">
                  <c:v>0</c:v>
                </c:pt>
              </c:numCache>
            </c:numRef>
          </c:yVal>
          <c:smooth val="1"/>
          <c:extLst>
            <c:ext xmlns:c16="http://schemas.microsoft.com/office/drawing/2014/chart" uri="{C3380CC4-5D6E-409C-BE32-E72D297353CC}">
              <c16:uniqueId val="{0000002C-F900-4243-8888-E2CCF32BDD82}"/>
            </c:ext>
          </c:extLst>
        </c:ser>
        <c:ser>
          <c:idx val="39"/>
          <c:order val="30"/>
          <c:tx>
            <c:v>Row 4 Left</c:v>
          </c:tx>
          <c:spPr>
            <a:ln w="50800" cap="rnd">
              <a:solidFill>
                <a:schemeClr val="tx1"/>
              </a:solidFill>
              <a:round/>
            </a:ln>
            <a:effectLst/>
          </c:spPr>
          <c:marker>
            <c:symbol val="circle"/>
            <c:size val="5"/>
            <c:spPr>
              <a:noFill/>
              <a:ln w="9525">
                <a:noFill/>
              </a:ln>
              <a:effectLst/>
            </c:spPr>
          </c:marker>
          <c:xVal>
            <c:numRef>
              <c:f>Solution!$AX$7:$AX$8</c:f>
              <c:numCache>
                <c:formatCode>0.0</c:formatCode>
                <c:ptCount val="2"/>
                <c:pt idx="0">
                  <c:v>0</c:v>
                </c:pt>
                <c:pt idx="1">
                  <c:v>0</c:v>
                </c:pt>
              </c:numCache>
            </c:numRef>
          </c:xVal>
          <c:yVal>
            <c:numRef>
              <c:f>Solution!$AY$7:$AY$8</c:f>
              <c:numCache>
                <c:formatCode>0.0</c:formatCode>
                <c:ptCount val="2"/>
                <c:pt idx="0">
                  <c:v>0</c:v>
                </c:pt>
                <c:pt idx="1">
                  <c:v>0</c:v>
                </c:pt>
              </c:numCache>
            </c:numRef>
          </c:yVal>
          <c:smooth val="1"/>
          <c:extLst>
            <c:ext xmlns:c16="http://schemas.microsoft.com/office/drawing/2014/chart" uri="{C3380CC4-5D6E-409C-BE32-E72D297353CC}">
              <c16:uniqueId val="{0000002D-F900-4243-8888-E2CCF32BDD82}"/>
            </c:ext>
          </c:extLst>
        </c:ser>
        <c:ser>
          <c:idx val="40"/>
          <c:order val="31"/>
          <c:tx>
            <c:v>Row 4 Right</c:v>
          </c:tx>
          <c:spPr>
            <a:ln w="50800" cap="rnd">
              <a:solidFill>
                <a:schemeClr val="tx1"/>
              </a:solidFill>
              <a:round/>
            </a:ln>
            <a:effectLst/>
          </c:spPr>
          <c:marker>
            <c:symbol val="circle"/>
            <c:size val="5"/>
            <c:spPr>
              <a:noFill/>
              <a:ln w="9525">
                <a:noFill/>
              </a:ln>
              <a:effectLst/>
            </c:spPr>
          </c:marker>
          <c:xVal>
            <c:numRef>
              <c:f>Solution!$BD$7:$BD$8</c:f>
              <c:numCache>
                <c:formatCode>0.0</c:formatCode>
                <c:ptCount val="2"/>
                <c:pt idx="0">
                  <c:v>0</c:v>
                </c:pt>
                <c:pt idx="1">
                  <c:v>0</c:v>
                </c:pt>
              </c:numCache>
            </c:numRef>
          </c:xVal>
          <c:yVal>
            <c:numRef>
              <c:f>Solution!$BE$7:$BE$8</c:f>
              <c:numCache>
                <c:formatCode>0.0</c:formatCode>
                <c:ptCount val="2"/>
                <c:pt idx="0">
                  <c:v>0</c:v>
                </c:pt>
                <c:pt idx="1">
                  <c:v>0</c:v>
                </c:pt>
              </c:numCache>
            </c:numRef>
          </c:yVal>
          <c:smooth val="1"/>
          <c:extLst>
            <c:ext xmlns:c16="http://schemas.microsoft.com/office/drawing/2014/chart" uri="{C3380CC4-5D6E-409C-BE32-E72D297353CC}">
              <c16:uniqueId val="{0000002E-F900-4243-8888-E2CCF32BDD82}"/>
            </c:ext>
          </c:extLst>
        </c:ser>
        <c:ser>
          <c:idx val="41"/>
          <c:order val="32"/>
          <c:tx>
            <c:v>Row 3 Left</c:v>
          </c:tx>
          <c:spPr>
            <a:ln w="50800" cap="rnd">
              <a:solidFill>
                <a:schemeClr val="tx1"/>
              </a:solidFill>
              <a:round/>
            </a:ln>
            <a:effectLst/>
          </c:spPr>
          <c:marker>
            <c:symbol val="circle"/>
            <c:size val="5"/>
            <c:spPr>
              <a:noFill/>
              <a:ln w="9525">
                <a:noFill/>
              </a:ln>
              <a:effectLst/>
            </c:spPr>
          </c:marker>
          <c:xVal>
            <c:numRef>
              <c:f>Solution!$AX$9:$AX$10</c:f>
              <c:numCache>
                <c:formatCode>0.0</c:formatCode>
                <c:ptCount val="2"/>
                <c:pt idx="0">
                  <c:v>3.4289999999999998</c:v>
                </c:pt>
                <c:pt idx="1">
                  <c:v>7.2389999999999999</c:v>
                </c:pt>
              </c:numCache>
            </c:numRef>
          </c:xVal>
          <c:yVal>
            <c:numRef>
              <c:f>Solution!$AY$9:$AY$10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2F-F900-4243-8888-E2CCF32BDD82}"/>
            </c:ext>
          </c:extLst>
        </c:ser>
        <c:ser>
          <c:idx val="42"/>
          <c:order val="33"/>
          <c:tx>
            <c:v>Row 3 Right</c:v>
          </c:tx>
          <c:spPr>
            <a:ln w="50800" cap="rnd">
              <a:solidFill>
                <a:schemeClr val="tx1"/>
              </a:solidFill>
              <a:round/>
            </a:ln>
            <a:effectLst/>
          </c:spPr>
          <c:marker>
            <c:symbol val="circle"/>
            <c:size val="5"/>
            <c:spPr>
              <a:noFill/>
              <a:ln w="9525">
                <a:noFill/>
              </a:ln>
              <a:effectLst/>
            </c:spPr>
          </c:marker>
          <c:xVal>
            <c:numRef>
              <c:f>Solution!$BD$9:$BD$10</c:f>
              <c:numCache>
                <c:formatCode>0.0</c:formatCode>
                <c:ptCount val="2"/>
                <c:pt idx="0">
                  <c:v>-3.4289999999999998</c:v>
                </c:pt>
                <c:pt idx="1">
                  <c:v>-7.2389999999999999</c:v>
                </c:pt>
              </c:numCache>
            </c:numRef>
          </c:xVal>
          <c:yVal>
            <c:numRef>
              <c:f>Solution!$BE$9:$BE$10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30-F900-4243-8888-E2CCF32BDD82}"/>
            </c:ext>
          </c:extLst>
        </c:ser>
        <c:ser>
          <c:idx val="43"/>
          <c:order val="34"/>
          <c:tx>
            <c:v>Row 2 Left</c:v>
          </c:tx>
          <c:spPr>
            <a:ln w="50800" cap="rnd">
              <a:solidFill>
                <a:schemeClr val="tx1"/>
              </a:solidFill>
              <a:round/>
            </a:ln>
            <a:effectLst/>
          </c:spPr>
          <c:marker>
            <c:symbol val="circle"/>
            <c:size val="5"/>
            <c:spPr>
              <a:noFill/>
              <a:ln w="9525">
                <a:noFill/>
              </a:ln>
              <a:effectLst/>
            </c:spPr>
          </c:marker>
          <c:xVal>
            <c:numRef>
              <c:f>Solution!$AX$11:$AX$12</c:f>
              <c:numCache>
                <c:formatCode>0.0</c:formatCode>
                <c:ptCount val="2"/>
                <c:pt idx="0">
                  <c:v>2.9209999999999998</c:v>
                </c:pt>
                <c:pt idx="1">
                  <c:v>6.7309999999999999</c:v>
                </c:pt>
              </c:numCache>
            </c:numRef>
          </c:xVal>
          <c:yVal>
            <c:numRef>
              <c:f>Solution!$AY$11:$AY$12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1-F900-4243-8888-E2CCF32BDD82}"/>
            </c:ext>
          </c:extLst>
        </c:ser>
        <c:ser>
          <c:idx val="44"/>
          <c:order val="35"/>
          <c:tx>
            <c:v>Row 2 Right</c:v>
          </c:tx>
          <c:spPr>
            <a:ln w="50800" cap="rnd">
              <a:solidFill>
                <a:schemeClr val="tx1"/>
              </a:solidFill>
              <a:round/>
            </a:ln>
            <a:effectLst/>
          </c:spPr>
          <c:marker>
            <c:symbol val="circle"/>
            <c:size val="5"/>
            <c:spPr>
              <a:noFill/>
              <a:ln w="9525">
                <a:noFill/>
              </a:ln>
              <a:effectLst/>
            </c:spPr>
          </c:marker>
          <c:xVal>
            <c:numRef>
              <c:f>Solution!$BD$11:$BD$12</c:f>
              <c:numCache>
                <c:formatCode>0.0</c:formatCode>
                <c:ptCount val="2"/>
                <c:pt idx="0">
                  <c:v>-2.9209999999999998</c:v>
                </c:pt>
                <c:pt idx="1">
                  <c:v>-6.7309999999999999</c:v>
                </c:pt>
              </c:numCache>
            </c:numRef>
          </c:xVal>
          <c:yVal>
            <c:numRef>
              <c:f>Solution!$BE$11:$BE$12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2-F900-4243-8888-E2CCF32BDD82}"/>
            </c:ext>
          </c:extLst>
        </c:ser>
        <c:ser>
          <c:idx val="45"/>
          <c:order val="36"/>
          <c:tx>
            <c:v>Row 1 Left</c:v>
          </c:tx>
          <c:spPr>
            <a:ln w="50800" cap="rnd">
              <a:solidFill>
                <a:schemeClr val="tx1"/>
              </a:solidFill>
              <a:round/>
            </a:ln>
            <a:effectLst/>
          </c:spPr>
          <c:marker>
            <c:symbol val="circle"/>
            <c:size val="5"/>
            <c:spPr>
              <a:noFill/>
              <a:ln w="9525">
                <a:noFill/>
              </a:ln>
              <a:effectLst/>
            </c:spPr>
          </c:marker>
          <c:xVal>
            <c:numRef>
              <c:f>Solution!$AX$13:$AX$14</c:f>
              <c:numCache>
                <c:formatCode>0.0</c:formatCode>
                <c:ptCount val="2"/>
                <c:pt idx="0">
                  <c:v>2.4129999999999998</c:v>
                </c:pt>
                <c:pt idx="1">
                  <c:v>6.2229999999999999</c:v>
                </c:pt>
              </c:numCache>
            </c:numRef>
          </c:xVal>
          <c:yVal>
            <c:numRef>
              <c:f>Solution!$AY$13:$AY$14</c:f>
              <c:numCache>
                <c:formatCode>0.0</c:formatCode>
                <c:ptCount val="2"/>
                <c:pt idx="0">
                  <c:v>23.59</c:v>
                </c:pt>
                <c:pt idx="1">
                  <c:v>23.59</c:v>
                </c:pt>
              </c:numCache>
            </c:numRef>
          </c:yVal>
          <c:smooth val="1"/>
          <c:extLst>
            <c:ext xmlns:c16="http://schemas.microsoft.com/office/drawing/2014/chart" uri="{C3380CC4-5D6E-409C-BE32-E72D297353CC}">
              <c16:uniqueId val="{00000033-F900-4243-8888-E2CCF32BDD82}"/>
            </c:ext>
          </c:extLst>
        </c:ser>
        <c:ser>
          <c:idx val="46"/>
          <c:order val="37"/>
          <c:tx>
            <c:v>Row 1 Right</c:v>
          </c:tx>
          <c:spPr>
            <a:ln w="50800" cap="rnd">
              <a:solidFill>
                <a:schemeClr val="tx1"/>
              </a:solidFill>
              <a:round/>
            </a:ln>
            <a:effectLst/>
          </c:spPr>
          <c:marker>
            <c:symbol val="circle"/>
            <c:size val="5"/>
            <c:spPr>
              <a:noFill/>
              <a:ln w="9525">
                <a:noFill/>
              </a:ln>
              <a:effectLst/>
            </c:spPr>
          </c:marker>
          <c:xVal>
            <c:numRef>
              <c:f>Solution!$BD$13:$BD$14</c:f>
              <c:numCache>
                <c:formatCode>0.0</c:formatCode>
                <c:ptCount val="2"/>
                <c:pt idx="0">
                  <c:v>-2.4129999999999998</c:v>
                </c:pt>
                <c:pt idx="1">
                  <c:v>-6.2229999999999999</c:v>
                </c:pt>
              </c:numCache>
            </c:numRef>
          </c:xVal>
          <c:yVal>
            <c:numRef>
              <c:f>Solution!$BE$13:$BE$14</c:f>
              <c:numCache>
                <c:formatCode>0.0</c:formatCode>
                <c:ptCount val="2"/>
                <c:pt idx="0">
                  <c:v>23.59</c:v>
                </c:pt>
                <c:pt idx="1">
                  <c:v>23.59</c:v>
                </c:pt>
              </c:numCache>
            </c:numRef>
          </c:yVal>
          <c:smooth val="1"/>
          <c:extLst>
            <c:ext xmlns:c16="http://schemas.microsoft.com/office/drawing/2014/chart" uri="{C3380CC4-5D6E-409C-BE32-E72D297353CC}">
              <c16:uniqueId val="{00000034-F900-4243-8888-E2CCF32BDD82}"/>
            </c:ext>
          </c:extLst>
        </c:ser>
        <c:ser>
          <c:idx val="47"/>
          <c:order val="38"/>
          <c:tx>
            <c:v>Crotch 1</c:v>
          </c:tx>
          <c:spPr>
            <a:ln w="50800" cap="rnd">
              <a:solidFill>
                <a:schemeClr val="tx1"/>
              </a:solidFill>
              <a:round/>
            </a:ln>
            <a:effectLst/>
          </c:spPr>
          <c:marker>
            <c:symbol val="circle"/>
            <c:size val="5"/>
            <c:spPr>
              <a:noFill/>
              <a:ln w="9525">
                <a:noFill/>
              </a:ln>
              <a:effectLst/>
            </c:spPr>
          </c:marker>
          <c:xVal>
            <c:numRef>
              <c:f>Solution!$BA$26:$BA$27</c:f>
              <c:numCache>
                <c:formatCode>General</c:formatCode>
                <c:ptCount val="2"/>
                <c:pt idx="0">
                  <c:v>-1.9</c:v>
                </c:pt>
                <c:pt idx="1">
                  <c:v>1.9</c:v>
                </c:pt>
              </c:numCache>
            </c:numRef>
          </c:xVal>
          <c:yVal>
            <c:numRef>
              <c:f>Solution!$BB$26:$BB$27</c:f>
              <c:numCache>
                <c:formatCode>0.0</c:formatCode>
                <c:ptCount val="2"/>
                <c:pt idx="0">
                  <c:v>-13.641839999999998</c:v>
                </c:pt>
                <c:pt idx="1">
                  <c:v>-13.641839999999998</c:v>
                </c:pt>
              </c:numCache>
            </c:numRef>
          </c:yVal>
          <c:smooth val="1"/>
          <c:extLst>
            <c:ext xmlns:c16="http://schemas.microsoft.com/office/drawing/2014/chart" uri="{C3380CC4-5D6E-409C-BE32-E72D297353CC}">
              <c16:uniqueId val="{00000035-F900-4243-8888-E2CCF32BDD82}"/>
            </c:ext>
          </c:extLst>
        </c:ser>
        <c:ser>
          <c:idx val="48"/>
          <c:order val="39"/>
          <c:tx>
            <c:v>Crotch 2</c:v>
          </c:tx>
          <c:spPr>
            <a:ln w="47625" cap="rnd">
              <a:solidFill>
                <a:schemeClr val="tx1"/>
              </a:solidFill>
              <a:round/>
            </a:ln>
            <a:effectLst/>
          </c:spPr>
          <c:marker>
            <c:symbol val="circle"/>
            <c:size val="5"/>
            <c:spPr>
              <a:noFill/>
              <a:ln w="9525">
                <a:noFill/>
              </a:ln>
              <a:effectLst/>
            </c:spPr>
          </c:marker>
          <c:xVal>
            <c:numRef>
              <c:f>Solution!$BA$28:$BA$29</c:f>
              <c:numCache>
                <c:formatCode>General</c:formatCode>
                <c:ptCount val="2"/>
                <c:pt idx="0">
                  <c:v>0</c:v>
                </c:pt>
                <c:pt idx="1">
                  <c:v>0</c:v>
                </c:pt>
              </c:numCache>
            </c:numRef>
          </c:xVal>
          <c:yVal>
            <c:numRef>
              <c:f>Solution!$BB$28:$BB$29</c:f>
              <c:numCache>
                <c:formatCode>0.0</c:formatCode>
                <c:ptCount val="2"/>
                <c:pt idx="0">
                  <c:v>0</c:v>
                </c:pt>
                <c:pt idx="1">
                  <c:v>0</c:v>
                </c:pt>
              </c:numCache>
            </c:numRef>
          </c:yVal>
          <c:smooth val="1"/>
          <c:extLst>
            <c:ext xmlns:c16="http://schemas.microsoft.com/office/drawing/2014/chart" uri="{C3380CC4-5D6E-409C-BE32-E72D297353CC}">
              <c16:uniqueId val="{00000036-F900-4243-8888-E2CCF32BDD82}"/>
            </c:ext>
          </c:extLst>
        </c:ser>
        <c:ser>
          <c:idx val="49"/>
          <c:order val="40"/>
          <c:tx>
            <c:v>Crotch 3</c:v>
          </c:tx>
          <c:spPr>
            <a:ln w="50800" cap="rnd">
              <a:solidFill>
                <a:schemeClr val="tx1"/>
              </a:solidFill>
              <a:round/>
            </a:ln>
            <a:effectLst/>
          </c:spPr>
          <c:marker>
            <c:symbol val="circle"/>
            <c:size val="5"/>
            <c:spPr>
              <a:noFill/>
              <a:ln w="9525">
                <a:noFill/>
              </a:ln>
              <a:effectLst/>
            </c:spPr>
          </c:marker>
          <c:xVal>
            <c:numRef>
              <c:f>Solution!$BA$30:$BA$31</c:f>
              <c:numCache>
                <c:formatCode>General</c:formatCode>
                <c:ptCount val="2"/>
                <c:pt idx="0">
                  <c:v>0</c:v>
                </c:pt>
                <c:pt idx="1">
                  <c:v>0</c:v>
                </c:pt>
              </c:numCache>
            </c:numRef>
          </c:xVal>
          <c:yVal>
            <c:numRef>
              <c:f>Solution!$BB$30:$BB$31</c:f>
              <c:numCache>
                <c:formatCode>0.0</c:formatCode>
                <c:ptCount val="2"/>
                <c:pt idx="0">
                  <c:v>0</c:v>
                </c:pt>
                <c:pt idx="1">
                  <c:v>0</c:v>
                </c:pt>
              </c:numCache>
            </c:numRef>
          </c:yVal>
          <c:smooth val="1"/>
          <c:extLst>
            <c:ext xmlns:c16="http://schemas.microsoft.com/office/drawing/2014/chart" uri="{C3380CC4-5D6E-409C-BE32-E72D297353CC}">
              <c16:uniqueId val="{00000037-F900-4243-8888-E2CCF32BDD82}"/>
            </c:ext>
          </c:extLst>
        </c:ser>
        <c:ser>
          <c:idx val="50"/>
          <c:order val="41"/>
          <c:tx>
            <c:v>Crotch 4</c:v>
          </c:tx>
          <c:spPr>
            <a:ln w="50800" cap="rnd">
              <a:solidFill>
                <a:schemeClr val="tx1"/>
              </a:solidFill>
              <a:round/>
            </a:ln>
            <a:effectLst/>
          </c:spPr>
          <c:marker>
            <c:symbol val="circle"/>
            <c:size val="5"/>
            <c:spPr>
              <a:noFill/>
              <a:ln w="9525">
                <a:noFill/>
              </a:ln>
              <a:effectLst/>
            </c:spPr>
          </c:marker>
          <c:xVal>
            <c:numRef>
              <c:f>Solution!$BA$32:$BA$33</c:f>
              <c:numCache>
                <c:formatCode>General</c:formatCode>
                <c:ptCount val="2"/>
                <c:pt idx="0">
                  <c:v>0</c:v>
                </c:pt>
                <c:pt idx="1">
                  <c:v>0</c:v>
                </c:pt>
              </c:numCache>
            </c:numRef>
          </c:xVal>
          <c:yVal>
            <c:numRef>
              <c:f>Solution!$BB$32:$BB$33</c:f>
              <c:numCache>
                <c:formatCode>0.0</c:formatCode>
                <c:ptCount val="2"/>
                <c:pt idx="0">
                  <c:v>0</c:v>
                </c:pt>
                <c:pt idx="1">
                  <c:v>0</c:v>
                </c:pt>
              </c:numCache>
            </c:numRef>
          </c:yVal>
          <c:smooth val="1"/>
          <c:extLst>
            <c:ext xmlns:c16="http://schemas.microsoft.com/office/drawing/2014/chart" uri="{C3380CC4-5D6E-409C-BE32-E72D297353CC}">
              <c16:uniqueId val="{00000038-F900-4243-8888-E2CCF32BDD82}"/>
            </c:ext>
          </c:extLst>
        </c:ser>
        <c:ser>
          <c:idx val="51"/>
          <c:order val="42"/>
          <c:tx>
            <c:v>Hip Slot 1 Left</c:v>
          </c:tx>
          <c:spPr>
            <a:ln w="50800" cap="rnd">
              <a:solidFill>
                <a:schemeClr val="tx1"/>
              </a:solidFill>
              <a:round/>
            </a:ln>
            <a:effectLst/>
          </c:spPr>
          <c:marker>
            <c:symbol val="circle"/>
            <c:size val="5"/>
            <c:spPr>
              <a:noFill/>
              <a:ln w="9525">
                <a:noFill/>
              </a:ln>
              <a:effectLst/>
            </c:spPr>
          </c:marker>
          <c:xVal>
            <c:numRef>
              <c:f>Solution!$BA$36:$BA$37</c:f>
              <c:numCache>
                <c:formatCode>0.0</c:formatCode>
                <c:ptCount val="2"/>
                <c:pt idx="0">
                  <c:v>-6.7309999999999999</c:v>
                </c:pt>
                <c:pt idx="1">
                  <c:v>-6.7309999999999999</c:v>
                </c:pt>
              </c:numCache>
            </c:numRef>
          </c:xVal>
          <c:yVal>
            <c:numRef>
              <c:f>Solution!$BB$36:$BB$37</c:f>
              <c:numCache>
                <c:formatCode>0.0</c:formatCode>
                <c:ptCount val="2"/>
                <c:pt idx="0">
                  <c:v>0</c:v>
                </c:pt>
                <c:pt idx="1">
                  <c:v>-3.8</c:v>
                </c:pt>
              </c:numCache>
            </c:numRef>
          </c:yVal>
          <c:smooth val="1"/>
          <c:extLst>
            <c:ext xmlns:c16="http://schemas.microsoft.com/office/drawing/2014/chart" uri="{C3380CC4-5D6E-409C-BE32-E72D297353CC}">
              <c16:uniqueId val="{00000039-F900-4243-8888-E2CCF32BDD82}"/>
            </c:ext>
          </c:extLst>
        </c:ser>
        <c:ser>
          <c:idx val="52"/>
          <c:order val="43"/>
          <c:tx>
            <c:v>Hip Slot 1 Right</c:v>
          </c:tx>
          <c:spPr>
            <a:ln w="50800" cap="rnd">
              <a:solidFill>
                <a:schemeClr val="tx1"/>
              </a:solidFill>
              <a:round/>
            </a:ln>
            <a:effectLst/>
          </c:spPr>
          <c:marker>
            <c:symbol val="circle"/>
            <c:size val="5"/>
            <c:spPr>
              <a:noFill/>
              <a:ln w="9525">
                <a:noFill/>
              </a:ln>
              <a:effectLst/>
            </c:spPr>
          </c:marker>
          <c:xVal>
            <c:numRef>
              <c:f>Solution!$BD$36:$BD$37</c:f>
              <c:numCache>
                <c:formatCode>0.0</c:formatCode>
                <c:ptCount val="2"/>
                <c:pt idx="0">
                  <c:v>6.7309999999999999</c:v>
                </c:pt>
                <c:pt idx="1">
                  <c:v>6.7309999999999999</c:v>
                </c:pt>
              </c:numCache>
            </c:numRef>
          </c:xVal>
          <c:yVal>
            <c:numRef>
              <c:f>Solution!$BE$36:$BE$37</c:f>
              <c:numCache>
                <c:formatCode>0.0</c:formatCode>
                <c:ptCount val="2"/>
                <c:pt idx="0">
                  <c:v>0</c:v>
                </c:pt>
                <c:pt idx="1">
                  <c:v>-3.8</c:v>
                </c:pt>
              </c:numCache>
            </c:numRef>
          </c:yVal>
          <c:smooth val="1"/>
          <c:extLst>
            <c:ext xmlns:c16="http://schemas.microsoft.com/office/drawing/2014/chart" uri="{C3380CC4-5D6E-409C-BE32-E72D297353CC}">
              <c16:uniqueId val="{0000003A-F900-4243-8888-E2CCF32BDD82}"/>
            </c:ext>
          </c:extLst>
        </c:ser>
        <c:ser>
          <c:idx val="53"/>
          <c:order val="44"/>
          <c:tx>
            <c:v>Hip Slot 2 Left</c:v>
          </c:tx>
          <c:spPr>
            <a:ln w="50800" cap="rnd">
              <a:solidFill>
                <a:schemeClr val="tx1"/>
              </a:solidFill>
              <a:round/>
            </a:ln>
            <a:effectLst/>
          </c:spPr>
          <c:marker>
            <c:symbol val="circle"/>
            <c:size val="5"/>
            <c:spPr>
              <a:noFill/>
              <a:ln w="9525">
                <a:noFill/>
              </a:ln>
              <a:effectLst/>
            </c:spPr>
          </c:marker>
          <c:xVal>
            <c:numRef>
              <c:f>Solution!$BA$38:$BA$39</c:f>
              <c:numCache>
                <c:formatCode>0.0</c:formatCode>
                <c:ptCount val="2"/>
                <c:pt idx="0">
                  <c:v>0</c:v>
                </c:pt>
                <c:pt idx="1">
                  <c:v>0</c:v>
                </c:pt>
              </c:numCache>
            </c:numRef>
          </c:xVal>
          <c:yVal>
            <c:numRef>
              <c:f>Solution!$BB$38:$BB$39</c:f>
              <c:numCache>
                <c:formatCode>0.0</c:formatCode>
                <c:ptCount val="2"/>
                <c:pt idx="0">
                  <c:v>0</c:v>
                </c:pt>
                <c:pt idx="1">
                  <c:v>0</c:v>
                </c:pt>
              </c:numCache>
            </c:numRef>
          </c:yVal>
          <c:smooth val="1"/>
          <c:extLst>
            <c:ext xmlns:c16="http://schemas.microsoft.com/office/drawing/2014/chart" uri="{C3380CC4-5D6E-409C-BE32-E72D297353CC}">
              <c16:uniqueId val="{0000003B-F900-4243-8888-E2CCF32BDD82}"/>
            </c:ext>
          </c:extLst>
        </c:ser>
        <c:ser>
          <c:idx val="54"/>
          <c:order val="45"/>
          <c:tx>
            <c:v>Hip Slot 2 Right</c:v>
          </c:tx>
          <c:spPr>
            <a:ln w="50800" cap="rnd">
              <a:solidFill>
                <a:schemeClr val="tx1"/>
              </a:solidFill>
              <a:round/>
            </a:ln>
            <a:effectLst/>
          </c:spPr>
          <c:marker>
            <c:symbol val="circle"/>
            <c:size val="5"/>
            <c:spPr>
              <a:noFill/>
              <a:ln w="9525">
                <a:noFill/>
              </a:ln>
              <a:effectLst/>
            </c:spPr>
          </c:marker>
          <c:xVal>
            <c:numRef>
              <c:f>Solution!$BD$38:$BD$39</c:f>
              <c:numCache>
                <c:formatCode>0.0</c:formatCode>
                <c:ptCount val="2"/>
                <c:pt idx="0">
                  <c:v>0</c:v>
                </c:pt>
                <c:pt idx="1">
                  <c:v>0</c:v>
                </c:pt>
              </c:numCache>
            </c:numRef>
          </c:xVal>
          <c:yVal>
            <c:numRef>
              <c:f>Solution!$BE$38:$BE$39</c:f>
              <c:numCache>
                <c:formatCode>0.0</c:formatCode>
                <c:ptCount val="2"/>
                <c:pt idx="0">
                  <c:v>0</c:v>
                </c:pt>
                <c:pt idx="1">
                  <c:v>0</c:v>
                </c:pt>
              </c:numCache>
            </c:numRef>
          </c:yVal>
          <c:smooth val="1"/>
          <c:extLst>
            <c:ext xmlns:c16="http://schemas.microsoft.com/office/drawing/2014/chart" uri="{C3380CC4-5D6E-409C-BE32-E72D297353CC}">
              <c16:uniqueId val="{0000003C-F900-4243-8888-E2CCF32BDD82}"/>
            </c:ext>
          </c:extLst>
        </c:ser>
        <c:ser>
          <c:idx val="55"/>
          <c:order val="46"/>
          <c:tx>
            <c:v>Hip Slot 3 Left</c:v>
          </c:tx>
          <c:spPr>
            <a:ln w="50800" cap="rnd">
              <a:solidFill>
                <a:schemeClr val="tx1"/>
              </a:solidFill>
              <a:round/>
            </a:ln>
            <a:effectLst/>
          </c:spPr>
          <c:marker>
            <c:symbol val="circle"/>
            <c:size val="5"/>
            <c:spPr>
              <a:noFill/>
              <a:ln w="9525">
                <a:noFill/>
              </a:ln>
              <a:effectLst/>
            </c:spPr>
          </c:marker>
          <c:xVal>
            <c:numRef>
              <c:f>Solution!$BA$40:$BA$41</c:f>
              <c:numCache>
                <c:formatCode>0.0</c:formatCode>
                <c:ptCount val="2"/>
                <c:pt idx="0">
                  <c:v>0</c:v>
                </c:pt>
                <c:pt idx="1">
                  <c:v>0</c:v>
                </c:pt>
              </c:numCache>
            </c:numRef>
          </c:xVal>
          <c:yVal>
            <c:numRef>
              <c:f>Solution!$BB$40:$BB$41</c:f>
              <c:numCache>
                <c:formatCode>0.0</c:formatCode>
                <c:ptCount val="2"/>
                <c:pt idx="0">
                  <c:v>0</c:v>
                </c:pt>
                <c:pt idx="1">
                  <c:v>0</c:v>
                </c:pt>
              </c:numCache>
            </c:numRef>
          </c:yVal>
          <c:smooth val="1"/>
          <c:extLst>
            <c:ext xmlns:c16="http://schemas.microsoft.com/office/drawing/2014/chart" uri="{C3380CC4-5D6E-409C-BE32-E72D297353CC}">
              <c16:uniqueId val="{0000003D-F900-4243-8888-E2CCF32BDD82}"/>
            </c:ext>
          </c:extLst>
        </c:ser>
        <c:ser>
          <c:idx val="56"/>
          <c:order val="47"/>
          <c:tx>
            <c:v>Hip Slot 3 Right</c:v>
          </c:tx>
          <c:spPr>
            <a:ln w="50800" cap="rnd">
              <a:solidFill>
                <a:schemeClr val="tx1"/>
              </a:solidFill>
              <a:round/>
            </a:ln>
            <a:effectLst/>
          </c:spPr>
          <c:marker>
            <c:symbol val="circle"/>
            <c:size val="5"/>
            <c:spPr>
              <a:noFill/>
              <a:ln w="9525">
                <a:noFill/>
              </a:ln>
              <a:effectLst/>
            </c:spPr>
          </c:marker>
          <c:xVal>
            <c:numRef>
              <c:f>Solution!$BD$40:$BD$41</c:f>
              <c:numCache>
                <c:formatCode>0.0</c:formatCode>
                <c:ptCount val="2"/>
                <c:pt idx="0">
                  <c:v>0</c:v>
                </c:pt>
                <c:pt idx="1">
                  <c:v>0</c:v>
                </c:pt>
              </c:numCache>
            </c:numRef>
          </c:xVal>
          <c:yVal>
            <c:numRef>
              <c:f>Solution!$BE$40:$BE$41</c:f>
              <c:numCache>
                <c:formatCode>0.0</c:formatCode>
                <c:ptCount val="2"/>
                <c:pt idx="0">
                  <c:v>0</c:v>
                </c:pt>
                <c:pt idx="1">
                  <c:v>0</c:v>
                </c:pt>
              </c:numCache>
            </c:numRef>
          </c:yVal>
          <c:smooth val="1"/>
          <c:extLst>
            <c:ext xmlns:c16="http://schemas.microsoft.com/office/drawing/2014/chart" uri="{C3380CC4-5D6E-409C-BE32-E72D297353CC}">
              <c16:uniqueId val="{0000003E-F900-4243-8888-E2CCF32BDD82}"/>
            </c:ext>
          </c:extLst>
        </c:ser>
        <c:ser>
          <c:idx val="69"/>
          <c:order val="48"/>
          <c:tx>
            <c:v>Hip Slot 4 Left</c:v>
          </c:tx>
          <c:spPr>
            <a:ln w="50800" cap="rnd">
              <a:solidFill>
                <a:schemeClr val="tx1"/>
              </a:solidFill>
              <a:round/>
            </a:ln>
            <a:effectLst/>
          </c:spPr>
          <c:marker>
            <c:symbol val="circle"/>
            <c:size val="5"/>
            <c:spPr>
              <a:noFill/>
              <a:ln w="9525">
                <a:noFill/>
              </a:ln>
              <a:effectLst/>
            </c:spPr>
          </c:marker>
          <c:xVal>
            <c:numRef>
              <c:f>Solution!$BD$42:$BD$43</c:f>
              <c:numCache>
                <c:formatCode>0.0</c:formatCode>
                <c:ptCount val="2"/>
                <c:pt idx="0">
                  <c:v>0</c:v>
                </c:pt>
                <c:pt idx="1">
                  <c:v>0</c:v>
                </c:pt>
              </c:numCache>
            </c:numRef>
          </c:xVal>
          <c:yVal>
            <c:numRef>
              <c:f>Solution!$BE$42:$BE$43</c:f>
              <c:numCache>
                <c:formatCode>0.0</c:formatCode>
                <c:ptCount val="2"/>
                <c:pt idx="0">
                  <c:v>0</c:v>
                </c:pt>
                <c:pt idx="1">
                  <c:v>0</c:v>
                </c:pt>
              </c:numCache>
            </c:numRef>
          </c:yVal>
          <c:smooth val="1"/>
          <c:extLst>
            <c:ext xmlns:c16="http://schemas.microsoft.com/office/drawing/2014/chart" uri="{C3380CC4-5D6E-409C-BE32-E72D297353CC}">
              <c16:uniqueId val="{0000003F-F900-4243-8888-E2CCF32BDD82}"/>
            </c:ext>
          </c:extLst>
        </c:ser>
        <c:ser>
          <c:idx val="70"/>
          <c:order val="49"/>
          <c:tx>
            <c:v>Hip Slot 4 Right</c:v>
          </c:tx>
          <c:spPr>
            <a:ln w="47625" cap="rnd">
              <a:solidFill>
                <a:schemeClr val="tx1"/>
              </a:solidFill>
              <a:round/>
            </a:ln>
            <a:effectLst/>
          </c:spPr>
          <c:marker>
            <c:symbol val="circle"/>
            <c:size val="5"/>
            <c:spPr>
              <a:noFill/>
              <a:ln w="9525">
                <a:noFill/>
              </a:ln>
              <a:effectLst/>
            </c:spPr>
          </c:marker>
          <c:xVal>
            <c:numRef>
              <c:f>Solution!$BA$42:$BA$43</c:f>
              <c:numCache>
                <c:formatCode>0.0</c:formatCode>
                <c:ptCount val="2"/>
                <c:pt idx="0">
                  <c:v>0</c:v>
                </c:pt>
                <c:pt idx="1">
                  <c:v>0</c:v>
                </c:pt>
              </c:numCache>
            </c:numRef>
          </c:xVal>
          <c:yVal>
            <c:numRef>
              <c:f>Solution!$BB$42:$BB$43</c:f>
              <c:numCache>
                <c:formatCode>0.0</c:formatCode>
                <c:ptCount val="2"/>
                <c:pt idx="0">
                  <c:v>0</c:v>
                </c:pt>
                <c:pt idx="1">
                  <c:v>0</c:v>
                </c:pt>
              </c:numCache>
            </c:numRef>
          </c:yVal>
          <c:smooth val="1"/>
          <c:extLst>
            <c:ext xmlns:c16="http://schemas.microsoft.com/office/drawing/2014/chart" uri="{C3380CC4-5D6E-409C-BE32-E72D297353CC}">
              <c16:uniqueId val="{00000040-F900-4243-8888-E2CCF32BDD82}"/>
            </c:ext>
          </c:extLst>
        </c:ser>
        <c:ser>
          <c:idx val="57"/>
          <c:order val="50"/>
          <c:tx>
            <c:v>Neck Ave Right</c:v>
          </c:tx>
          <c:spPr>
            <a:ln w="0" cap="rnd">
              <a:noFill/>
              <a:round/>
            </a:ln>
            <a:effectLst/>
          </c:spPr>
          <c:marker>
            <c:symbol val="circle"/>
            <c:size val="5"/>
            <c:spPr>
              <a:solidFill>
                <a:srgbClr val="00B050"/>
              </a:solidFill>
              <a:ln w="9525">
                <a:solidFill>
                  <a:schemeClr val="tx1"/>
                </a:solidFill>
              </a:ln>
              <a:effectLst/>
            </c:spPr>
          </c:marker>
          <c:xVal>
            <c:numRef>
              <c:f>'Big Data'!$CB$3:$CB$45</c:f>
              <c:numCache>
                <c:formatCode>0.0</c:formatCode>
                <c:ptCount val="43"/>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1-F900-4243-8888-E2CCF32BDD82}"/>
            </c:ext>
          </c:extLst>
        </c:ser>
        <c:ser>
          <c:idx val="58"/>
          <c:order val="51"/>
          <c:tx>
            <c:v>Neck Ave Left</c:v>
          </c:tx>
          <c:spPr>
            <a:ln w="0" cap="rnd">
              <a:noFill/>
              <a:round/>
            </a:ln>
            <a:effectLst/>
          </c:spPr>
          <c:marker>
            <c:symbol val="circle"/>
            <c:size val="5"/>
            <c:spPr>
              <a:solidFill>
                <a:srgbClr val="00B050"/>
              </a:solidFill>
              <a:ln w="9525">
                <a:solidFill>
                  <a:schemeClr val="tx1"/>
                </a:solidFill>
              </a:ln>
              <a:effectLst/>
            </c:spPr>
          </c:marker>
          <c:xVal>
            <c:numRef>
              <c:f>'Big Data'!$CF$3:$CF$45</c:f>
              <c:numCache>
                <c:formatCode>0.0</c:formatCode>
                <c:ptCount val="43"/>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2-F900-4243-8888-E2CCF32BDD82}"/>
            </c:ext>
          </c:extLst>
        </c:ser>
        <c:ser>
          <c:idx val="59"/>
          <c:order val="52"/>
          <c:tx>
            <c:v>Neck 5th Left</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Data'!$CE$3:$CE$45</c:f>
              <c:numCache>
                <c:formatCode>0.0</c:formatCode>
                <c:ptCount val="43"/>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3-F900-4243-8888-E2CCF32BDD82}"/>
            </c:ext>
          </c:extLst>
        </c:ser>
        <c:ser>
          <c:idx val="60"/>
          <c:order val="53"/>
          <c:tx>
            <c:v>Neck 5th Right</c:v>
          </c:tx>
          <c:spPr>
            <a:ln w="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Data'!$CA$3:$CA$45</c:f>
              <c:numCache>
                <c:formatCode>0.0</c:formatCode>
                <c:ptCount val="43"/>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4-F900-4243-8888-E2CCF32BDD82}"/>
            </c:ext>
          </c:extLst>
        </c:ser>
        <c:ser>
          <c:idx val="61"/>
          <c:order val="54"/>
          <c:tx>
            <c:v>Neck 95th Left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Data'!$CG$3:$CG$45</c:f>
              <c:numCache>
                <c:formatCode>0.0</c:formatCode>
                <c:ptCount val="43"/>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5-F900-4243-8888-E2CCF32BDD82}"/>
            </c:ext>
          </c:extLst>
        </c:ser>
        <c:ser>
          <c:idx val="62"/>
          <c:order val="55"/>
          <c:tx>
            <c:v>Neck 95th Right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Data'!$CC$3:$CC$45</c:f>
              <c:numCache>
                <c:formatCode>0.0</c:formatCode>
                <c:ptCount val="43"/>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6-F900-4243-8888-E2CCF32BDD82}"/>
            </c:ext>
          </c:extLst>
        </c:ser>
        <c:ser>
          <c:idx val="67"/>
          <c:order val="56"/>
          <c:tx>
            <c:v>R129 Annex 18 95th Shoulder Breadth Left</c:v>
          </c:tx>
          <c:spPr>
            <a:ln w="50800" cap="rnd">
              <a:solidFill>
                <a:srgbClr val="0070C0"/>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'R129 Annex 18 Data'!$L$3:$L$25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7-F900-4243-8888-E2CCF32BDD82}"/>
            </c:ext>
          </c:extLst>
        </c:ser>
        <c:ser>
          <c:idx val="68"/>
          <c:order val="57"/>
          <c:tx>
            <c:v>R129 Annex 18 95th Shoulder Breadth Right</c:v>
          </c:tx>
          <c:spPr>
            <a:ln w="50800" cap="rnd">
              <a:solidFill>
                <a:srgbClr val="0070C0"/>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'R129 Annex 18 Data'!$M$3:$M$25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8-F900-4243-8888-E2CCF32BDD82}"/>
            </c:ext>
          </c:extLst>
        </c:ser>
        <c:ser>
          <c:idx val="71"/>
          <c:order val="58"/>
          <c:tx>
            <c:v>EU ATD Q10.5 Shoulder Left</c:v>
          </c:tx>
          <c:spPr>
            <a:ln w="19050" cap="rnd">
              <a:solidFill>
                <a:srgbClr val="0070C0"/>
              </a:solidFill>
              <a:round/>
            </a:ln>
            <a:effectLst/>
          </c:spPr>
          <c:marker>
            <c:symbol val="circle"/>
            <c:size val="2"/>
            <c:spPr>
              <a:solidFill>
                <a:schemeClr val="accent6">
                  <a:lumMod val="80000"/>
                  <a:lumOff val="20000"/>
                </a:schemeClr>
              </a:solidFill>
              <a:ln w="9525">
                <a:solidFill>
                  <a:srgbClr val="0070C0"/>
                </a:solidFill>
              </a:ln>
              <a:effectLst/>
            </c:spPr>
          </c:marker>
          <c:dLbls>
            <c:dLbl>
              <c:idx val="2"/>
              <c:layout>
                <c:manualLayout>
                  <c:x val="-1.6920473773266893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9-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Solution!$AU$118:$AU$120</c:f>
              <c:numCache>
                <c:formatCode>0.0</c:formatCode>
                <c:ptCount val="3"/>
                <c:pt idx="0">
                  <c:v>0</c:v>
                </c:pt>
                <c:pt idx="1">
                  <c:v>0</c:v>
                </c:pt>
                <c:pt idx="2">
                  <c:v>0</c:v>
                </c:pt>
              </c:numCache>
            </c:numRef>
          </c:xVal>
          <c:yVal>
            <c:numRef>
              <c:f>Solution!$AV$118:$AV$120</c:f>
              <c:numCache>
                <c:formatCode>0.0</c:formatCode>
                <c:ptCount val="3"/>
                <c:pt idx="0">
                  <c:v>0</c:v>
                </c:pt>
                <c:pt idx="1">
                  <c:v>0</c:v>
                </c:pt>
                <c:pt idx="2">
                  <c:v>0</c:v>
                </c:pt>
              </c:numCache>
            </c:numRef>
          </c:yVal>
          <c:smooth val="1"/>
          <c:extLst>
            <c:ext xmlns:c16="http://schemas.microsoft.com/office/drawing/2014/chart" uri="{C3380CC4-5D6E-409C-BE32-E72D297353CC}">
              <c16:uniqueId val="{0000004A-F900-4243-8888-E2CCF32BDD82}"/>
            </c:ext>
          </c:extLst>
        </c:ser>
        <c:ser>
          <c:idx val="74"/>
          <c:order val="59"/>
          <c:tx>
            <c:v>US ATD HIII-10yr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299284543746752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B-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Solution!$AX$111:$AX$113</c:f>
              <c:numCache>
                <c:formatCode>General</c:formatCode>
                <c:ptCount val="3"/>
                <c:pt idx="0">
                  <c:v>0</c:v>
                </c:pt>
                <c:pt idx="1">
                  <c:v>0</c:v>
                </c:pt>
                <c:pt idx="2">
                  <c:v>0</c:v>
                </c:pt>
              </c:numCache>
            </c:numRef>
          </c:xVal>
          <c:yVal>
            <c:numRef>
              <c:f>Solution!$AY$111:$AY$113</c:f>
              <c:numCache>
                <c:formatCode>0.0</c:formatCode>
                <c:ptCount val="3"/>
                <c:pt idx="0">
                  <c:v>0</c:v>
                </c:pt>
                <c:pt idx="1">
                  <c:v>0</c:v>
                </c:pt>
                <c:pt idx="2">
                  <c:v>0</c:v>
                </c:pt>
              </c:numCache>
            </c:numRef>
          </c:yVal>
          <c:smooth val="1"/>
          <c:extLst>
            <c:ext xmlns:c16="http://schemas.microsoft.com/office/drawing/2014/chart" uri="{C3380CC4-5D6E-409C-BE32-E72D297353CC}">
              <c16:uniqueId val="{0000004C-F900-4243-8888-E2CCF32BDD82}"/>
            </c:ext>
          </c:extLst>
        </c:ser>
        <c:ser>
          <c:idx val="76"/>
          <c:order val="60"/>
          <c:tx>
            <c:v>US ATD CAMI-Newborn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D-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Solution!$AX$27:$AX$29</c:f>
              <c:numCache>
                <c:formatCode>General</c:formatCode>
                <c:ptCount val="3"/>
                <c:pt idx="0">
                  <c:v>-6.4418181818181814</c:v>
                </c:pt>
                <c:pt idx="1">
                  <c:v>-8.493927272727273</c:v>
                </c:pt>
                <c:pt idx="2">
                  <c:v>-9</c:v>
                </c:pt>
              </c:numCache>
            </c:numRef>
          </c:xVal>
          <c:yVal>
            <c:numRef>
              <c:f>Solution!$AY$27:$AY$29</c:f>
              <c:numCache>
                <c:formatCode>0.0</c:formatCode>
                <c:ptCount val="3"/>
                <c:pt idx="0">
                  <c:v>26.7</c:v>
                </c:pt>
                <c:pt idx="1">
                  <c:v>26.060454545454544</c:v>
                </c:pt>
                <c:pt idx="2">
                  <c:v>24.141818181818181</c:v>
                </c:pt>
              </c:numCache>
            </c:numRef>
          </c:yVal>
          <c:smooth val="1"/>
          <c:extLst>
            <c:ext xmlns:c16="http://schemas.microsoft.com/office/drawing/2014/chart" uri="{C3380CC4-5D6E-409C-BE32-E72D297353CC}">
              <c16:uniqueId val="{0000004E-F900-4243-8888-E2CCF32BDD82}"/>
            </c:ext>
          </c:extLst>
        </c:ser>
        <c:ser>
          <c:idx val="78"/>
          <c:order val="61"/>
          <c:tx>
            <c:v>US ATD CAMI-6mo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F-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Solution!$AX$34:$AX$36</c:f>
              <c:numCache>
                <c:formatCode>General</c:formatCode>
                <c:ptCount val="3"/>
                <c:pt idx="0">
                  <c:v>-6.6736363636363638</c:v>
                </c:pt>
                <c:pt idx="1">
                  <c:v>-9.087863636363636</c:v>
                </c:pt>
                <c:pt idx="2">
                  <c:v>-9.5</c:v>
                </c:pt>
              </c:numCache>
            </c:numRef>
          </c:xVal>
          <c:yVal>
            <c:numRef>
              <c:f>Solution!$AY$34:$AY$36</c:f>
              <c:numCache>
                <c:formatCode>0.0</c:formatCode>
                <c:ptCount val="3"/>
                <c:pt idx="0">
                  <c:v>29</c:v>
                </c:pt>
                <c:pt idx="1">
                  <c:v>28.293409090909091</c:v>
                </c:pt>
                <c:pt idx="2">
                  <c:v>26.173636363636362</c:v>
                </c:pt>
              </c:numCache>
            </c:numRef>
          </c:yVal>
          <c:smooth val="1"/>
          <c:extLst>
            <c:ext xmlns:c16="http://schemas.microsoft.com/office/drawing/2014/chart" uri="{C3380CC4-5D6E-409C-BE32-E72D297353CC}">
              <c16:uniqueId val="{00000050-F900-4243-8888-E2CCF32BDD82}"/>
            </c:ext>
          </c:extLst>
        </c:ser>
        <c:ser>
          <c:idx val="80"/>
          <c:order val="62"/>
          <c:tx>
            <c:v>US ATD HIII-6yr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4641285956006769"/>
                  <c:y val="3.731343283582089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1-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Solution!$AX$97:$AX$99</c:f>
              <c:numCache>
                <c:formatCode>General</c:formatCode>
                <c:ptCount val="3"/>
                <c:pt idx="0">
                  <c:v>0</c:v>
                </c:pt>
                <c:pt idx="1">
                  <c:v>0</c:v>
                </c:pt>
                <c:pt idx="2">
                  <c:v>0</c:v>
                </c:pt>
              </c:numCache>
            </c:numRef>
          </c:xVal>
          <c:yVal>
            <c:numRef>
              <c:f>Solution!$AY$97:$AY$99</c:f>
              <c:numCache>
                <c:formatCode>0.0</c:formatCode>
                <c:ptCount val="3"/>
                <c:pt idx="0">
                  <c:v>0</c:v>
                </c:pt>
                <c:pt idx="1">
                  <c:v>0</c:v>
                </c:pt>
                <c:pt idx="2">
                  <c:v>0</c:v>
                </c:pt>
              </c:numCache>
            </c:numRef>
          </c:yVal>
          <c:smooth val="1"/>
          <c:extLst>
            <c:ext xmlns:c16="http://schemas.microsoft.com/office/drawing/2014/chart" uri="{C3380CC4-5D6E-409C-BE32-E72D297353CC}">
              <c16:uniqueId val="{00000052-F900-4243-8888-E2CCF32BDD82}"/>
            </c:ext>
          </c:extLst>
        </c:ser>
        <c:ser>
          <c:idx val="82"/>
          <c:order val="63"/>
          <c:tx>
            <c:v>US ATD HIII-6yr wtd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7892548329935914"/>
                  <c:y val="-4.664179104477611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3-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Solution!$AX$104:$AX$106</c:f>
              <c:numCache>
                <c:formatCode>General</c:formatCode>
                <c:ptCount val="3"/>
                <c:pt idx="0">
                  <c:v>0</c:v>
                </c:pt>
                <c:pt idx="1">
                  <c:v>0</c:v>
                </c:pt>
                <c:pt idx="2">
                  <c:v>0</c:v>
                </c:pt>
              </c:numCache>
            </c:numRef>
          </c:xVal>
          <c:yVal>
            <c:numRef>
              <c:f>Solution!$AY$104:$AY$106</c:f>
              <c:numCache>
                <c:formatCode>0.0</c:formatCode>
                <c:ptCount val="3"/>
                <c:pt idx="0">
                  <c:v>0</c:v>
                </c:pt>
                <c:pt idx="1">
                  <c:v>0</c:v>
                </c:pt>
                <c:pt idx="2">
                  <c:v>0</c:v>
                </c:pt>
              </c:numCache>
            </c:numRef>
          </c:yVal>
          <c:smooth val="1"/>
          <c:extLst>
            <c:ext xmlns:c16="http://schemas.microsoft.com/office/drawing/2014/chart" uri="{C3380CC4-5D6E-409C-BE32-E72D297353CC}">
              <c16:uniqueId val="{00000054-F900-4243-8888-E2CCF32BDD82}"/>
            </c:ext>
          </c:extLst>
        </c:ser>
        <c:ser>
          <c:idx val="83"/>
          <c:order val="64"/>
          <c:tx>
            <c:v>EU ATD Q6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5-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Solution!$AU$90:$AU$92</c:f>
              <c:numCache>
                <c:formatCode>0.0</c:formatCode>
                <c:ptCount val="3"/>
                <c:pt idx="0">
                  <c:v>0</c:v>
                </c:pt>
                <c:pt idx="1">
                  <c:v>0</c:v>
                </c:pt>
                <c:pt idx="2">
                  <c:v>0</c:v>
                </c:pt>
              </c:numCache>
            </c:numRef>
          </c:xVal>
          <c:yVal>
            <c:numRef>
              <c:f>Solution!$AV$90:$AV$92</c:f>
              <c:numCache>
                <c:formatCode>0.0</c:formatCode>
                <c:ptCount val="3"/>
                <c:pt idx="0">
                  <c:v>0</c:v>
                </c:pt>
                <c:pt idx="1">
                  <c:v>0</c:v>
                </c:pt>
                <c:pt idx="2">
                  <c:v>0</c:v>
                </c:pt>
              </c:numCache>
            </c:numRef>
          </c:yVal>
          <c:smooth val="1"/>
          <c:extLst>
            <c:ext xmlns:c16="http://schemas.microsoft.com/office/drawing/2014/chart" uri="{C3380CC4-5D6E-409C-BE32-E72D297353CC}">
              <c16:uniqueId val="{00000056-F900-4243-8888-E2CCF32BDD82}"/>
            </c:ext>
          </c:extLst>
        </c:ser>
        <c:ser>
          <c:idx val="86"/>
          <c:order val="65"/>
          <c:tx>
            <c:v>US ATD HIII-3yr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7-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Solution!$AX$83:$AX$85</c:f>
              <c:numCache>
                <c:formatCode>General</c:formatCode>
                <c:ptCount val="3"/>
                <c:pt idx="0">
                  <c:v>0</c:v>
                </c:pt>
                <c:pt idx="1">
                  <c:v>0</c:v>
                </c:pt>
                <c:pt idx="2">
                  <c:v>0</c:v>
                </c:pt>
              </c:numCache>
            </c:numRef>
          </c:xVal>
          <c:yVal>
            <c:numRef>
              <c:f>Solution!$AY$83:$AY$85</c:f>
              <c:numCache>
                <c:formatCode>0.0</c:formatCode>
                <c:ptCount val="3"/>
                <c:pt idx="0">
                  <c:v>0</c:v>
                </c:pt>
                <c:pt idx="1">
                  <c:v>0</c:v>
                </c:pt>
                <c:pt idx="2">
                  <c:v>0</c:v>
                </c:pt>
              </c:numCache>
            </c:numRef>
          </c:yVal>
          <c:smooth val="1"/>
          <c:extLst>
            <c:ext xmlns:c16="http://schemas.microsoft.com/office/drawing/2014/chart" uri="{C3380CC4-5D6E-409C-BE32-E72D297353CC}">
              <c16:uniqueId val="{00000058-F900-4243-8888-E2CCF32BDD82}"/>
            </c:ext>
          </c:extLst>
        </c:ser>
        <c:ser>
          <c:idx val="87"/>
          <c:order val="66"/>
          <c:tx>
            <c:v>EU ATD Q0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3536379018612646E-2"/>
                  <c:y val="1.119402985074626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9-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Solution!$AU$41:$AU$43</c:f>
              <c:numCache>
                <c:formatCode>0.0</c:formatCode>
                <c:ptCount val="3"/>
                <c:pt idx="0">
                  <c:v>0</c:v>
                </c:pt>
                <c:pt idx="1">
                  <c:v>0</c:v>
                </c:pt>
                <c:pt idx="2">
                  <c:v>0</c:v>
                </c:pt>
              </c:numCache>
            </c:numRef>
          </c:xVal>
          <c:yVal>
            <c:numRef>
              <c:f>Solution!$AV$41:$AV$43</c:f>
              <c:numCache>
                <c:formatCode>0.0</c:formatCode>
                <c:ptCount val="3"/>
                <c:pt idx="0">
                  <c:v>0</c:v>
                </c:pt>
                <c:pt idx="1">
                  <c:v>0</c:v>
                </c:pt>
                <c:pt idx="2">
                  <c:v>0</c:v>
                </c:pt>
              </c:numCache>
            </c:numRef>
          </c:yVal>
          <c:smooth val="1"/>
          <c:extLst>
            <c:ext xmlns:c16="http://schemas.microsoft.com/office/drawing/2014/chart" uri="{C3380CC4-5D6E-409C-BE32-E72D297353CC}">
              <c16:uniqueId val="{0000005A-F900-4243-8888-E2CCF32BDD82}"/>
            </c:ext>
          </c:extLst>
        </c:ser>
        <c:ser>
          <c:idx val="89"/>
          <c:order val="67"/>
          <c:tx>
            <c:v>EU ATD Q1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8612521150592216E-2"/>
                  <c:y val="1.212686567164172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B-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Solution!$AU$48:$AU$50</c:f>
              <c:numCache>
                <c:formatCode>0.0</c:formatCode>
                <c:ptCount val="3"/>
                <c:pt idx="0">
                  <c:v>0</c:v>
                </c:pt>
                <c:pt idx="1">
                  <c:v>0</c:v>
                </c:pt>
                <c:pt idx="2">
                  <c:v>0</c:v>
                </c:pt>
              </c:numCache>
            </c:numRef>
          </c:xVal>
          <c:yVal>
            <c:numRef>
              <c:f>Solution!$AV$48:$AV$50</c:f>
              <c:numCache>
                <c:formatCode>0.0</c:formatCode>
                <c:ptCount val="3"/>
                <c:pt idx="0">
                  <c:v>0</c:v>
                </c:pt>
                <c:pt idx="1">
                  <c:v>0</c:v>
                </c:pt>
                <c:pt idx="2">
                  <c:v>0</c:v>
                </c:pt>
              </c:numCache>
            </c:numRef>
          </c:yVal>
          <c:smooth val="1"/>
          <c:extLst>
            <c:ext xmlns:c16="http://schemas.microsoft.com/office/drawing/2014/chart" uri="{C3380CC4-5D6E-409C-BE32-E72D297353CC}">
              <c16:uniqueId val="{0000005C-F900-4243-8888-E2CCF32BDD82}"/>
            </c:ext>
          </c:extLst>
        </c:ser>
        <c:ser>
          <c:idx val="91"/>
          <c:order val="68"/>
          <c:tx>
            <c:v>UE ATD Q3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D-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Solution!$AU$76:$AU$78</c:f>
              <c:numCache>
                <c:formatCode>0.0</c:formatCode>
                <c:ptCount val="3"/>
                <c:pt idx="0">
                  <c:v>0</c:v>
                </c:pt>
                <c:pt idx="1">
                  <c:v>0</c:v>
                </c:pt>
                <c:pt idx="2">
                  <c:v>0</c:v>
                </c:pt>
              </c:numCache>
            </c:numRef>
          </c:xVal>
          <c:yVal>
            <c:numRef>
              <c:f>Solution!$AV$76:$AV$78</c:f>
              <c:numCache>
                <c:formatCode>0.0</c:formatCode>
                <c:ptCount val="3"/>
                <c:pt idx="0">
                  <c:v>0</c:v>
                </c:pt>
                <c:pt idx="1">
                  <c:v>0</c:v>
                </c:pt>
                <c:pt idx="2">
                  <c:v>0</c:v>
                </c:pt>
              </c:numCache>
            </c:numRef>
          </c:yVal>
          <c:smooth val="1"/>
          <c:extLst>
            <c:ext xmlns:c16="http://schemas.microsoft.com/office/drawing/2014/chart" uri="{C3380CC4-5D6E-409C-BE32-E72D297353CC}">
              <c16:uniqueId val="{0000005E-F900-4243-8888-E2CCF32BDD82}"/>
            </c:ext>
          </c:extLst>
        </c:ser>
        <c:ser>
          <c:idx val="94"/>
          <c:order val="69"/>
          <c:tx>
            <c:v>US ATD CRABI 18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F-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Solution!$AX$69:$AX$71</c:f>
              <c:numCache>
                <c:formatCode>General</c:formatCode>
                <c:ptCount val="3"/>
                <c:pt idx="0">
                  <c:v>-7.1372727272727277</c:v>
                </c:pt>
                <c:pt idx="1">
                  <c:v>-10.727304545454544</c:v>
                </c:pt>
                <c:pt idx="2">
                  <c:v>-11.2</c:v>
                </c:pt>
              </c:numCache>
            </c:numRef>
          </c:xVal>
          <c:yVal>
            <c:numRef>
              <c:f>Solution!$AY$69:$AY$71</c:f>
              <c:numCache>
                <c:formatCode>0.0</c:formatCode>
                <c:ptCount val="3"/>
                <c:pt idx="0">
                  <c:v>34.5</c:v>
                </c:pt>
                <c:pt idx="1">
                  <c:v>33.484318181818182</c:v>
                </c:pt>
                <c:pt idx="2">
                  <c:v>30.437272727272727</c:v>
                </c:pt>
              </c:numCache>
            </c:numRef>
          </c:yVal>
          <c:smooth val="1"/>
          <c:extLst>
            <c:ext xmlns:c16="http://schemas.microsoft.com/office/drawing/2014/chart" uri="{C3380CC4-5D6E-409C-BE32-E72D297353CC}">
              <c16:uniqueId val="{00000060-F900-4243-8888-E2CCF32BDD82}"/>
            </c:ext>
          </c:extLst>
        </c:ser>
        <c:ser>
          <c:idx val="95"/>
          <c:order val="70"/>
          <c:tx>
            <c:v>EU ATD Q1.5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4602368866328256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1-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Solution!$AU$62:$AU$64</c:f>
              <c:numCache>
                <c:formatCode>0.0</c:formatCode>
                <c:ptCount val="3"/>
                <c:pt idx="0">
                  <c:v>0</c:v>
                </c:pt>
                <c:pt idx="1">
                  <c:v>0</c:v>
                </c:pt>
                <c:pt idx="2">
                  <c:v>0</c:v>
                </c:pt>
              </c:numCache>
            </c:numRef>
          </c:xVal>
          <c:yVal>
            <c:numRef>
              <c:f>Solution!$AV$62:$AV$64</c:f>
              <c:numCache>
                <c:formatCode>0.0</c:formatCode>
                <c:ptCount val="3"/>
                <c:pt idx="0">
                  <c:v>0</c:v>
                </c:pt>
                <c:pt idx="1">
                  <c:v>0</c:v>
                </c:pt>
                <c:pt idx="2">
                  <c:v>0</c:v>
                </c:pt>
              </c:numCache>
            </c:numRef>
          </c:yVal>
          <c:smooth val="1"/>
          <c:extLst>
            <c:ext xmlns:c16="http://schemas.microsoft.com/office/drawing/2014/chart" uri="{C3380CC4-5D6E-409C-BE32-E72D297353CC}">
              <c16:uniqueId val="{00000062-F900-4243-8888-E2CCF32BDD82}"/>
            </c:ext>
          </c:extLst>
        </c:ser>
        <c:ser>
          <c:idx val="98"/>
          <c:order val="71"/>
          <c:tx>
            <c:v>US ATD CRABI 12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3-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Solution!$AX$55:$AX$57</c:f>
              <c:numCache>
                <c:formatCode>General</c:formatCode>
                <c:ptCount val="3"/>
                <c:pt idx="0">
                  <c:v>-6.9054545454545462</c:v>
                </c:pt>
                <c:pt idx="1">
                  <c:v>-10.182163636363635</c:v>
                </c:pt>
                <c:pt idx="2">
                  <c:v>-10.65</c:v>
                </c:pt>
              </c:numCache>
            </c:numRef>
          </c:xVal>
          <c:yVal>
            <c:numRef>
              <c:f>Solution!$AY$55:$AY$57</c:f>
              <c:numCache>
                <c:formatCode>0.0</c:formatCode>
                <c:ptCount val="3"/>
                <c:pt idx="0">
                  <c:v>32.700000000000003</c:v>
                </c:pt>
                <c:pt idx="1">
                  <c:v>31.763863636363638</c:v>
                </c:pt>
                <c:pt idx="2">
                  <c:v>28.95545454545455</c:v>
                </c:pt>
              </c:numCache>
            </c:numRef>
          </c:yVal>
          <c:smooth val="1"/>
          <c:extLst>
            <c:ext xmlns:c16="http://schemas.microsoft.com/office/drawing/2014/chart" uri="{C3380CC4-5D6E-409C-BE32-E72D297353CC}">
              <c16:uniqueId val="{00000064-F900-4243-8888-E2CCF32BDD82}"/>
            </c:ext>
          </c:extLst>
        </c:ser>
        <c:ser>
          <c:idx val="99"/>
          <c:order val="72"/>
          <c:tx>
            <c:v>Seated 5th</c:v>
          </c:tx>
          <c:spPr>
            <a:ln w="0" cap="rnd">
              <a:noFill/>
              <a:round/>
            </a:ln>
            <a:effectLst/>
          </c:spPr>
          <c:marker>
            <c:symbol val="dash"/>
            <c:size val="15"/>
            <c:spPr>
              <a:solidFill>
                <a:schemeClr val="accent5">
                  <a:lumMod val="60000"/>
                  <a:lumOff val="4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Data'!$K$3:$K$45</c:f>
              <c:numCache>
                <c:formatCode>0.0</c:formatCode>
                <c:ptCount val="43"/>
                <c:pt idx="0">
                  <c:v>33.75</c:v>
                </c:pt>
                <c:pt idx="1">
                  <c:v>40.353999999999999</c:v>
                </c:pt>
                <c:pt idx="2">
                  <c:v>45.433999999999997</c:v>
                </c:pt>
                <c:pt idx="3">
                  <c:v>47.973999999999997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5-F900-4243-8888-E2CCF32BDD82}"/>
            </c:ext>
          </c:extLst>
        </c:ser>
        <c:ser>
          <c:idx val="100"/>
          <c:order val="73"/>
          <c:tx>
            <c:v>Seated Mean</c:v>
          </c:tx>
          <c:spPr>
            <a:ln w="0" cap="rnd">
              <a:solidFill>
                <a:schemeClr val="bg1"/>
              </a:solidFill>
              <a:round/>
            </a:ln>
            <a:effectLst/>
          </c:spPr>
          <c:marker>
            <c:symbol val="dash"/>
            <c:size val="15"/>
            <c:spPr>
              <a:solidFill>
                <a:srgbClr val="00B050"/>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Data'!$L$3:$L$45</c:f>
              <c:numCache>
                <c:formatCode>0.0</c:formatCode>
                <c:ptCount val="43"/>
                <c:pt idx="0">
                  <c:v>39.845999999999997</c:v>
                </c:pt>
                <c:pt idx="1">
                  <c:v>45.942</c:v>
                </c:pt>
                <c:pt idx="2">
                  <c:v>50.006</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6-F900-4243-8888-E2CCF32BDD82}"/>
            </c:ext>
          </c:extLst>
        </c:ser>
        <c:ser>
          <c:idx val="101"/>
          <c:order val="74"/>
          <c:tx>
            <c:v>Seated 95th</c:v>
          </c:tx>
          <c:spPr>
            <a:ln w="0" cap="rnd">
              <a:noFill/>
              <a:round/>
            </a:ln>
            <a:effectLst/>
          </c:spPr>
          <c:marker>
            <c:symbol val="dash"/>
            <c:size val="15"/>
            <c:spPr>
              <a:solidFill>
                <a:schemeClr val="accent4">
                  <a:lumMod val="5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Data'!$M$3:$M$45</c:f>
              <c:numCache>
                <c:formatCode>0.0</c:formatCode>
                <c:ptCount val="43"/>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7-F900-4243-8888-E2CCF32BDD82}"/>
            </c:ext>
          </c:extLst>
        </c:ser>
        <c:ser>
          <c:idx val="0"/>
          <c:order val="75"/>
          <c:tx>
            <c:v>Crotch 5th Depth</c:v>
          </c:tx>
          <c:spPr>
            <a:ln w="19050" cap="rnd">
              <a:solidFill>
                <a:schemeClr val="accent1"/>
              </a:solidFill>
              <a:round/>
            </a:ln>
            <a:effectLst/>
          </c:spPr>
          <c:marker>
            <c:symbol val="circle"/>
            <c:size val="5"/>
            <c:spPr>
              <a:solidFill>
                <a:schemeClr val="accent5">
                  <a:lumMod val="60000"/>
                  <a:lumOff val="4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Data'!$AA$55:$AA$97</c:f>
              <c:numCache>
                <c:formatCode>0.00</c:formatCode>
                <c:ptCount val="43"/>
                <c:pt idx="0">
                  <c:v>-10.121395999999999</c:v>
                </c:pt>
                <c:pt idx="1">
                  <c:v>-10.90016</c:v>
                </c:pt>
                <c:pt idx="2">
                  <c:v>-11.419335999999999</c:v>
                </c:pt>
                <c:pt idx="3">
                  <c:v>-11.493504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8-F900-4243-8888-E2CCF32BDD82}"/>
            </c:ext>
          </c:extLst>
        </c:ser>
        <c:ser>
          <c:idx val="1"/>
          <c:order val="76"/>
          <c:tx>
            <c:v>Mean Crotch Depth</c:v>
          </c:tx>
          <c:spPr>
            <a:ln w="19050" cap="rnd">
              <a:solidFill>
                <a:schemeClr val="accent2"/>
              </a:solidFill>
              <a:round/>
            </a:ln>
            <a:effectLst/>
          </c:spPr>
          <c:marker>
            <c:symbol val="circle"/>
            <c:size val="5"/>
            <c:spPr>
              <a:solidFill>
                <a:srgbClr val="00B050"/>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Data'!$AB$55:$AB$97</c:f>
              <c:numCache>
                <c:formatCode>0.00</c:formatCode>
                <c:ptCount val="43"/>
                <c:pt idx="0">
                  <c:v>-11.64184</c:v>
                </c:pt>
                <c:pt idx="1">
                  <c:v>-12.383520000000001</c:v>
                </c:pt>
                <c:pt idx="2">
                  <c:v>-12.939780000000001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9-F900-4243-8888-E2CCF32BDD82}"/>
            </c:ext>
          </c:extLst>
        </c:ser>
        <c:ser>
          <c:idx val="2"/>
          <c:order val="77"/>
          <c:tx>
            <c:v>95th Crotch Depth</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Data'!$AC$55:$AC$97</c:f>
              <c:numCache>
                <c:formatCode>0.00</c:formatCode>
                <c:ptCount val="43"/>
                <c:pt idx="0">
                  <c:v>-13.162284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A-F900-4243-8888-E2CCF32BDD82}"/>
            </c:ext>
          </c:extLst>
        </c:ser>
        <c:ser>
          <c:idx val="3"/>
          <c:order val="78"/>
          <c:tx>
            <c:v>Hip Width Left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Data'!$BO$3:$BO$45</c:f>
              <c:numCache>
                <c:formatCode>0.0</c:formatCode>
                <c:ptCount val="43"/>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B-F900-4243-8888-E2CCF32BDD82}"/>
            </c:ext>
          </c:extLst>
        </c:ser>
        <c:ser>
          <c:idx val="4"/>
          <c:order val="79"/>
          <c:tx>
            <c:v>Hip Width Right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Data'!$BK$3:$BK$45</c:f>
              <c:numCache>
                <c:formatCode>0.0</c:formatCode>
                <c:ptCount val="43"/>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C-F900-4243-8888-E2CCF32BDD82}"/>
            </c:ext>
          </c:extLst>
        </c:ser>
        <c:ser>
          <c:idx val="5"/>
          <c:order val="80"/>
          <c:tx>
            <c:v>Hip Width Left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'Big Data'!$BP$3:$BP$45</c:f>
              <c:numCache>
                <c:formatCode>0.0</c:formatCode>
                <c:ptCount val="43"/>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D-F900-4243-8888-E2CCF32BDD82}"/>
            </c:ext>
          </c:extLst>
        </c:ser>
        <c:ser>
          <c:idx val="6"/>
          <c:order val="81"/>
          <c:tx>
            <c:v>Hip Width Right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'Big Data'!$BL$3:$BL$45</c:f>
              <c:numCache>
                <c:formatCode>0.0</c:formatCode>
                <c:ptCount val="43"/>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E-F900-4243-8888-E2CCF32BDD82}"/>
            </c:ext>
          </c:extLst>
        </c:ser>
        <c:ser>
          <c:idx val="7"/>
          <c:order val="82"/>
          <c:tx>
            <c:v>Hip Width Left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Data'!$BQ$3:$BQ$45</c:f>
              <c:numCache>
                <c:formatCode>0.0</c:formatCode>
                <c:ptCount val="43"/>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F-F900-4243-8888-E2CCF32BDD82}"/>
            </c:ext>
          </c:extLst>
        </c:ser>
        <c:ser>
          <c:idx val="8"/>
          <c:order val="83"/>
          <c:tx>
            <c:v>Hip Width Right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Data'!$BM$3:$BM$45</c:f>
              <c:numCache>
                <c:formatCode>0.0</c:formatCode>
                <c:ptCount val="43"/>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70-F900-4243-8888-E2CCF32BDD82}"/>
            </c:ext>
          </c:extLst>
        </c:ser>
        <c:ser>
          <c:idx val="64"/>
          <c:order val="84"/>
          <c:tx>
            <c:v>Biacromial Shoulder Breadth 5th Left</c:v>
          </c:tx>
          <c:spPr>
            <a:ln w="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Data'!$BW$3:$BW$45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1-F900-4243-8888-E2CCF32BDD82}"/>
            </c:ext>
          </c:extLst>
        </c:ser>
        <c:ser>
          <c:idx val="63"/>
          <c:order val="85"/>
          <c:tx>
            <c:v>Biacromial Shoulder Breadth 5th Right</c:v>
          </c:tx>
          <c:spPr>
            <a:ln w="1905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Data'!$BS$3:$BS$45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2-F900-4243-8888-E2CCF32BDD82}"/>
            </c:ext>
          </c:extLst>
        </c:ser>
        <c:ser>
          <c:idx val="66"/>
          <c:order val="86"/>
          <c:tx>
            <c:v>Biacromial Shoulder Breadth Mean Left</c:v>
          </c:tx>
          <c:spPr>
            <a:ln w="0" cap="rnd">
              <a:noFill/>
              <a:round/>
            </a:ln>
            <a:effectLst/>
          </c:spPr>
          <c:marker>
            <c:symbol val="circle"/>
            <c:size val="5"/>
            <c:spPr>
              <a:solidFill>
                <a:srgbClr val="00B050"/>
              </a:solidFill>
              <a:ln w="9525">
                <a:solidFill>
                  <a:schemeClr val="tx1"/>
                </a:solidFill>
              </a:ln>
              <a:effectLst/>
            </c:spPr>
          </c:marker>
          <c:xVal>
            <c:numRef>
              <c:f>'Big Data'!$BX$3:$BX$45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3-F900-4243-8888-E2CCF32BDD82}"/>
            </c:ext>
          </c:extLst>
        </c:ser>
        <c:ser>
          <c:idx val="65"/>
          <c:order val="87"/>
          <c:tx>
            <c:v>Biacromial Shoulder Breadth Mean Right</c:v>
          </c:tx>
          <c:spPr>
            <a:ln w="0" cap="rnd">
              <a:noFill/>
              <a:round/>
            </a:ln>
            <a:effectLst/>
          </c:spPr>
          <c:marker>
            <c:symbol val="circle"/>
            <c:size val="5"/>
            <c:spPr>
              <a:solidFill>
                <a:srgbClr val="00B050"/>
              </a:solidFill>
              <a:ln w="9525">
                <a:solidFill>
                  <a:schemeClr val="tx1"/>
                </a:solidFill>
              </a:ln>
              <a:effectLst/>
            </c:spPr>
          </c:marker>
          <c:xVal>
            <c:numRef>
              <c:f>'Big Data'!$BT$3:$BT$45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4-F900-4243-8888-E2CCF32BDD82}"/>
            </c:ext>
          </c:extLst>
        </c:ser>
        <c:ser>
          <c:idx val="103"/>
          <c:order val="88"/>
          <c:tx>
            <c:v>Biacromial Shoulder Breadth 95th Left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Data'!$BY$3:$BY$45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5-F900-4243-8888-E2CCF32BDD82}"/>
            </c:ext>
          </c:extLst>
        </c:ser>
        <c:ser>
          <c:idx val="102"/>
          <c:order val="89"/>
          <c:tx>
            <c:v>Biacromial Shoulder Breadth 95th Right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Data'!$BU$3:$BU$45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6-F900-4243-8888-E2CCF32BDD82}"/>
            </c:ext>
          </c:extLst>
        </c:ser>
        <c:ser>
          <c:idx val="104"/>
          <c:order val="90"/>
          <c:tx>
            <c:v>US ATD CAMI-Newborn Seated Height</c:v>
          </c:tx>
          <c:spPr>
            <a:ln w="19050" cap="rnd">
              <a:solidFill>
                <a:schemeClr val="accent3">
                  <a:lumMod val="50000"/>
                  <a:lumOff val="50000"/>
                </a:schemeClr>
              </a:solidFill>
              <a:round/>
            </a:ln>
            <a:effectLst/>
          </c:spPr>
          <c:marker>
            <c:symbol val="dash"/>
            <c:size val="15"/>
            <c:spPr>
              <a:solidFill>
                <a:srgbClr val="FF0000"/>
              </a:solidFill>
              <a:ln w="9525">
                <a:solidFill>
                  <a:schemeClr val="tx1"/>
                </a:solidFill>
              </a:ln>
              <a:effectLst/>
            </c:spPr>
          </c:marker>
          <c:dLbls>
            <c:dLbl>
              <c:idx val="0"/>
              <c:layout>
                <c:manualLayout>
                  <c:x val="-0.24305663629036514"/>
                  <c:y val="-1.1002179470285711E-3"/>
                </c:manualLayout>
              </c:layout>
              <c:numFmt formatCode="#&quot;&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9883680302192627"/>
                      <c:h val="2.3089025950831486E-2"/>
                    </c:manualLayout>
                  </c15:layout>
                </c:ext>
                <c:ext xmlns:c16="http://schemas.microsoft.com/office/drawing/2014/chart" uri="{C3380CC4-5D6E-409C-BE32-E72D297353CC}">
                  <c16:uniqueId val="{00000077-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Solution!$AH$20</c:f>
              <c:numCache>
                <c:formatCode>General</c:formatCode>
                <c:ptCount val="1"/>
                <c:pt idx="0">
                  <c:v>0</c:v>
                </c:pt>
              </c:numCache>
            </c:numRef>
          </c:xVal>
          <c:yVal>
            <c:numRef>
              <c:f>Solution!$AA$20</c:f>
              <c:numCache>
                <c:formatCode>0.0</c:formatCode>
                <c:ptCount val="1"/>
                <c:pt idx="0">
                  <c:v>36.299999999999997</c:v>
                </c:pt>
              </c:numCache>
            </c:numRef>
          </c:yVal>
          <c:smooth val="1"/>
          <c:extLst>
            <c:ext xmlns:c16="http://schemas.microsoft.com/office/drawing/2014/chart" uri="{C3380CC4-5D6E-409C-BE32-E72D297353CC}">
              <c16:uniqueId val="{00000078-F900-4243-8888-E2CCF32BDD82}"/>
            </c:ext>
          </c:extLst>
        </c:ser>
        <c:ser>
          <c:idx val="105"/>
          <c:order val="91"/>
          <c:tx>
            <c:v>US ATD CAMI-6mo Seated Height</c:v>
          </c:tx>
          <c:spPr>
            <a:ln w="19050" cap="rnd">
              <a:solidFill>
                <a:schemeClr val="accent4">
                  <a:lumMod val="50000"/>
                  <a:lumOff val="5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Solution!$AH$21</c:f>
              <c:numCache>
                <c:formatCode>General</c:formatCode>
                <c:ptCount val="1"/>
                <c:pt idx="0">
                  <c:v>0</c:v>
                </c:pt>
              </c:numCache>
            </c:numRef>
          </c:xVal>
          <c:yVal>
            <c:numRef>
              <c:f>Solution!$AA$21</c:f>
              <c:numCache>
                <c:formatCode>0.0</c:formatCode>
                <c:ptCount val="1"/>
                <c:pt idx="0">
                  <c:v>46.45</c:v>
                </c:pt>
              </c:numCache>
            </c:numRef>
          </c:yVal>
          <c:smooth val="1"/>
          <c:extLst>
            <c:ext xmlns:c16="http://schemas.microsoft.com/office/drawing/2014/chart" uri="{C3380CC4-5D6E-409C-BE32-E72D297353CC}">
              <c16:uniqueId val="{00000079-F900-4243-8888-E2CCF32BDD82}"/>
            </c:ext>
          </c:extLst>
        </c:ser>
        <c:ser>
          <c:idx val="106"/>
          <c:order val="92"/>
          <c:tx>
            <c:v>EU ATD Q0 Seated Height</c:v>
          </c:tx>
          <c:spPr>
            <a:ln w="19050" cap="rnd">
              <a:solidFill>
                <a:schemeClr val="accent5">
                  <a:lumMod val="50000"/>
                  <a:lumOff val="50000"/>
                </a:schemeClr>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Solution!$AH$22</c:f>
              <c:numCache>
                <c:formatCode>General</c:formatCode>
                <c:ptCount val="1"/>
                <c:pt idx="0">
                  <c:v>0</c:v>
                </c:pt>
              </c:numCache>
            </c:numRef>
          </c:xVal>
          <c:yVal>
            <c:numRef>
              <c:f>Solution!$AA$22</c:f>
              <c:numCache>
                <c:formatCode>0.0</c:formatCode>
                <c:ptCount val="1"/>
                <c:pt idx="0">
                  <c:v>0</c:v>
                </c:pt>
              </c:numCache>
            </c:numRef>
          </c:yVal>
          <c:smooth val="1"/>
          <c:extLst>
            <c:ext xmlns:c16="http://schemas.microsoft.com/office/drawing/2014/chart" uri="{C3380CC4-5D6E-409C-BE32-E72D297353CC}">
              <c16:uniqueId val="{0000007A-F900-4243-8888-E2CCF32BDD82}"/>
            </c:ext>
          </c:extLst>
        </c:ser>
        <c:ser>
          <c:idx val="107"/>
          <c:order val="93"/>
          <c:tx>
            <c:v>EU ATD Q1 Seated Height</c:v>
          </c:tx>
          <c:spPr>
            <a:ln w="19050" cap="rnd">
              <a:solidFill>
                <a:schemeClr val="accent6">
                  <a:lumMod val="50000"/>
                  <a:lumOff val="50000"/>
                </a:schemeClr>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Solution!$AH$23</c:f>
              <c:numCache>
                <c:formatCode>General</c:formatCode>
                <c:ptCount val="1"/>
                <c:pt idx="0">
                  <c:v>0</c:v>
                </c:pt>
              </c:numCache>
            </c:numRef>
          </c:xVal>
          <c:yVal>
            <c:numRef>
              <c:f>Solution!$AA$23</c:f>
              <c:numCache>
                <c:formatCode>0.0</c:formatCode>
                <c:ptCount val="1"/>
                <c:pt idx="0">
                  <c:v>0</c:v>
                </c:pt>
              </c:numCache>
            </c:numRef>
          </c:yVal>
          <c:smooth val="1"/>
          <c:extLst>
            <c:ext xmlns:c16="http://schemas.microsoft.com/office/drawing/2014/chart" uri="{C3380CC4-5D6E-409C-BE32-E72D297353CC}">
              <c16:uniqueId val="{0000007B-F900-4243-8888-E2CCF32BDD82}"/>
            </c:ext>
          </c:extLst>
        </c:ser>
        <c:ser>
          <c:idx val="108"/>
          <c:order val="94"/>
          <c:tx>
            <c:v>US ATD CRABI 12 Seated Height</c:v>
          </c:tx>
          <c:spPr>
            <a:ln w="19050" cap="rnd">
              <a:solidFill>
                <a:schemeClr val="accent1"/>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Solution!$AH$24</c:f>
              <c:numCache>
                <c:formatCode>General</c:formatCode>
                <c:ptCount val="1"/>
                <c:pt idx="0">
                  <c:v>0</c:v>
                </c:pt>
              </c:numCache>
            </c:numRef>
          </c:xVal>
          <c:yVal>
            <c:numRef>
              <c:f>Solution!$AA$24</c:f>
              <c:numCache>
                <c:formatCode>0.0</c:formatCode>
                <c:ptCount val="1"/>
                <c:pt idx="0">
                  <c:v>50</c:v>
                </c:pt>
              </c:numCache>
            </c:numRef>
          </c:yVal>
          <c:smooth val="1"/>
          <c:extLst>
            <c:ext xmlns:c16="http://schemas.microsoft.com/office/drawing/2014/chart" uri="{C3380CC4-5D6E-409C-BE32-E72D297353CC}">
              <c16:uniqueId val="{0000007C-F900-4243-8888-E2CCF32BDD82}"/>
            </c:ext>
          </c:extLst>
        </c:ser>
        <c:ser>
          <c:idx val="109"/>
          <c:order val="95"/>
          <c:tx>
            <c:v>EU ATD Q1.5 Seated Height</c:v>
          </c:tx>
          <c:spPr>
            <a:ln w="19050" cap="rnd">
              <a:solidFill>
                <a:schemeClr val="accent2"/>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Solution!$AH$25</c:f>
              <c:numCache>
                <c:formatCode>General</c:formatCode>
                <c:ptCount val="1"/>
                <c:pt idx="0">
                  <c:v>0</c:v>
                </c:pt>
              </c:numCache>
            </c:numRef>
          </c:xVal>
          <c:yVal>
            <c:numRef>
              <c:f>Solution!$AA$25</c:f>
              <c:numCache>
                <c:formatCode>0.0</c:formatCode>
                <c:ptCount val="1"/>
                <c:pt idx="0">
                  <c:v>0</c:v>
                </c:pt>
              </c:numCache>
            </c:numRef>
          </c:yVal>
          <c:smooth val="1"/>
          <c:extLst>
            <c:ext xmlns:c16="http://schemas.microsoft.com/office/drawing/2014/chart" uri="{C3380CC4-5D6E-409C-BE32-E72D297353CC}">
              <c16:uniqueId val="{0000007D-F900-4243-8888-E2CCF32BDD82}"/>
            </c:ext>
          </c:extLst>
        </c:ser>
        <c:ser>
          <c:idx val="110"/>
          <c:order val="96"/>
          <c:tx>
            <c:v>US ATD CRABI 18 Seated Height</c:v>
          </c:tx>
          <c:spPr>
            <a:ln w="19050" cap="rnd">
              <a:solidFill>
                <a:schemeClr val="accent3"/>
              </a:solidFill>
              <a:round/>
            </a:ln>
            <a:effectLst/>
          </c:spPr>
          <c:marker>
            <c:symbol val="dash"/>
            <c:size val="15"/>
            <c:spPr>
              <a:solidFill>
                <a:srgbClr val="FF0000"/>
              </a:solidFill>
              <a:ln w="9525">
                <a:solidFill>
                  <a:schemeClr val="tx1"/>
                </a:solid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Solution!$AH$26</c:f>
              <c:numCache>
                <c:formatCode>General</c:formatCode>
                <c:ptCount val="1"/>
                <c:pt idx="0">
                  <c:v>0</c:v>
                </c:pt>
              </c:numCache>
            </c:numRef>
          </c:xVal>
          <c:yVal>
            <c:numRef>
              <c:f>Solution!$AA$26</c:f>
              <c:numCache>
                <c:formatCode>0.0</c:formatCode>
                <c:ptCount val="1"/>
                <c:pt idx="0">
                  <c:v>52.5</c:v>
                </c:pt>
              </c:numCache>
            </c:numRef>
          </c:yVal>
          <c:smooth val="1"/>
          <c:extLst>
            <c:ext xmlns:c16="http://schemas.microsoft.com/office/drawing/2014/chart" uri="{C3380CC4-5D6E-409C-BE32-E72D297353CC}">
              <c16:uniqueId val="{0000007E-F900-4243-8888-E2CCF32BDD82}"/>
            </c:ext>
          </c:extLst>
        </c:ser>
        <c:ser>
          <c:idx val="111"/>
          <c:order val="97"/>
          <c:tx>
            <c:v>EU ATD Q3 Seated Height</c:v>
          </c:tx>
          <c:spPr>
            <a:ln w="19050" cap="rnd">
              <a:solidFill>
                <a:schemeClr val="accent4"/>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Solution!$AH$27</c:f>
              <c:numCache>
                <c:formatCode>General</c:formatCode>
                <c:ptCount val="1"/>
                <c:pt idx="0">
                  <c:v>0</c:v>
                </c:pt>
              </c:numCache>
            </c:numRef>
          </c:xVal>
          <c:yVal>
            <c:numRef>
              <c:f>Solution!$AA$27</c:f>
              <c:numCache>
                <c:formatCode>0.0</c:formatCode>
                <c:ptCount val="1"/>
                <c:pt idx="0">
                  <c:v>0</c:v>
                </c:pt>
              </c:numCache>
            </c:numRef>
          </c:yVal>
          <c:smooth val="1"/>
          <c:extLst>
            <c:ext xmlns:c16="http://schemas.microsoft.com/office/drawing/2014/chart" uri="{C3380CC4-5D6E-409C-BE32-E72D297353CC}">
              <c16:uniqueId val="{0000007F-F900-4243-8888-E2CCF32BDD82}"/>
            </c:ext>
          </c:extLst>
        </c:ser>
        <c:ser>
          <c:idx val="112"/>
          <c:order val="98"/>
          <c:tx>
            <c:v>US ATD HIII-3yr Seated Height</c:v>
          </c:tx>
          <c:spPr>
            <a:ln w="19050" cap="rnd">
              <a:solidFill>
                <a:schemeClr val="accent5"/>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Solution!$AH$28</c:f>
              <c:numCache>
                <c:formatCode>General</c:formatCode>
                <c:ptCount val="1"/>
                <c:pt idx="0">
                  <c:v>0</c:v>
                </c:pt>
              </c:numCache>
            </c:numRef>
          </c:xVal>
          <c:yVal>
            <c:numRef>
              <c:f>Solution!$AA$28</c:f>
              <c:numCache>
                <c:formatCode>0.0</c:formatCode>
                <c:ptCount val="1"/>
                <c:pt idx="0">
                  <c:v>0</c:v>
                </c:pt>
              </c:numCache>
            </c:numRef>
          </c:yVal>
          <c:smooth val="1"/>
          <c:extLst>
            <c:ext xmlns:c16="http://schemas.microsoft.com/office/drawing/2014/chart" uri="{C3380CC4-5D6E-409C-BE32-E72D297353CC}">
              <c16:uniqueId val="{00000080-F900-4243-8888-E2CCF32BDD82}"/>
            </c:ext>
          </c:extLst>
        </c:ser>
        <c:ser>
          <c:idx val="113"/>
          <c:order val="99"/>
          <c:tx>
            <c:v>EU ATD Q6 Seated Height</c:v>
          </c:tx>
          <c:spPr>
            <a:ln w="19050" cap="rnd">
              <a:no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Solution!$AH$29</c:f>
              <c:numCache>
                <c:formatCode>General</c:formatCode>
                <c:ptCount val="1"/>
                <c:pt idx="0">
                  <c:v>0</c:v>
                </c:pt>
              </c:numCache>
            </c:numRef>
          </c:xVal>
          <c:yVal>
            <c:numRef>
              <c:f>Solution!$AA$29</c:f>
              <c:numCache>
                <c:formatCode>0.0</c:formatCode>
                <c:ptCount val="1"/>
                <c:pt idx="0">
                  <c:v>0</c:v>
                </c:pt>
              </c:numCache>
            </c:numRef>
          </c:yVal>
          <c:smooth val="1"/>
          <c:extLst>
            <c:ext xmlns:c16="http://schemas.microsoft.com/office/drawing/2014/chart" uri="{C3380CC4-5D6E-409C-BE32-E72D297353CC}">
              <c16:uniqueId val="{00000081-F900-4243-8888-E2CCF32BDD82}"/>
            </c:ext>
          </c:extLst>
        </c:ser>
        <c:ser>
          <c:idx val="114"/>
          <c:order val="100"/>
          <c:tx>
            <c:v>US ATD HIII-6yr Seated Height</c:v>
          </c:tx>
          <c:spPr>
            <a:ln w="19050" cap="rnd">
              <a:no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Solution!$AH$30</c:f>
              <c:numCache>
                <c:formatCode>General</c:formatCode>
                <c:ptCount val="1"/>
                <c:pt idx="0">
                  <c:v>0</c:v>
                </c:pt>
              </c:numCache>
            </c:numRef>
          </c:xVal>
          <c:yVal>
            <c:numRef>
              <c:f>Solution!$AA$30</c:f>
              <c:numCache>
                <c:formatCode>0.0</c:formatCode>
                <c:ptCount val="1"/>
                <c:pt idx="0">
                  <c:v>0</c:v>
                </c:pt>
              </c:numCache>
            </c:numRef>
          </c:yVal>
          <c:smooth val="1"/>
          <c:extLst>
            <c:ext xmlns:c16="http://schemas.microsoft.com/office/drawing/2014/chart" uri="{C3380CC4-5D6E-409C-BE32-E72D297353CC}">
              <c16:uniqueId val="{00000082-F900-4243-8888-E2CCF32BDD82}"/>
            </c:ext>
          </c:extLst>
        </c:ser>
        <c:ser>
          <c:idx val="115"/>
          <c:order val="101"/>
          <c:tx>
            <c:v>US ATD HIII-6yr wtd Seated Height</c:v>
          </c:tx>
          <c:spPr>
            <a:ln w="19050" cap="rnd">
              <a:no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Solution!$AH$31</c:f>
              <c:numCache>
                <c:formatCode>General</c:formatCode>
                <c:ptCount val="1"/>
                <c:pt idx="0">
                  <c:v>0</c:v>
                </c:pt>
              </c:numCache>
            </c:numRef>
          </c:xVal>
          <c:yVal>
            <c:numRef>
              <c:f>Solution!$AA$31</c:f>
              <c:numCache>
                <c:formatCode>0.0</c:formatCode>
                <c:ptCount val="1"/>
                <c:pt idx="0">
                  <c:v>0</c:v>
                </c:pt>
              </c:numCache>
            </c:numRef>
          </c:yVal>
          <c:smooth val="1"/>
          <c:extLst>
            <c:ext xmlns:c16="http://schemas.microsoft.com/office/drawing/2014/chart" uri="{C3380CC4-5D6E-409C-BE32-E72D297353CC}">
              <c16:uniqueId val="{00000083-F900-4243-8888-E2CCF32BDD82}"/>
            </c:ext>
          </c:extLst>
        </c:ser>
        <c:ser>
          <c:idx val="116"/>
          <c:order val="102"/>
          <c:tx>
            <c:v>US ATD HIII-10yr Seated Height</c:v>
          </c:tx>
          <c:spPr>
            <a:ln w="19050" cap="rnd">
              <a:solidFill>
                <a:schemeClr val="accent3">
                  <a:lumMod val="60000"/>
                </a:schemeClr>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Solution!$AH$32</c:f>
              <c:numCache>
                <c:formatCode>General</c:formatCode>
                <c:ptCount val="1"/>
                <c:pt idx="0">
                  <c:v>0</c:v>
                </c:pt>
              </c:numCache>
            </c:numRef>
          </c:xVal>
          <c:yVal>
            <c:numRef>
              <c:f>Solution!$AA$32</c:f>
              <c:numCache>
                <c:formatCode>0.0</c:formatCode>
                <c:ptCount val="1"/>
                <c:pt idx="0">
                  <c:v>0</c:v>
                </c:pt>
              </c:numCache>
            </c:numRef>
          </c:yVal>
          <c:smooth val="1"/>
          <c:extLst>
            <c:ext xmlns:c16="http://schemas.microsoft.com/office/drawing/2014/chart" uri="{C3380CC4-5D6E-409C-BE32-E72D297353CC}">
              <c16:uniqueId val="{00000084-F900-4243-8888-E2CCF32BDD82}"/>
            </c:ext>
          </c:extLst>
        </c:ser>
        <c:ser>
          <c:idx val="117"/>
          <c:order val="103"/>
          <c:tx>
            <c:v>EU ATD Q10 Seated Height</c:v>
          </c:tx>
          <c:spPr>
            <a:ln w="19050" cap="rnd">
              <a:solidFill>
                <a:schemeClr val="accent4">
                  <a:lumMod val="60000"/>
                </a:schemeClr>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Solution!$AH$33</c:f>
              <c:numCache>
                <c:formatCode>General</c:formatCode>
                <c:ptCount val="1"/>
                <c:pt idx="0">
                  <c:v>0</c:v>
                </c:pt>
              </c:numCache>
            </c:numRef>
          </c:xVal>
          <c:yVal>
            <c:numRef>
              <c:f>Solution!$AA$33</c:f>
              <c:numCache>
                <c:formatCode>0.0</c:formatCode>
                <c:ptCount val="1"/>
                <c:pt idx="0">
                  <c:v>0</c:v>
                </c:pt>
              </c:numCache>
            </c:numRef>
          </c:yVal>
          <c:smooth val="1"/>
          <c:extLst>
            <c:ext xmlns:c16="http://schemas.microsoft.com/office/drawing/2014/chart" uri="{C3380CC4-5D6E-409C-BE32-E72D297353CC}">
              <c16:uniqueId val="{00000085-F900-4243-8888-E2CCF32BDD82}"/>
            </c:ext>
          </c:extLst>
        </c:ser>
        <c:ser>
          <c:idx val="72"/>
          <c:order val="104"/>
          <c:tx>
            <c:v>US ATD Primi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6-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Solution!$AN$19:$AN$22</c:f>
              <c:numCache>
                <c:formatCode>0.0</c:formatCode>
                <c:ptCount val="4"/>
                <c:pt idx="0">
                  <c:v>-4.5</c:v>
                </c:pt>
                <c:pt idx="1">
                  <c:v>-4.1400000000000006</c:v>
                </c:pt>
                <c:pt idx="2">
                  <c:v>-1.6560000000000004</c:v>
                </c:pt>
                <c:pt idx="3">
                  <c:v>0</c:v>
                </c:pt>
              </c:numCache>
            </c:numRef>
          </c:xVal>
          <c:yVal>
            <c:numRef>
              <c:f>Solution!$AO$19:$AO$22</c:f>
              <c:numCache>
                <c:formatCode>0.0</c:formatCode>
                <c:ptCount val="4"/>
                <c:pt idx="0">
                  <c:v>-2</c:v>
                </c:pt>
                <c:pt idx="1">
                  <c:v>-4.07</c:v>
                </c:pt>
                <c:pt idx="2">
                  <c:v>-6.1400000000000006</c:v>
                </c:pt>
                <c:pt idx="3">
                  <c:v>-6.5</c:v>
                </c:pt>
              </c:numCache>
            </c:numRef>
          </c:yVal>
          <c:smooth val="1"/>
          <c:extLst>
            <c:ext xmlns:c16="http://schemas.microsoft.com/office/drawing/2014/chart" uri="{C3380CC4-5D6E-409C-BE32-E72D297353CC}">
              <c16:uniqueId val="{00000087-F900-4243-8888-E2CCF32BDD82}"/>
            </c:ext>
          </c:extLst>
        </c:ser>
        <c:ser>
          <c:idx val="73"/>
          <c:order val="105"/>
          <c:tx>
            <c:v>US ATD Primi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8-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Solution!$AX$20:$AX$22</c:f>
              <c:numCache>
                <c:formatCode>0.0</c:formatCode>
                <c:ptCount val="3"/>
                <c:pt idx="0">
                  <c:v>-6.4418181818181814</c:v>
                </c:pt>
                <c:pt idx="1">
                  <c:v>-7.4862545454545453</c:v>
                </c:pt>
                <c:pt idx="2">
                  <c:v>-7.5</c:v>
                </c:pt>
              </c:numCache>
            </c:numRef>
          </c:xVal>
          <c:yVal>
            <c:numRef>
              <c:f>Solution!$AY$20:$AY$22</c:f>
              <c:numCache>
                <c:formatCode>0.0</c:formatCode>
                <c:ptCount val="3"/>
                <c:pt idx="0">
                  <c:v>19</c:v>
                </c:pt>
                <c:pt idx="1">
                  <c:v>18.735454545454544</c:v>
                </c:pt>
                <c:pt idx="2">
                  <c:v>17.941818181818181</c:v>
                </c:pt>
              </c:numCache>
            </c:numRef>
          </c:yVal>
          <c:smooth val="1"/>
          <c:extLst>
            <c:ext xmlns:c16="http://schemas.microsoft.com/office/drawing/2014/chart" uri="{C3380CC4-5D6E-409C-BE32-E72D297353CC}">
              <c16:uniqueId val="{00000089-F900-4243-8888-E2CCF32BDD82}"/>
            </c:ext>
          </c:extLst>
        </c:ser>
        <c:ser>
          <c:idx val="75"/>
          <c:order val="106"/>
          <c:tx>
            <c:v>US ATD Primi Seated Height</c:v>
          </c:tx>
          <c:spPr>
            <a:ln w="19050" cap="rnd">
              <a:solidFill>
                <a:schemeClr val="accent4">
                  <a:lumMod val="80000"/>
                </a:schemeClr>
              </a:solidFill>
              <a:round/>
            </a:ln>
            <a:effectLst/>
          </c:spPr>
          <c:marker>
            <c:symbol val="dash"/>
            <c:size val="15"/>
            <c:spPr>
              <a:solidFill>
                <a:srgbClr val="FF0000"/>
              </a:solidFill>
              <a:ln w="9525">
                <a:solidFill>
                  <a:schemeClr val="tx1"/>
                </a:solidFill>
              </a:ln>
              <a:effectLst/>
            </c:spPr>
          </c:marker>
          <c:dLbls>
            <c:dLbl>
              <c:idx val="0"/>
              <c:layout>
                <c:manualLayout>
                  <c:x val="-5.791871510984991E-2"/>
                  <c:y val="3.35751116464918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8.7072758037225029E-2"/>
                      <c:h val="3.6366641203431659E-2"/>
                    </c:manualLayout>
                  </c15:layout>
                </c:ext>
                <c:ext xmlns:c16="http://schemas.microsoft.com/office/drawing/2014/chart" uri="{C3380CC4-5D6E-409C-BE32-E72D297353CC}">
                  <c16:uniqueId val="{0000008A-F900-4243-8888-E2CCF32BDD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Solution!$AH$19</c:f>
              <c:numCache>
                <c:formatCode>General</c:formatCode>
                <c:ptCount val="1"/>
                <c:pt idx="0">
                  <c:v>0</c:v>
                </c:pt>
              </c:numCache>
            </c:numRef>
          </c:xVal>
          <c:yVal>
            <c:numRef>
              <c:f>Solution!$AA$19</c:f>
              <c:numCache>
                <c:formatCode>General</c:formatCode>
                <c:ptCount val="1"/>
                <c:pt idx="0">
                  <c:v>29</c:v>
                </c:pt>
              </c:numCache>
            </c:numRef>
          </c:yVal>
          <c:smooth val="1"/>
          <c:extLst>
            <c:ext xmlns:c16="http://schemas.microsoft.com/office/drawing/2014/chart" uri="{C3380CC4-5D6E-409C-BE32-E72D297353CC}">
              <c16:uniqueId val="{0000008B-F900-4243-8888-E2CCF32BDD82}"/>
            </c:ext>
          </c:extLst>
        </c:ser>
        <c:ser>
          <c:idx val="77"/>
          <c:order val="107"/>
          <c:tx>
            <c:v>US ATD 5th Female Seated Height</c:v>
          </c:tx>
          <c:spPr>
            <a:ln w="19050" cap="rnd">
              <a:solidFill>
                <a:schemeClr val="accent6">
                  <a:lumMod val="80000"/>
                </a:schemeClr>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Solution!$AH$34</c:f>
              <c:numCache>
                <c:formatCode>General</c:formatCode>
                <c:ptCount val="1"/>
                <c:pt idx="0">
                  <c:v>0</c:v>
                </c:pt>
              </c:numCache>
            </c:numRef>
          </c:xVal>
          <c:yVal>
            <c:numRef>
              <c:f>Solution!$AA$34</c:f>
              <c:numCache>
                <c:formatCode>0.0</c:formatCode>
                <c:ptCount val="1"/>
                <c:pt idx="0">
                  <c:v>0</c:v>
                </c:pt>
              </c:numCache>
            </c:numRef>
          </c:yVal>
          <c:smooth val="1"/>
          <c:extLst>
            <c:ext xmlns:c16="http://schemas.microsoft.com/office/drawing/2014/chart" uri="{C3380CC4-5D6E-409C-BE32-E72D297353CC}">
              <c16:uniqueId val="{0000008C-F900-4243-8888-E2CCF32BDD82}"/>
            </c:ext>
          </c:extLst>
        </c:ser>
        <c:ser>
          <c:idx val="79"/>
          <c:order val="108"/>
          <c:tx>
            <c:v>US ATD 5th Female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3349666978927538"/>
                  <c:y val="1.650391896601778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D-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Solution!$AN$124:$AN$127</c:f>
              <c:numCache>
                <c:formatCode>0.0</c:formatCode>
                <c:ptCount val="4"/>
                <c:pt idx="0">
                  <c:v>0</c:v>
                </c:pt>
                <c:pt idx="1">
                  <c:v>0</c:v>
                </c:pt>
                <c:pt idx="2">
                  <c:v>0</c:v>
                </c:pt>
                <c:pt idx="3">
                  <c:v>0</c:v>
                </c:pt>
              </c:numCache>
            </c:numRef>
          </c:xVal>
          <c:yVal>
            <c:numRef>
              <c:f>Solution!$AO$124:$AO$127</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8E-F900-4243-8888-E2CCF32BDD82}"/>
            </c:ext>
          </c:extLst>
        </c:ser>
        <c:ser>
          <c:idx val="81"/>
          <c:order val="109"/>
          <c:tx>
            <c:v>US ATD 5th Femle Right Shoulder</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1265022886683214"/>
                  <c:y val="-3.080731540323323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F-F900-4243-8888-E2CCF32BDD82}"/>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Solution!$AX$125:$AX$127</c:f>
              <c:numCache>
                <c:formatCode>General</c:formatCode>
                <c:ptCount val="3"/>
                <c:pt idx="0">
                  <c:v>0</c:v>
                </c:pt>
                <c:pt idx="1">
                  <c:v>0</c:v>
                </c:pt>
                <c:pt idx="2">
                  <c:v>0</c:v>
                </c:pt>
              </c:numCache>
            </c:numRef>
          </c:xVal>
          <c:yVal>
            <c:numRef>
              <c:f>Solution!$AY$125:$AY$127</c:f>
              <c:numCache>
                <c:formatCode>0.0</c:formatCode>
                <c:ptCount val="3"/>
                <c:pt idx="0">
                  <c:v>0</c:v>
                </c:pt>
                <c:pt idx="1">
                  <c:v>0</c:v>
                </c:pt>
                <c:pt idx="2">
                  <c:v>0</c:v>
                </c:pt>
              </c:numCache>
            </c:numRef>
          </c:yVal>
          <c:smooth val="1"/>
          <c:extLst>
            <c:ext xmlns:c16="http://schemas.microsoft.com/office/drawing/2014/chart" uri="{C3380CC4-5D6E-409C-BE32-E72D297353CC}">
              <c16:uniqueId val="{00000090-F900-4243-8888-E2CCF32BDD82}"/>
            </c:ext>
          </c:extLst>
        </c:ser>
        <c:ser>
          <c:idx val="84"/>
          <c:order val="110"/>
          <c:tx>
            <c:v>IIHS SB Right Inside</c:v>
          </c:tx>
          <c:spPr>
            <a:ln w="19050" cap="rnd">
              <a:solidFill>
                <a:srgbClr val="FF0000"/>
              </a:solidFill>
              <a:round/>
            </a:ln>
            <a:effectLst/>
          </c:spPr>
          <c:marker>
            <c:symbol val="diamond"/>
            <c:size val="8"/>
            <c:spPr>
              <a:solidFill>
                <a:srgbClr val="FF0000"/>
              </a:solidFill>
              <a:ln w="9525">
                <a:solidFill>
                  <a:schemeClr val="tx1"/>
                </a:solidFill>
              </a:ln>
              <a:effectLst/>
            </c:spPr>
          </c:marker>
          <c:xVal>
            <c:numRef>
              <c:f>Solution!$AB$77:$AB$81</c:f>
              <c:numCache>
                <c:formatCode>0.0</c:formatCode>
                <c:ptCount val="5"/>
                <c:pt idx="0">
                  <c:v>0</c:v>
                </c:pt>
                <c:pt idx="1">
                  <c:v>0</c:v>
                </c:pt>
                <c:pt idx="2">
                  <c:v>0</c:v>
                </c:pt>
                <c:pt idx="3">
                  <c:v>0</c:v>
                </c:pt>
                <c:pt idx="4">
                  <c:v>0</c:v>
                </c:pt>
              </c:numCache>
            </c:numRef>
          </c:xVal>
          <c:yVal>
            <c:numRef>
              <c:f>Solution!$Z$77:$Z$81</c:f>
              <c:numCache>
                <c:formatCode>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91-F900-4243-8888-E2CCF32BDD82}"/>
            </c:ext>
          </c:extLst>
        </c:ser>
        <c:ser>
          <c:idx val="85"/>
          <c:order val="111"/>
          <c:tx>
            <c:v>IIHS SB Outside</c:v>
          </c:tx>
          <c:spPr>
            <a:ln w="19050" cap="rnd">
              <a:solidFill>
                <a:srgbClr val="FF0000"/>
              </a:solidFill>
              <a:round/>
            </a:ln>
            <a:effectLst/>
          </c:spPr>
          <c:marker>
            <c:symbol val="diamond"/>
            <c:size val="8"/>
            <c:spPr>
              <a:solidFill>
                <a:srgbClr val="FF0000"/>
              </a:solidFill>
              <a:ln w="9525">
                <a:solidFill>
                  <a:schemeClr val="tx1"/>
                </a:solidFill>
              </a:ln>
              <a:effectLst/>
            </c:spPr>
          </c:marker>
          <c:xVal>
            <c:numRef>
              <c:f>Solution!$AD$77:$AD$81</c:f>
              <c:numCache>
                <c:formatCode>0.0</c:formatCode>
                <c:ptCount val="5"/>
                <c:pt idx="0">
                  <c:v>0</c:v>
                </c:pt>
                <c:pt idx="1">
                  <c:v>0</c:v>
                </c:pt>
                <c:pt idx="2">
                  <c:v>0</c:v>
                </c:pt>
                <c:pt idx="3">
                  <c:v>0</c:v>
                </c:pt>
                <c:pt idx="4">
                  <c:v>0</c:v>
                </c:pt>
              </c:numCache>
            </c:numRef>
          </c:xVal>
          <c:yVal>
            <c:numRef>
              <c:f>Solution!$Z$77:$Z$81</c:f>
              <c:numCache>
                <c:formatCode>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92-F900-4243-8888-E2CCF32BDD82}"/>
            </c:ext>
          </c:extLst>
        </c:ser>
        <c:ser>
          <c:idx val="88"/>
          <c:order val="112"/>
          <c:tx>
            <c:v>Thigh R 5th 1</c:v>
          </c:tx>
          <c:spPr>
            <a:ln w="19050" cap="rnd">
              <a:solidFill>
                <a:schemeClr val="accent5">
                  <a:lumMod val="60000"/>
                  <a:lumOff val="40000"/>
                </a:schemeClr>
              </a:solidFill>
              <a:round/>
            </a:ln>
            <a:effectLst/>
          </c:spPr>
          <c:marker>
            <c:symbol val="circle"/>
            <c:size val="2"/>
            <c:spPr>
              <a:solidFill>
                <a:schemeClr val="accent1">
                  <a:lumMod val="60000"/>
                  <a:lumOff val="40000"/>
                </a:schemeClr>
              </a:solidFill>
              <a:ln w="9525">
                <a:noFill/>
              </a:ln>
              <a:effectLst/>
            </c:spPr>
          </c:marker>
          <c:xVal>
            <c:numRef>
              <c:f>Solution!$BI$19:$BI$22</c:f>
              <c:numCache>
                <c:formatCode>0.0</c:formatCode>
                <c:ptCount val="4"/>
                <c:pt idx="0">
                  <c:v>-4.6989999999999998</c:v>
                </c:pt>
                <c:pt idx="1">
                  <c:v>-4.2290999999999999</c:v>
                </c:pt>
                <c:pt idx="2">
                  <c:v>-2.3698999999999999</c:v>
                </c:pt>
                <c:pt idx="3">
                  <c:v>-1.9</c:v>
                </c:pt>
              </c:numCache>
            </c:numRef>
          </c:xVal>
          <c:yVal>
            <c:numRef>
              <c:f>Solution!$BJ$19:$BJ$22</c:f>
              <c:numCache>
                <c:formatCode>0.0</c:formatCode>
                <c:ptCount val="4"/>
                <c:pt idx="0">
                  <c:v>2</c:v>
                </c:pt>
                <c:pt idx="1">
                  <c:v>5.048</c:v>
                </c:pt>
                <c:pt idx="2">
                  <c:v>5.048</c:v>
                </c:pt>
                <c:pt idx="3">
                  <c:v>2</c:v>
                </c:pt>
              </c:numCache>
            </c:numRef>
          </c:yVal>
          <c:smooth val="1"/>
          <c:extLst>
            <c:ext xmlns:c16="http://schemas.microsoft.com/office/drawing/2014/chart" uri="{C3380CC4-5D6E-409C-BE32-E72D297353CC}">
              <c16:uniqueId val="{00000093-F900-4243-8888-E2CCF32BDD82}"/>
            </c:ext>
          </c:extLst>
        </c:ser>
        <c:ser>
          <c:idx val="90"/>
          <c:order val="113"/>
          <c:tx>
            <c:v>Thigh R Mean 1</c:v>
          </c:tx>
          <c:spPr>
            <a:ln w="19050" cap="rnd">
              <a:solidFill>
                <a:srgbClr val="00B050"/>
              </a:solidFill>
              <a:round/>
            </a:ln>
            <a:effectLst/>
          </c:spPr>
          <c:marker>
            <c:symbol val="circle"/>
            <c:size val="2"/>
            <c:spPr>
              <a:solidFill>
                <a:srgbClr val="00B050"/>
              </a:solidFill>
              <a:ln w="9525">
                <a:noFill/>
              </a:ln>
              <a:effectLst/>
            </c:spPr>
          </c:marker>
          <c:xVal>
            <c:numRef>
              <c:f>Solution!$BK$19:$BK$22</c:f>
              <c:numCache>
                <c:formatCode>0.0</c:formatCode>
                <c:ptCount val="4"/>
                <c:pt idx="0">
                  <c:v>-6.7309999999999999</c:v>
                </c:pt>
                <c:pt idx="1">
                  <c:v>-6.0579000000000001</c:v>
                </c:pt>
                <c:pt idx="2">
                  <c:v>-2.5731000000000002</c:v>
                </c:pt>
                <c:pt idx="3">
                  <c:v>-1.9</c:v>
                </c:pt>
              </c:numCache>
            </c:numRef>
          </c:xVal>
          <c:yVal>
            <c:numRef>
              <c:f>Solution!$BL$19:$BL$22</c:f>
              <c:numCache>
                <c:formatCode>0.0</c:formatCode>
                <c:ptCount val="4"/>
                <c:pt idx="0">
                  <c:v>2</c:v>
                </c:pt>
                <c:pt idx="1">
                  <c:v>7.3340000000000005</c:v>
                </c:pt>
                <c:pt idx="2">
                  <c:v>7.3340000000000005</c:v>
                </c:pt>
                <c:pt idx="3">
                  <c:v>2</c:v>
                </c:pt>
              </c:numCache>
            </c:numRef>
          </c:yVal>
          <c:smooth val="1"/>
          <c:extLst>
            <c:ext xmlns:c16="http://schemas.microsoft.com/office/drawing/2014/chart" uri="{C3380CC4-5D6E-409C-BE32-E72D297353CC}">
              <c16:uniqueId val="{00000094-F900-4243-8888-E2CCF32BDD82}"/>
            </c:ext>
          </c:extLst>
        </c:ser>
        <c:ser>
          <c:idx val="92"/>
          <c:order val="114"/>
          <c:tx>
            <c:v>Thigh R 95th 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Solution!$BM$19:$BM$22</c:f>
              <c:numCache>
                <c:formatCode>0.0</c:formatCode>
                <c:ptCount val="4"/>
                <c:pt idx="0">
                  <c:v>-8.7629999999999999</c:v>
                </c:pt>
                <c:pt idx="1">
                  <c:v>-7.8867000000000003</c:v>
                </c:pt>
                <c:pt idx="2">
                  <c:v>-2.7763</c:v>
                </c:pt>
                <c:pt idx="3">
                  <c:v>-1.9</c:v>
                </c:pt>
              </c:numCache>
            </c:numRef>
          </c:xVal>
          <c:yVal>
            <c:numRef>
              <c:f>Solution!$BN$19:$BN$22</c:f>
              <c:numCache>
                <c:formatCode>0.0</c:formatCode>
                <c:ptCount val="4"/>
                <c:pt idx="0">
                  <c:v>2</c:v>
                </c:pt>
                <c:pt idx="1">
                  <c:v>9.620000000000001</c:v>
                </c:pt>
                <c:pt idx="2">
                  <c:v>9.620000000000001</c:v>
                </c:pt>
                <c:pt idx="3">
                  <c:v>2</c:v>
                </c:pt>
              </c:numCache>
            </c:numRef>
          </c:yVal>
          <c:smooth val="1"/>
          <c:extLst>
            <c:ext xmlns:c16="http://schemas.microsoft.com/office/drawing/2014/chart" uri="{C3380CC4-5D6E-409C-BE32-E72D297353CC}">
              <c16:uniqueId val="{00000095-F900-4243-8888-E2CCF32BDD82}"/>
            </c:ext>
          </c:extLst>
        </c:ser>
        <c:ser>
          <c:idx val="93"/>
          <c:order val="115"/>
          <c:tx>
            <c:v>Thigh L 5th 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Solution!$BP$19:$BP$22</c:f>
              <c:numCache>
                <c:formatCode>0.0</c:formatCode>
                <c:ptCount val="4"/>
                <c:pt idx="0">
                  <c:v>4.6989999999999998</c:v>
                </c:pt>
                <c:pt idx="1">
                  <c:v>4.2290999999999999</c:v>
                </c:pt>
                <c:pt idx="2">
                  <c:v>2.3698999999999999</c:v>
                </c:pt>
                <c:pt idx="3">
                  <c:v>1.9</c:v>
                </c:pt>
              </c:numCache>
            </c:numRef>
          </c:xVal>
          <c:yVal>
            <c:numRef>
              <c:f>Solution!$BQ$19:$BQ$22</c:f>
              <c:numCache>
                <c:formatCode>0.0</c:formatCode>
                <c:ptCount val="4"/>
                <c:pt idx="0">
                  <c:v>2</c:v>
                </c:pt>
                <c:pt idx="1">
                  <c:v>5.048</c:v>
                </c:pt>
                <c:pt idx="2">
                  <c:v>5.048</c:v>
                </c:pt>
                <c:pt idx="3">
                  <c:v>2</c:v>
                </c:pt>
              </c:numCache>
            </c:numRef>
          </c:yVal>
          <c:smooth val="1"/>
          <c:extLst>
            <c:ext xmlns:c16="http://schemas.microsoft.com/office/drawing/2014/chart" uri="{C3380CC4-5D6E-409C-BE32-E72D297353CC}">
              <c16:uniqueId val="{00000096-F900-4243-8888-E2CCF32BDD82}"/>
            </c:ext>
          </c:extLst>
        </c:ser>
        <c:ser>
          <c:idx val="96"/>
          <c:order val="116"/>
          <c:tx>
            <c:v>Thigh L Mean 1</c:v>
          </c:tx>
          <c:spPr>
            <a:ln w="19050" cap="rnd">
              <a:solidFill>
                <a:srgbClr val="00B050"/>
              </a:solidFill>
              <a:round/>
            </a:ln>
            <a:effectLst/>
          </c:spPr>
          <c:marker>
            <c:symbol val="circle"/>
            <c:size val="2"/>
            <c:spPr>
              <a:solidFill>
                <a:srgbClr val="00B050"/>
              </a:solidFill>
              <a:ln w="9525">
                <a:noFill/>
              </a:ln>
              <a:effectLst/>
            </c:spPr>
          </c:marker>
          <c:xVal>
            <c:numRef>
              <c:f>Solution!$BR$19:$BR$22</c:f>
              <c:numCache>
                <c:formatCode>0.0</c:formatCode>
                <c:ptCount val="4"/>
                <c:pt idx="0">
                  <c:v>6.7309999999999999</c:v>
                </c:pt>
                <c:pt idx="1">
                  <c:v>6.0579000000000001</c:v>
                </c:pt>
                <c:pt idx="2">
                  <c:v>2.5731000000000002</c:v>
                </c:pt>
                <c:pt idx="3">
                  <c:v>1.9</c:v>
                </c:pt>
              </c:numCache>
            </c:numRef>
          </c:xVal>
          <c:yVal>
            <c:numRef>
              <c:f>Solution!$BS$19:$BS$22</c:f>
              <c:numCache>
                <c:formatCode>0.0</c:formatCode>
                <c:ptCount val="4"/>
                <c:pt idx="0">
                  <c:v>2</c:v>
                </c:pt>
                <c:pt idx="1">
                  <c:v>7.3340000000000005</c:v>
                </c:pt>
                <c:pt idx="2">
                  <c:v>7.3340000000000005</c:v>
                </c:pt>
                <c:pt idx="3">
                  <c:v>2</c:v>
                </c:pt>
              </c:numCache>
            </c:numRef>
          </c:yVal>
          <c:smooth val="1"/>
          <c:extLst>
            <c:ext xmlns:c16="http://schemas.microsoft.com/office/drawing/2014/chart" uri="{C3380CC4-5D6E-409C-BE32-E72D297353CC}">
              <c16:uniqueId val="{00000097-F900-4243-8888-E2CCF32BDD82}"/>
            </c:ext>
          </c:extLst>
        </c:ser>
        <c:ser>
          <c:idx val="97"/>
          <c:order val="117"/>
          <c:tx>
            <c:v>Thigh L 95th 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Solution!$BT$19:$BT$22</c:f>
              <c:numCache>
                <c:formatCode>0.0</c:formatCode>
                <c:ptCount val="4"/>
                <c:pt idx="0">
                  <c:v>8.7629999999999999</c:v>
                </c:pt>
                <c:pt idx="1">
                  <c:v>7.8867000000000003</c:v>
                </c:pt>
                <c:pt idx="2">
                  <c:v>2.7763</c:v>
                </c:pt>
                <c:pt idx="3">
                  <c:v>1.9</c:v>
                </c:pt>
              </c:numCache>
            </c:numRef>
          </c:xVal>
          <c:yVal>
            <c:numRef>
              <c:f>Solution!$BU$19:$BU$22</c:f>
              <c:numCache>
                <c:formatCode>0.0</c:formatCode>
                <c:ptCount val="4"/>
                <c:pt idx="0">
                  <c:v>2</c:v>
                </c:pt>
                <c:pt idx="1">
                  <c:v>9.620000000000001</c:v>
                </c:pt>
                <c:pt idx="2">
                  <c:v>9.620000000000001</c:v>
                </c:pt>
                <c:pt idx="3">
                  <c:v>2</c:v>
                </c:pt>
              </c:numCache>
            </c:numRef>
          </c:yVal>
          <c:smooth val="1"/>
          <c:extLst>
            <c:ext xmlns:c16="http://schemas.microsoft.com/office/drawing/2014/chart" uri="{C3380CC4-5D6E-409C-BE32-E72D297353CC}">
              <c16:uniqueId val="{00000098-F900-4243-8888-E2CCF32BDD82}"/>
            </c:ext>
          </c:extLst>
        </c:ser>
        <c:ser>
          <c:idx val="118"/>
          <c:order val="118"/>
          <c:tx>
            <c:v>Thigh R 5th 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Solution!$BI$23:$BI$26</c:f>
              <c:numCache>
                <c:formatCode>0.0</c:formatCode>
                <c:ptCount val="4"/>
                <c:pt idx="0">
                  <c:v>-6.2229999999999999</c:v>
                </c:pt>
                <c:pt idx="1">
                  <c:v>-5.6006999999999998</c:v>
                </c:pt>
                <c:pt idx="2">
                  <c:v>-2.5223</c:v>
                </c:pt>
                <c:pt idx="3">
                  <c:v>-1.9</c:v>
                </c:pt>
              </c:numCache>
            </c:numRef>
          </c:xVal>
          <c:yVal>
            <c:numRef>
              <c:f>Solution!$BJ$23:$BJ$26</c:f>
              <c:numCache>
                <c:formatCode>0.0</c:formatCode>
                <c:ptCount val="4"/>
                <c:pt idx="0">
                  <c:v>2</c:v>
                </c:pt>
                <c:pt idx="1">
                  <c:v>5.3019999999999996</c:v>
                </c:pt>
                <c:pt idx="2">
                  <c:v>5.3019999999999996</c:v>
                </c:pt>
                <c:pt idx="3">
                  <c:v>2</c:v>
                </c:pt>
              </c:numCache>
            </c:numRef>
          </c:yVal>
          <c:smooth val="1"/>
          <c:extLst>
            <c:ext xmlns:c16="http://schemas.microsoft.com/office/drawing/2014/chart" uri="{C3380CC4-5D6E-409C-BE32-E72D297353CC}">
              <c16:uniqueId val="{00000099-F900-4243-8888-E2CCF32BDD82}"/>
            </c:ext>
          </c:extLst>
        </c:ser>
        <c:ser>
          <c:idx val="119"/>
          <c:order val="119"/>
          <c:tx>
            <c:v>Thigh R Mean 2</c:v>
          </c:tx>
          <c:spPr>
            <a:ln w="19050" cap="rnd">
              <a:solidFill>
                <a:srgbClr val="00B050"/>
              </a:solidFill>
              <a:round/>
            </a:ln>
            <a:effectLst/>
          </c:spPr>
          <c:marker>
            <c:symbol val="circle"/>
            <c:size val="2"/>
            <c:spPr>
              <a:solidFill>
                <a:srgbClr val="00B050"/>
              </a:solidFill>
              <a:ln w="9525">
                <a:noFill/>
              </a:ln>
              <a:effectLst/>
            </c:spPr>
          </c:marker>
          <c:xVal>
            <c:numRef>
              <c:f>Solution!$BK$23:$BK$26</c:f>
              <c:numCache>
                <c:formatCode>0.0</c:formatCode>
                <c:ptCount val="4"/>
                <c:pt idx="0">
                  <c:v>-7.7469999999999999</c:v>
                </c:pt>
                <c:pt idx="1">
                  <c:v>-6.9722999999999997</c:v>
                </c:pt>
                <c:pt idx="2">
                  <c:v>-2.6747000000000001</c:v>
                </c:pt>
                <c:pt idx="3">
                  <c:v>-1.9</c:v>
                </c:pt>
              </c:numCache>
            </c:numRef>
          </c:xVal>
          <c:yVal>
            <c:numRef>
              <c:f>Solution!$BL$23:$BL$26</c:f>
              <c:numCache>
                <c:formatCode>0.0</c:formatCode>
                <c:ptCount val="4"/>
                <c:pt idx="0">
                  <c:v>2</c:v>
                </c:pt>
                <c:pt idx="1">
                  <c:v>8.35</c:v>
                </c:pt>
                <c:pt idx="2">
                  <c:v>8.35</c:v>
                </c:pt>
                <c:pt idx="3">
                  <c:v>2</c:v>
                </c:pt>
              </c:numCache>
            </c:numRef>
          </c:yVal>
          <c:smooth val="1"/>
          <c:extLst>
            <c:ext xmlns:c16="http://schemas.microsoft.com/office/drawing/2014/chart" uri="{C3380CC4-5D6E-409C-BE32-E72D297353CC}">
              <c16:uniqueId val="{0000009A-F900-4243-8888-E2CCF32BDD82}"/>
            </c:ext>
          </c:extLst>
        </c:ser>
        <c:ser>
          <c:idx val="120"/>
          <c:order val="120"/>
          <c:tx>
            <c:v>Thigh R 95th 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Solution!$BM$23:$BM$26</c:f>
              <c:numCache>
                <c:formatCode>0.0</c:formatCode>
                <c:ptCount val="4"/>
                <c:pt idx="0">
                  <c:v>0</c:v>
                </c:pt>
                <c:pt idx="1">
                  <c:v>0</c:v>
                </c:pt>
                <c:pt idx="2">
                  <c:v>-1.9</c:v>
                </c:pt>
                <c:pt idx="3">
                  <c:v>-1.9</c:v>
                </c:pt>
              </c:numCache>
            </c:numRef>
          </c:xVal>
          <c:yVal>
            <c:numRef>
              <c:f>Solution!$BN$23:$BN$26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9B-F900-4243-8888-E2CCF32BDD82}"/>
            </c:ext>
          </c:extLst>
        </c:ser>
        <c:ser>
          <c:idx val="121"/>
          <c:order val="121"/>
          <c:tx>
            <c:v>Thigh L 5th 2</c:v>
          </c:tx>
          <c:spPr>
            <a:ln w="19050" cap="rnd">
              <a:solidFill>
                <a:schemeClr val="accent5">
                  <a:lumMod val="60000"/>
                  <a:lumOff val="40000"/>
                </a:schemeClr>
              </a:solidFill>
              <a:round/>
            </a:ln>
            <a:effectLst/>
          </c:spPr>
          <c:marker>
            <c:symbol val="circle"/>
            <c:size val="2"/>
            <c:spPr>
              <a:solidFill>
                <a:schemeClr val="accent2">
                  <a:lumMod val="80000"/>
                  <a:lumOff val="20000"/>
                </a:schemeClr>
              </a:solidFill>
              <a:ln w="9525">
                <a:noFill/>
              </a:ln>
              <a:effectLst/>
            </c:spPr>
          </c:marker>
          <c:xVal>
            <c:numRef>
              <c:f>Solution!$BP$23:$BP$26</c:f>
              <c:numCache>
                <c:formatCode>0.0</c:formatCode>
                <c:ptCount val="4"/>
                <c:pt idx="0">
                  <c:v>6.2229999999999999</c:v>
                </c:pt>
                <c:pt idx="1">
                  <c:v>5.6006999999999998</c:v>
                </c:pt>
                <c:pt idx="2">
                  <c:v>2.5223</c:v>
                </c:pt>
                <c:pt idx="3">
                  <c:v>1.9</c:v>
                </c:pt>
              </c:numCache>
            </c:numRef>
          </c:xVal>
          <c:yVal>
            <c:numRef>
              <c:f>Solution!$BQ$23:$BQ$26</c:f>
              <c:numCache>
                <c:formatCode>0.0</c:formatCode>
                <c:ptCount val="4"/>
                <c:pt idx="0">
                  <c:v>2</c:v>
                </c:pt>
                <c:pt idx="1">
                  <c:v>5.3019999999999996</c:v>
                </c:pt>
                <c:pt idx="2">
                  <c:v>5.3019999999999996</c:v>
                </c:pt>
                <c:pt idx="3">
                  <c:v>2</c:v>
                </c:pt>
              </c:numCache>
            </c:numRef>
          </c:yVal>
          <c:smooth val="1"/>
          <c:extLst>
            <c:ext xmlns:c16="http://schemas.microsoft.com/office/drawing/2014/chart" uri="{C3380CC4-5D6E-409C-BE32-E72D297353CC}">
              <c16:uniqueId val="{0000009C-F900-4243-8888-E2CCF32BDD82}"/>
            </c:ext>
          </c:extLst>
        </c:ser>
        <c:ser>
          <c:idx val="122"/>
          <c:order val="122"/>
          <c:tx>
            <c:v>Thigh L Mean 2</c:v>
          </c:tx>
          <c:spPr>
            <a:ln w="19050" cap="rnd">
              <a:solidFill>
                <a:srgbClr val="00B050"/>
              </a:solidFill>
              <a:round/>
            </a:ln>
            <a:effectLst/>
          </c:spPr>
          <c:marker>
            <c:symbol val="circle"/>
            <c:size val="2"/>
            <c:spPr>
              <a:solidFill>
                <a:srgbClr val="00B050"/>
              </a:solidFill>
              <a:ln w="9525">
                <a:noFill/>
              </a:ln>
              <a:effectLst/>
            </c:spPr>
          </c:marker>
          <c:xVal>
            <c:numRef>
              <c:f>Solution!$BR$23:$BR$26</c:f>
              <c:numCache>
                <c:formatCode>0.0</c:formatCode>
                <c:ptCount val="4"/>
                <c:pt idx="0">
                  <c:v>7.7469999999999999</c:v>
                </c:pt>
                <c:pt idx="1">
                  <c:v>6.9722999999999997</c:v>
                </c:pt>
                <c:pt idx="2">
                  <c:v>2.6747000000000001</c:v>
                </c:pt>
                <c:pt idx="3">
                  <c:v>1.9</c:v>
                </c:pt>
              </c:numCache>
            </c:numRef>
          </c:xVal>
          <c:yVal>
            <c:numRef>
              <c:f>Solution!$BS$23:$BS$26</c:f>
              <c:numCache>
                <c:formatCode>0.0</c:formatCode>
                <c:ptCount val="4"/>
                <c:pt idx="0">
                  <c:v>2</c:v>
                </c:pt>
                <c:pt idx="1">
                  <c:v>8.35</c:v>
                </c:pt>
                <c:pt idx="2">
                  <c:v>8.35</c:v>
                </c:pt>
                <c:pt idx="3">
                  <c:v>2</c:v>
                </c:pt>
              </c:numCache>
            </c:numRef>
          </c:yVal>
          <c:smooth val="1"/>
          <c:extLst>
            <c:ext xmlns:c16="http://schemas.microsoft.com/office/drawing/2014/chart" uri="{C3380CC4-5D6E-409C-BE32-E72D297353CC}">
              <c16:uniqueId val="{0000009D-F900-4243-8888-E2CCF32BDD82}"/>
            </c:ext>
          </c:extLst>
        </c:ser>
        <c:ser>
          <c:idx val="123"/>
          <c:order val="123"/>
          <c:tx>
            <c:v>Thigh L 95th 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Solution!$BT$23:$BT$26</c:f>
              <c:numCache>
                <c:formatCode>0.0</c:formatCode>
                <c:ptCount val="4"/>
                <c:pt idx="0">
                  <c:v>0</c:v>
                </c:pt>
                <c:pt idx="1">
                  <c:v>0</c:v>
                </c:pt>
                <c:pt idx="2">
                  <c:v>1.9</c:v>
                </c:pt>
                <c:pt idx="3">
                  <c:v>1.9</c:v>
                </c:pt>
              </c:numCache>
            </c:numRef>
          </c:xVal>
          <c:yVal>
            <c:numRef>
              <c:f>Solution!$BU$23:$BU$26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9E-F900-4243-8888-E2CCF32BDD82}"/>
            </c:ext>
          </c:extLst>
        </c:ser>
        <c:ser>
          <c:idx val="124"/>
          <c:order val="124"/>
          <c:tx>
            <c:v>Thigh R 5th 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Solution!$BI$27:$BI$30</c:f>
              <c:numCache>
                <c:formatCode>0.0</c:formatCode>
                <c:ptCount val="4"/>
                <c:pt idx="0">
                  <c:v>-7.4930000000000003</c:v>
                </c:pt>
                <c:pt idx="1">
                  <c:v>-6.7437000000000005</c:v>
                </c:pt>
                <c:pt idx="2">
                  <c:v>-2.6493000000000002</c:v>
                </c:pt>
                <c:pt idx="3">
                  <c:v>-1.9</c:v>
                </c:pt>
              </c:numCache>
            </c:numRef>
          </c:xVal>
          <c:yVal>
            <c:numRef>
              <c:f>Solution!$BJ$27:$BJ$30</c:f>
              <c:numCache>
                <c:formatCode>0.0</c:formatCode>
                <c:ptCount val="4"/>
                <c:pt idx="0">
                  <c:v>2</c:v>
                </c:pt>
                <c:pt idx="1">
                  <c:v>5.8100000000000005</c:v>
                </c:pt>
                <c:pt idx="2">
                  <c:v>5.8100000000000005</c:v>
                </c:pt>
                <c:pt idx="3">
                  <c:v>2</c:v>
                </c:pt>
              </c:numCache>
            </c:numRef>
          </c:yVal>
          <c:smooth val="1"/>
          <c:extLst>
            <c:ext xmlns:c16="http://schemas.microsoft.com/office/drawing/2014/chart" uri="{C3380CC4-5D6E-409C-BE32-E72D297353CC}">
              <c16:uniqueId val="{0000009F-F900-4243-8888-E2CCF32BDD82}"/>
            </c:ext>
          </c:extLst>
        </c:ser>
        <c:ser>
          <c:idx val="125"/>
          <c:order val="125"/>
          <c:tx>
            <c:v>Thigh R Mean 3</c:v>
          </c:tx>
          <c:spPr>
            <a:ln w="19050" cap="rnd">
              <a:solidFill>
                <a:srgbClr val="00B050"/>
              </a:solidFill>
              <a:round/>
            </a:ln>
            <a:effectLst/>
          </c:spPr>
          <c:marker>
            <c:symbol val="circle"/>
            <c:size val="2"/>
            <c:spPr>
              <a:solidFill>
                <a:schemeClr val="accent6">
                  <a:lumMod val="80000"/>
                  <a:lumOff val="20000"/>
                </a:schemeClr>
              </a:solidFill>
              <a:ln w="9525">
                <a:noFill/>
              </a:ln>
              <a:effectLst/>
            </c:spPr>
          </c:marker>
          <c:xVal>
            <c:numRef>
              <c:f>Solution!$BK$27:$BK$30</c:f>
              <c:numCache>
                <c:formatCode>0.0</c:formatCode>
                <c:ptCount val="4"/>
                <c:pt idx="0">
                  <c:v>-8.5090000000000003</c:v>
                </c:pt>
                <c:pt idx="1">
                  <c:v>-7.6581000000000001</c:v>
                </c:pt>
                <c:pt idx="2">
                  <c:v>-2.7509000000000001</c:v>
                </c:pt>
                <c:pt idx="3">
                  <c:v>-1.9</c:v>
                </c:pt>
              </c:numCache>
            </c:numRef>
          </c:xVal>
          <c:yVal>
            <c:numRef>
              <c:f>Solution!$BL$27:$BL$30</c:f>
              <c:numCache>
                <c:formatCode>0.0</c:formatCode>
                <c:ptCount val="4"/>
                <c:pt idx="0">
                  <c:v>2</c:v>
                </c:pt>
                <c:pt idx="1">
                  <c:v>8.8580000000000005</c:v>
                </c:pt>
                <c:pt idx="2">
                  <c:v>8.8580000000000005</c:v>
                </c:pt>
                <c:pt idx="3">
                  <c:v>2</c:v>
                </c:pt>
              </c:numCache>
            </c:numRef>
          </c:yVal>
          <c:smooth val="1"/>
          <c:extLst>
            <c:ext xmlns:c16="http://schemas.microsoft.com/office/drawing/2014/chart" uri="{C3380CC4-5D6E-409C-BE32-E72D297353CC}">
              <c16:uniqueId val="{000000A0-F900-4243-8888-E2CCF32BDD82}"/>
            </c:ext>
          </c:extLst>
        </c:ser>
        <c:ser>
          <c:idx val="126"/>
          <c:order val="126"/>
          <c:tx>
            <c:v>Thigh R 95th 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Solution!$BM$27:$BM$30</c:f>
              <c:numCache>
                <c:formatCode>0.0</c:formatCode>
                <c:ptCount val="4"/>
                <c:pt idx="0">
                  <c:v>0</c:v>
                </c:pt>
                <c:pt idx="1">
                  <c:v>0</c:v>
                </c:pt>
                <c:pt idx="2">
                  <c:v>-1.9</c:v>
                </c:pt>
                <c:pt idx="3">
                  <c:v>-1.9</c:v>
                </c:pt>
              </c:numCache>
            </c:numRef>
          </c:xVal>
          <c:yVal>
            <c:numRef>
              <c:f>Solution!$BN$27:$BN$30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1-F900-4243-8888-E2CCF32BDD82}"/>
            </c:ext>
          </c:extLst>
        </c:ser>
        <c:ser>
          <c:idx val="127"/>
          <c:order val="127"/>
          <c:tx>
            <c:v>Thigh L 5th 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Solution!$BP$27:$BP$30</c:f>
              <c:numCache>
                <c:formatCode>0.0</c:formatCode>
                <c:ptCount val="4"/>
                <c:pt idx="0">
                  <c:v>7.4930000000000003</c:v>
                </c:pt>
                <c:pt idx="1">
                  <c:v>6.7437000000000005</c:v>
                </c:pt>
                <c:pt idx="2">
                  <c:v>2.6493000000000002</c:v>
                </c:pt>
                <c:pt idx="3">
                  <c:v>1.9</c:v>
                </c:pt>
              </c:numCache>
            </c:numRef>
          </c:xVal>
          <c:yVal>
            <c:numRef>
              <c:f>Solution!$BQ$27:$BQ$30</c:f>
              <c:numCache>
                <c:formatCode>0.0</c:formatCode>
                <c:ptCount val="4"/>
                <c:pt idx="0">
                  <c:v>2</c:v>
                </c:pt>
                <c:pt idx="1">
                  <c:v>5.8100000000000005</c:v>
                </c:pt>
                <c:pt idx="2">
                  <c:v>5.8100000000000005</c:v>
                </c:pt>
                <c:pt idx="3">
                  <c:v>2</c:v>
                </c:pt>
              </c:numCache>
            </c:numRef>
          </c:yVal>
          <c:smooth val="1"/>
          <c:extLst>
            <c:ext xmlns:c16="http://schemas.microsoft.com/office/drawing/2014/chart" uri="{C3380CC4-5D6E-409C-BE32-E72D297353CC}">
              <c16:uniqueId val="{000000A2-F900-4243-8888-E2CCF32BDD82}"/>
            </c:ext>
          </c:extLst>
        </c:ser>
        <c:ser>
          <c:idx val="128"/>
          <c:order val="128"/>
          <c:tx>
            <c:v>Thigh L Mean 3</c:v>
          </c:tx>
          <c:spPr>
            <a:ln w="19050" cap="rnd">
              <a:solidFill>
                <a:srgbClr val="00B050"/>
              </a:solidFill>
              <a:round/>
            </a:ln>
            <a:effectLst/>
          </c:spPr>
          <c:marker>
            <c:symbol val="circle"/>
            <c:size val="2"/>
            <c:spPr>
              <a:solidFill>
                <a:srgbClr val="00B050"/>
              </a:solidFill>
              <a:ln w="9525">
                <a:noFill/>
              </a:ln>
              <a:effectLst/>
            </c:spPr>
          </c:marker>
          <c:xVal>
            <c:numRef>
              <c:f>Solution!$BR$27:$BR$30</c:f>
              <c:numCache>
                <c:formatCode>0.0</c:formatCode>
                <c:ptCount val="4"/>
                <c:pt idx="0">
                  <c:v>8.5090000000000003</c:v>
                </c:pt>
                <c:pt idx="1">
                  <c:v>7.6581000000000001</c:v>
                </c:pt>
                <c:pt idx="2">
                  <c:v>2.7509000000000001</c:v>
                </c:pt>
                <c:pt idx="3">
                  <c:v>1.9</c:v>
                </c:pt>
              </c:numCache>
            </c:numRef>
          </c:xVal>
          <c:yVal>
            <c:numRef>
              <c:f>Solution!$BS$27:$BS$30</c:f>
              <c:numCache>
                <c:formatCode>0.0</c:formatCode>
                <c:ptCount val="4"/>
                <c:pt idx="0">
                  <c:v>2</c:v>
                </c:pt>
                <c:pt idx="1">
                  <c:v>8.8580000000000005</c:v>
                </c:pt>
                <c:pt idx="2">
                  <c:v>8.8580000000000005</c:v>
                </c:pt>
                <c:pt idx="3">
                  <c:v>2</c:v>
                </c:pt>
              </c:numCache>
            </c:numRef>
          </c:yVal>
          <c:smooth val="1"/>
          <c:extLst>
            <c:ext xmlns:c16="http://schemas.microsoft.com/office/drawing/2014/chart" uri="{C3380CC4-5D6E-409C-BE32-E72D297353CC}">
              <c16:uniqueId val="{000000A3-F900-4243-8888-E2CCF32BDD82}"/>
            </c:ext>
          </c:extLst>
        </c:ser>
        <c:ser>
          <c:idx val="129"/>
          <c:order val="129"/>
          <c:tx>
            <c:v>Thigh L 95th 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Solution!$BT$27:$BT$30</c:f>
              <c:numCache>
                <c:formatCode>0.0</c:formatCode>
                <c:ptCount val="4"/>
                <c:pt idx="0">
                  <c:v>0</c:v>
                </c:pt>
                <c:pt idx="1">
                  <c:v>0</c:v>
                </c:pt>
                <c:pt idx="2">
                  <c:v>1.9</c:v>
                </c:pt>
                <c:pt idx="3">
                  <c:v>1.9</c:v>
                </c:pt>
              </c:numCache>
            </c:numRef>
          </c:xVal>
          <c:yVal>
            <c:numRef>
              <c:f>Solution!$BU$27:$BU$30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4-F900-4243-8888-E2CCF32BDD82}"/>
            </c:ext>
          </c:extLst>
        </c:ser>
        <c:ser>
          <c:idx val="130"/>
          <c:order val="130"/>
          <c:tx>
            <c:v>Thigh R 5th 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Solution!$BI$31:$BI$34</c:f>
              <c:numCache>
                <c:formatCode>0.0</c:formatCode>
                <c:ptCount val="4"/>
                <c:pt idx="0">
                  <c:v>-6.9850000000000003</c:v>
                </c:pt>
                <c:pt idx="1">
                  <c:v>-6.2865000000000002</c:v>
                </c:pt>
                <c:pt idx="2">
                  <c:v>-2.5985</c:v>
                </c:pt>
                <c:pt idx="3">
                  <c:v>-1.9</c:v>
                </c:pt>
              </c:numCache>
            </c:numRef>
          </c:xVal>
          <c:yVal>
            <c:numRef>
              <c:f>Solution!$BJ$31:$BJ$34</c:f>
              <c:numCache>
                <c:formatCode>0.0</c:formatCode>
                <c:ptCount val="4"/>
                <c:pt idx="0">
                  <c:v>2</c:v>
                </c:pt>
                <c:pt idx="1">
                  <c:v>6.8259999999999987</c:v>
                </c:pt>
                <c:pt idx="2">
                  <c:v>6.8259999999999987</c:v>
                </c:pt>
                <c:pt idx="3">
                  <c:v>2</c:v>
                </c:pt>
              </c:numCache>
            </c:numRef>
          </c:yVal>
          <c:smooth val="1"/>
          <c:extLst>
            <c:ext xmlns:c16="http://schemas.microsoft.com/office/drawing/2014/chart" uri="{C3380CC4-5D6E-409C-BE32-E72D297353CC}">
              <c16:uniqueId val="{000000A5-F900-4243-8888-E2CCF32BDD82}"/>
            </c:ext>
          </c:extLst>
        </c:ser>
        <c:ser>
          <c:idx val="131"/>
          <c:order val="131"/>
          <c:tx>
            <c:v>Thigh R Mean 4</c:v>
          </c:tx>
          <c:spPr>
            <a:ln w="19050" cap="rnd">
              <a:solidFill>
                <a:srgbClr val="00B050"/>
              </a:solidFill>
              <a:round/>
            </a:ln>
            <a:effectLst/>
          </c:spPr>
          <c:marker>
            <c:symbol val="circle"/>
            <c:size val="2"/>
            <c:spPr>
              <a:solidFill>
                <a:srgbClr val="00B050"/>
              </a:solidFill>
              <a:ln w="9525">
                <a:noFill/>
              </a:ln>
              <a:effectLst/>
            </c:spPr>
          </c:marker>
          <c:xVal>
            <c:numRef>
              <c:f>Solution!$BK$31:$BK$34</c:f>
              <c:numCache>
                <c:formatCode>0.0</c:formatCode>
                <c:ptCount val="4"/>
                <c:pt idx="0">
                  <c:v>0</c:v>
                </c:pt>
                <c:pt idx="1">
                  <c:v>0</c:v>
                </c:pt>
                <c:pt idx="2">
                  <c:v>-1.9</c:v>
                </c:pt>
                <c:pt idx="3">
                  <c:v>-1.9</c:v>
                </c:pt>
              </c:numCache>
            </c:numRef>
          </c:xVal>
          <c:yVal>
            <c:numRef>
              <c:f>Solution!$BL$31:$BL$34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6-F900-4243-8888-E2CCF32BDD82}"/>
            </c:ext>
          </c:extLst>
        </c:ser>
        <c:ser>
          <c:idx val="132"/>
          <c:order val="132"/>
          <c:tx>
            <c:v>Thigh R 95th 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Solution!$BM$31:$BM$34</c:f>
              <c:numCache>
                <c:formatCode>0.0</c:formatCode>
                <c:ptCount val="4"/>
                <c:pt idx="0">
                  <c:v>0</c:v>
                </c:pt>
                <c:pt idx="1">
                  <c:v>0</c:v>
                </c:pt>
                <c:pt idx="2">
                  <c:v>-1.9</c:v>
                </c:pt>
                <c:pt idx="3">
                  <c:v>-1.9</c:v>
                </c:pt>
              </c:numCache>
            </c:numRef>
          </c:xVal>
          <c:yVal>
            <c:numRef>
              <c:f>Solution!$BN$31:$BN$34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7-F900-4243-8888-E2CCF32BDD82}"/>
            </c:ext>
          </c:extLst>
        </c:ser>
        <c:ser>
          <c:idx val="133"/>
          <c:order val="133"/>
          <c:tx>
            <c:v>Thigh L 5th 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solidFill>
                  <a:schemeClr val="accent2">
                    <a:lumMod val="60000"/>
                    <a:lumOff val="40000"/>
                  </a:schemeClr>
                </a:solidFill>
              </a:ln>
              <a:effectLst/>
            </c:spPr>
          </c:marker>
          <c:xVal>
            <c:numRef>
              <c:f>Solution!$BP$31:$BP$34</c:f>
              <c:numCache>
                <c:formatCode>0.0</c:formatCode>
                <c:ptCount val="4"/>
                <c:pt idx="0">
                  <c:v>6.9850000000000003</c:v>
                </c:pt>
                <c:pt idx="1">
                  <c:v>6.2865000000000002</c:v>
                </c:pt>
                <c:pt idx="2">
                  <c:v>2.5985</c:v>
                </c:pt>
                <c:pt idx="3">
                  <c:v>1.9</c:v>
                </c:pt>
              </c:numCache>
            </c:numRef>
          </c:xVal>
          <c:yVal>
            <c:numRef>
              <c:f>Solution!$BQ$31:$BQ$34</c:f>
              <c:numCache>
                <c:formatCode>0.0</c:formatCode>
                <c:ptCount val="4"/>
                <c:pt idx="0">
                  <c:v>2</c:v>
                </c:pt>
                <c:pt idx="1">
                  <c:v>6.8259999999999987</c:v>
                </c:pt>
                <c:pt idx="2">
                  <c:v>6.8259999999999987</c:v>
                </c:pt>
                <c:pt idx="3">
                  <c:v>2</c:v>
                </c:pt>
              </c:numCache>
            </c:numRef>
          </c:yVal>
          <c:smooth val="1"/>
          <c:extLst>
            <c:ext xmlns:c16="http://schemas.microsoft.com/office/drawing/2014/chart" uri="{C3380CC4-5D6E-409C-BE32-E72D297353CC}">
              <c16:uniqueId val="{000000A8-F900-4243-8888-E2CCF32BDD82}"/>
            </c:ext>
          </c:extLst>
        </c:ser>
        <c:ser>
          <c:idx val="135"/>
          <c:order val="134"/>
          <c:tx>
            <c:v>Thigh L Mean 4</c:v>
          </c:tx>
          <c:spPr>
            <a:ln w="19050" cap="rnd">
              <a:solidFill>
                <a:srgbClr val="00B050"/>
              </a:solidFill>
              <a:round/>
            </a:ln>
            <a:effectLst/>
          </c:spPr>
          <c:marker>
            <c:symbol val="circle"/>
            <c:size val="2"/>
            <c:spPr>
              <a:solidFill>
                <a:srgbClr val="00B050"/>
              </a:solidFill>
              <a:ln w="9525">
                <a:noFill/>
              </a:ln>
              <a:effectLst/>
            </c:spPr>
          </c:marker>
          <c:xVal>
            <c:numRef>
              <c:f>Solution!$BR$31:$BR$34</c:f>
              <c:numCache>
                <c:formatCode>0.0</c:formatCode>
                <c:ptCount val="4"/>
                <c:pt idx="0">
                  <c:v>0</c:v>
                </c:pt>
                <c:pt idx="1">
                  <c:v>0</c:v>
                </c:pt>
                <c:pt idx="2">
                  <c:v>1.9</c:v>
                </c:pt>
                <c:pt idx="3">
                  <c:v>1.9</c:v>
                </c:pt>
              </c:numCache>
            </c:numRef>
          </c:xVal>
          <c:yVal>
            <c:numRef>
              <c:f>Solution!$BS$31:$BS$34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9-F900-4243-8888-E2CCF32BDD82}"/>
            </c:ext>
          </c:extLst>
        </c:ser>
        <c:ser>
          <c:idx val="136"/>
          <c:order val="135"/>
          <c:tx>
            <c:v>Thigh L 95th 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Solution!$BT$31:$BT$34</c:f>
              <c:numCache>
                <c:formatCode>0.0</c:formatCode>
                <c:ptCount val="4"/>
                <c:pt idx="0">
                  <c:v>0</c:v>
                </c:pt>
                <c:pt idx="1">
                  <c:v>0</c:v>
                </c:pt>
                <c:pt idx="2">
                  <c:v>1.9</c:v>
                </c:pt>
                <c:pt idx="3">
                  <c:v>1.9</c:v>
                </c:pt>
              </c:numCache>
            </c:numRef>
          </c:xVal>
          <c:yVal>
            <c:numRef>
              <c:f>Solution!$BU$31:$BU$34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A-F900-4243-8888-E2CCF32BDD82}"/>
            </c:ext>
          </c:extLst>
        </c:ser>
        <c:ser>
          <c:idx val="134"/>
          <c:order val="136"/>
          <c:tx>
            <c:v>Thigh R 5th 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Solution!$BI$35:$BI$38</c:f>
              <c:numCache>
                <c:formatCode>0.0</c:formatCode>
                <c:ptCount val="4"/>
                <c:pt idx="0">
                  <c:v>0</c:v>
                </c:pt>
                <c:pt idx="1">
                  <c:v>0</c:v>
                </c:pt>
                <c:pt idx="2">
                  <c:v>-1.9</c:v>
                </c:pt>
                <c:pt idx="3">
                  <c:v>-1.9</c:v>
                </c:pt>
              </c:numCache>
            </c:numRef>
          </c:xVal>
          <c:yVal>
            <c:numRef>
              <c:f>Solution!$BJ$35:$BJ$38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B-F900-4243-8888-E2CCF32BDD82}"/>
            </c:ext>
          </c:extLst>
        </c:ser>
        <c:ser>
          <c:idx val="137"/>
          <c:order val="137"/>
          <c:tx>
            <c:v>Thigh R Mean 5</c:v>
          </c:tx>
          <c:spPr>
            <a:ln w="19050" cap="rnd">
              <a:solidFill>
                <a:srgbClr val="00B050"/>
              </a:solidFill>
              <a:round/>
            </a:ln>
            <a:effectLst/>
          </c:spPr>
          <c:marker>
            <c:symbol val="circle"/>
            <c:size val="2"/>
            <c:spPr>
              <a:solidFill>
                <a:srgbClr val="00B050"/>
              </a:solidFill>
              <a:ln w="9525">
                <a:noFill/>
              </a:ln>
              <a:effectLst/>
            </c:spPr>
          </c:marker>
          <c:xVal>
            <c:numRef>
              <c:f>Solution!$BK$35:$BK$38</c:f>
              <c:numCache>
                <c:formatCode>0.0</c:formatCode>
                <c:ptCount val="4"/>
                <c:pt idx="0">
                  <c:v>0</c:v>
                </c:pt>
                <c:pt idx="1">
                  <c:v>0</c:v>
                </c:pt>
                <c:pt idx="2">
                  <c:v>-1.9</c:v>
                </c:pt>
                <c:pt idx="3">
                  <c:v>-1.9</c:v>
                </c:pt>
              </c:numCache>
            </c:numRef>
          </c:xVal>
          <c:yVal>
            <c:numRef>
              <c:f>Solution!$BL$35:$BL$38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C-F900-4243-8888-E2CCF32BDD82}"/>
            </c:ext>
          </c:extLst>
        </c:ser>
        <c:ser>
          <c:idx val="138"/>
          <c:order val="138"/>
          <c:tx>
            <c:v>Thigh R 95th 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Solution!$BM$35:$BM$38</c:f>
              <c:numCache>
                <c:formatCode>0.0</c:formatCode>
                <c:ptCount val="4"/>
                <c:pt idx="0">
                  <c:v>0</c:v>
                </c:pt>
                <c:pt idx="1">
                  <c:v>0</c:v>
                </c:pt>
                <c:pt idx="2">
                  <c:v>-1.9</c:v>
                </c:pt>
                <c:pt idx="3">
                  <c:v>-1.9</c:v>
                </c:pt>
              </c:numCache>
            </c:numRef>
          </c:xVal>
          <c:yVal>
            <c:numRef>
              <c:f>Solution!$BN$35:$BN$38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D-F900-4243-8888-E2CCF32BDD82}"/>
            </c:ext>
          </c:extLst>
        </c:ser>
        <c:ser>
          <c:idx val="139"/>
          <c:order val="139"/>
          <c:tx>
            <c:v>Thigh L 5th 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Solution!$BP$35:$BP$38</c:f>
              <c:numCache>
                <c:formatCode>0.0</c:formatCode>
                <c:ptCount val="4"/>
                <c:pt idx="0">
                  <c:v>0</c:v>
                </c:pt>
                <c:pt idx="1">
                  <c:v>0</c:v>
                </c:pt>
                <c:pt idx="2">
                  <c:v>1.9</c:v>
                </c:pt>
                <c:pt idx="3">
                  <c:v>1.9</c:v>
                </c:pt>
              </c:numCache>
            </c:numRef>
          </c:xVal>
          <c:yVal>
            <c:numRef>
              <c:f>Solution!$BQ$35:$BQ$38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E-F900-4243-8888-E2CCF32BDD82}"/>
            </c:ext>
          </c:extLst>
        </c:ser>
        <c:ser>
          <c:idx val="140"/>
          <c:order val="140"/>
          <c:tx>
            <c:v>Thigh L Mean 5</c:v>
          </c:tx>
          <c:spPr>
            <a:ln w="19050" cap="rnd">
              <a:solidFill>
                <a:srgbClr val="00B050"/>
              </a:solidFill>
              <a:round/>
            </a:ln>
            <a:effectLst/>
          </c:spPr>
          <c:marker>
            <c:symbol val="circle"/>
            <c:size val="2"/>
            <c:spPr>
              <a:solidFill>
                <a:srgbClr val="00B050"/>
              </a:solidFill>
              <a:ln w="9525">
                <a:noFill/>
              </a:ln>
              <a:effectLst/>
            </c:spPr>
          </c:marker>
          <c:xVal>
            <c:numRef>
              <c:f>Solution!$BR$35:$BR$38</c:f>
              <c:numCache>
                <c:formatCode>0.0</c:formatCode>
                <c:ptCount val="4"/>
                <c:pt idx="0">
                  <c:v>0</c:v>
                </c:pt>
                <c:pt idx="1">
                  <c:v>0</c:v>
                </c:pt>
                <c:pt idx="2">
                  <c:v>1.9</c:v>
                </c:pt>
                <c:pt idx="3">
                  <c:v>1.9</c:v>
                </c:pt>
              </c:numCache>
            </c:numRef>
          </c:xVal>
          <c:yVal>
            <c:numRef>
              <c:f>Solution!$BS$35:$BS$38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F-F900-4243-8888-E2CCF32BDD82}"/>
            </c:ext>
          </c:extLst>
        </c:ser>
        <c:ser>
          <c:idx val="141"/>
          <c:order val="141"/>
          <c:tx>
            <c:v>Thigh L 95th 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Solution!$BT$35:$BT$38</c:f>
              <c:numCache>
                <c:formatCode>0.0</c:formatCode>
                <c:ptCount val="4"/>
                <c:pt idx="0">
                  <c:v>0</c:v>
                </c:pt>
                <c:pt idx="1">
                  <c:v>0</c:v>
                </c:pt>
                <c:pt idx="2">
                  <c:v>1.9</c:v>
                </c:pt>
                <c:pt idx="3">
                  <c:v>1.9</c:v>
                </c:pt>
              </c:numCache>
            </c:numRef>
          </c:xVal>
          <c:yVal>
            <c:numRef>
              <c:f>Solution!$BU$35:$BU$38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0-F900-4243-8888-E2CCF32BDD82}"/>
            </c:ext>
          </c:extLst>
        </c:ser>
        <c:ser>
          <c:idx val="142"/>
          <c:order val="142"/>
          <c:tx>
            <c:v>Thigh R 5th 6</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Solution!$BI$39:$BI$42</c:f>
              <c:numCache>
                <c:formatCode>0.0</c:formatCode>
                <c:ptCount val="4"/>
                <c:pt idx="0">
                  <c:v>0</c:v>
                </c:pt>
                <c:pt idx="1">
                  <c:v>0</c:v>
                </c:pt>
                <c:pt idx="2">
                  <c:v>-1.9</c:v>
                </c:pt>
                <c:pt idx="3">
                  <c:v>-1.9</c:v>
                </c:pt>
              </c:numCache>
            </c:numRef>
          </c:xVal>
          <c:yVal>
            <c:numRef>
              <c:f>Solution!$BJ$39:$BJ$42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1-F900-4243-8888-E2CCF32BDD82}"/>
            </c:ext>
          </c:extLst>
        </c:ser>
        <c:ser>
          <c:idx val="143"/>
          <c:order val="143"/>
          <c:tx>
            <c:v>Thigh R Mean 6</c:v>
          </c:tx>
          <c:spPr>
            <a:ln w="19050" cap="rnd">
              <a:solidFill>
                <a:srgbClr val="00B050"/>
              </a:solidFill>
              <a:round/>
            </a:ln>
            <a:effectLst/>
          </c:spPr>
          <c:marker>
            <c:symbol val="circle"/>
            <c:size val="2"/>
            <c:spPr>
              <a:solidFill>
                <a:srgbClr val="00B050"/>
              </a:solidFill>
              <a:ln w="9525">
                <a:noFill/>
              </a:ln>
              <a:effectLst/>
            </c:spPr>
          </c:marker>
          <c:xVal>
            <c:numRef>
              <c:f>Solution!$BK$39:$BK$42</c:f>
              <c:numCache>
                <c:formatCode>0.0</c:formatCode>
                <c:ptCount val="4"/>
                <c:pt idx="0">
                  <c:v>0</c:v>
                </c:pt>
                <c:pt idx="1">
                  <c:v>0</c:v>
                </c:pt>
                <c:pt idx="2">
                  <c:v>-1.9</c:v>
                </c:pt>
                <c:pt idx="3">
                  <c:v>-1.9</c:v>
                </c:pt>
              </c:numCache>
            </c:numRef>
          </c:xVal>
          <c:yVal>
            <c:numRef>
              <c:f>Solution!$BL$39:$BL$42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2-F900-4243-8888-E2CCF32BDD82}"/>
            </c:ext>
          </c:extLst>
        </c:ser>
        <c:ser>
          <c:idx val="144"/>
          <c:order val="144"/>
          <c:tx>
            <c:v>Thigh R 95th 6</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Solution!$BM$39:$BM$42</c:f>
              <c:numCache>
                <c:formatCode>0.0</c:formatCode>
                <c:ptCount val="4"/>
                <c:pt idx="0">
                  <c:v>0</c:v>
                </c:pt>
                <c:pt idx="1">
                  <c:v>0</c:v>
                </c:pt>
                <c:pt idx="2">
                  <c:v>-1.9</c:v>
                </c:pt>
                <c:pt idx="3">
                  <c:v>-1.9</c:v>
                </c:pt>
              </c:numCache>
            </c:numRef>
          </c:xVal>
          <c:yVal>
            <c:numRef>
              <c:f>Solution!$BN$39:$BN$42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3-F900-4243-8888-E2CCF32BDD82}"/>
            </c:ext>
          </c:extLst>
        </c:ser>
        <c:ser>
          <c:idx val="145"/>
          <c:order val="145"/>
          <c:tx>
            <c:v>Thigh L 5th 6</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Solution!$BP$39:$BP$42</c:f>
              <c:numCache>
                <c:formatCode>0.0</c:formatCode>
                <c:ptCount val="4"/>
                <c:pt idx="0">
                  <c:v>0</c:v>
                </c:pt>
                <c:pt idx="1">
                  <c:v>0</c:v>
                </c:pt>
                <c:pt idx="2">
                  <c:v>1.9</c:v>
                </c:pt>
                <c:pt idx="3">
                  <c:v>1.9</c:v>
                </c:pt>
              </c:numCache>
            </c:numRef>
          </c:xVal>
          <c:yVal>
            <c:numRef>
              <c:f>Solution!$BQ$39:$BQ$42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4-F900-4243-8888-E2CCF32BDD82}"/>
            </c:ext>
          </c:extLst>
        </c:ser>
        <c:ser>
          <c:idx val="146"/>
          <c:order val="146"/>
          <c:tx>
            <c:v>Thigh L Mean 6</c:v>
          </c:tx>
          <c:spPr>
            <a:ln w="19050" cap="rnd">
              <a:solidFill>
                <a:srgbClr val="00B050"/>
              </a:solidFill>
              <a:round/>
            </a:ln>
            <a:effectLst/>
          </c:spPr>
          <c:marker>
            <c:symbol val="circle"/>
            <c:size val="2"/>
            <c:spPr>
              <a:solidFill>
                <a:schemeClr val="accent3">
                  <a:lumMod val="70000"/>
                  <a:lumOff val="30000"/>
                </a:schemeClr>
              </a:solidFill>
              <a:ln w="9525">
                <a:noFill/>
              </a:ln>
              <a:effectLst/>
            </c:spPr>
          </c:marker>
          <c:xVal>
            <c:numRef>
              <c:f>Solution!$BR$39:$BR$42</c:f>
              <c:numCache>
                <c:formatCode>0.0</c:formatCode>
                <c:ptCount val="4"/>
                <c:pt idx="0">
                  <c:v>0</c:v>
                </c:pt>
                <c:pt idx="1">
                  <c:v>0</c:v>
                </c:pt>
                <c:pt idx="2">
                  <c:v>1.9</c:v>
                </c:pt>
                <c:pt idx="3">
                  <c:v>1.9</c:v>
                </c:pt>
              </c:numCache>
            </c:numRef>
          </c:xVal>
          <c:yVal>
            <c:numRef>
              <c:f>Solution!$BS$39:$BS$42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5-F900-4243-8888-E2CCF32BDD82}"/>
            </c:ext>
          </c:extLst>
        </c:ser>
        <c:ser>
          <c:idx val="147"/>
          <c:order val="147"/>
          <c:tx>
            <c:v>Thigh L 95th 6</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Solution!$BT$39:$BT$42</c:f>
              <c:numCache>
                <c:formatCode>0.0</c:formatCode>
                <c:ptCount val="4"/>
                <c:pt idx="0">
                  <c:v>0</c:v>
                </c:pt>
                <c:pt idx="1">
                  <c:v>0</c:v>
                </c:pt>
                <c:pt idx="2">
                  <c:v>1.9</c:v>
                </c:pt>
                <c:pt idx="3">
                  <c:v>1.9</c:v>
                </c:pt>
              </c:numCache>
            </c:numRef>
          </c:xVal>
          <c:yVal>
            <c:numRef>
              <c:f>Solution!$BU$39:$BU$42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6-F900-4243-8888-E2CCF32BDD82}"/>
            </c:ext>
          </c:extLst>
        </c:ser>
        <c:ser>
          <c:idx val="148"/>
          <c:order val="148"/>
          <c:tx>
            <c:v>Thigh R 5th 7</c:v>
          </c:tx>
          <c:spPr>
            <a:ln w="19050" cap="rnd">
              <a:solidFill>
                <a:schemeClr val="accent5">
                  <a:lumMod val="70000"/>
                  <a:lumOff val="30000"/>
                </a:schemeClr>
              </a:solidFill>
              <a:round/>
            </a:ln>
            <a:effectLst/>
          </c:spPr>
          <c:marker>
            <c:symbol val="circle"/>
            <c:size val="2"/>
            <c:spPr>
              <a:solidFill>
                <a:schemeClr val="accent5">
                  <a:lumMod val="60000"/>
                  <a:lumOff val="40000"/>
                </a:schemeClr>
              </a:solidFill>
              <a:ln w="9525">
                <a:noFill/>
              </a:ln>
              <a:effectLst/>
            </c:spPr>
          </c:marker>
          <c:xVal>
            <c:numRef>
              <c:f>Solution!$BI$43:$BI$46</c:f>
              <c:numCache>
                <c:formatCode>0.0</c:formatCode>
                <c:ptCount val="4"/>
                <c:pt idx="0">
                  <c:v>0</c:v>
                </c:pt>
                <c:pt idx="1">
                  <c:v>0</c:v>
                </c:pt>
                <c:pt idx="2">
                  <c:v>-1.9</c:v>
                </c:pt>
                <c:pt idx="3">
                  <c:v>-1.9</c:v>
                </c:pt>
              </c:numCache>
            </c:numRef>
          </c:xVal>
          <c:yVal>
            <c:numRef>
              <c:f>Solution!$BJ$43:$BJ$46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7-F900-4243-8888-E2CCF32BDD82}"/>
            </c:ext>
          </c:extLst>
        </c:ser>
        <c:ser>
          <c:idx val="149"/>
          <c:order val="149"/>
          <c:tx>
            <c:v>Thigh R Mean 7</c:v>
          </c:tx>
          <c:spPr>
            <a:ln w="19050" cap="rnd">
              <a:solidFill>
                <a:srgbClr val="00B050"/>
              </a:solidFill>
              <a:round/>
            </a:ln>
            <a:effectLst/>
          </c:spPr>
          <c:marker>
            <c:symbol val="circle"/>
            <c:size val="2"/>
            <c:spPr>
              <a:solidFill>
                <a:srgbClr val="00B050"/>
              </a:solidFill>
              <a:ln w="9525">
                <a:noFill/>
              </a:ln>
              <a:effectLst/>
            </c:spPr>
          </c:marker>
          <c:xVal>
            <c:numRef>
              <c:f>Solution!$BK$43:$BK$46</c:f>
              <c:numCache>
                <c:formatCode>0.0</c:formatCode>
                <c:ptCount val="4"/>
                <c:pt idx="0">
                  <c:v>0</c:v>
                </c:pt>
                <c:pt idx="1">
                  <c:v>0</c:v>
                </c:pt>
                <c:pt idx="2">
                  <c:v>-1.9</c:v>
                </c:pt>
                <c:pt idx="3">
                  <c:v>-1.9</c:v>
                </c:pt>
              </c:numCache>
            </c:numRef>
          </c:xVal>
          <c:yVal>
            <c:numRef>
              <c:f>Solution!$BL$43:$BL$46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8-F900-4243-8888-E2CCF32BDD82}"/>
            </c:ext>
          </c:extLst>
        </c:ser>
        <c:ser>
          <c:idx val="150"/>
          <c:order val="150"/>
          <c:tx>
            <c:v>Thigh R 95th 7</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Solution!$BM$43:$BM$46</c:f>
              <c:numCache>
                <c:formatCode>0.0</c:formatCode>
                <c:ptCount val="4"/>
                <c:pt idx="0">
                  <c:v>0</c:v>
                </c:pt>
                <c:pt idx="1">
                  <c:v>0</c:v>
                </c:pt>
                <c:pt idx="2">
                  <c:v>-1.9</c:v>
                </c:pt>
                <c:pt idx="3">
                  <c:v>-1.9</c:v>
                </c:pt>
              </c:numCache>
            </c:numRef>
          </c:xVal>
          <c:yVal>
            <c:numRef>
              <c:f>Solution!$BN$43:$BN$46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9-F900-4243-8888-E2CCF32BDD82}"/>
            </c:ext>
          </c:extLst>
        </c:ser>
        <c:ser>
          <c:idx val="151"/>
          <c:order val="151"/>
          <c:tx>
            <c:v>Thigh L 5th 7</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Solution!$BP$43:$BP$46</c:f>
              <c:numCache>
                <c:formatCode>0.0</c:formatCode>
                <c:ptCount val="4"/>
                <c:pt idx="0">
                  <c:v>0</c:v>
                </c:pt>
                <c:pt idx="1">
                  <c:v>0</c:v>
                </c:pt>
                <c:pt idx="2">
                  <c:v>1.9</c:v>
                </c:pt>
                <c:pt idx="3">
                  <c:v>1.9</c:v>
                </c:pt>
              </c:numCache>
            </c:numRef>
          </c:xVal>
          <c:yVal>
            <c:numRef>
              <c:f>Solution!$BQ$43:$BQ$46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A-F900-4243-8888-E2CCF32BDD82}"/>
            </c:ext>
          </c:extLst>
        </c:ser>
        <c:ser>
          <c:idx val="152"/>
          <c:order val="152"/>
          <c:tx>
            <c:v>Thigh L Mean 7</c:v>
          </c:tx>
          <c:spPr>
            <a:ln w="19050" cap="rnd">
              <a:solidFill>
                <a:srgbClr val="00B050"/>
              </a:solidFill>
              <a:round/>
            </a:ln>
            <a:effectLst/>
          </c:spPr>
          <c:marker>
            <c:symbol val="circle"/>
            <c:size val="2"/>
            <c:spPr>
              <a:solidFill>
                <a:srgbClr val="00B050"/>
              </a:solidFill>
              <a:ln w="9525">
                <a:noFill/>
              </a:ln>
              <a:effectLst/>
            </c:spPr>
          </c:marker>
          <c:xVal>
            <c:numRef>
              <c:f>Solution!$BR$43:$BR$46</c:f>
              <c:numCache>
                <c:formatCode>0.0</c:formatCode>
                <c:ptCount val="4"/>
                <c:pt idx="0">
                  <c:v>0</c:v>
                </c:pt>
                <c:pt idx="1">
                  <c:v>0</c:v>
                </c:pt>
                <c:pt idx="2">
                  <c:v>1.9</c:v>
                </c:pt>
                <c:pt idx="3">
                  <c:v>1.9</c:v>
                </c:pt>
              </c:numCache>
            </c:numRef>
          </c:xVal>
          <c:yVal>
            <c:numRef>
              <c:f>Solution!$BS$43:$BS$46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B-F900-4243-8888-E2CCF32BDD82}"/>
            </c:ext>
          </c:extLst>
        </c:ser>
        <c:ser>
          <c:idx val="153"/>
          <c:order val="153"/>
          <c:tx>
            <c:v>Thigh R 95th 7</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Solution!$BT$43:$BT$46</c:f>
              <c:numCache>
                <c:formatCode>0.0</c:formatCode>
                <c:ptCount val="4"/>
                <c:pt idx="0">
                  <c:v>0</c:v>
                </c:pt>
                <c:pt idx="1">
                  <c:v>0</c:v>
                </c:pt>
                <c:pt idx="2">
                  <c:v>1.9</c:v>
                </c:pt>
                <c:pt idx="3">
                  <c:v>1.9</c:v>
                </c:pt>
              </c:numCache>
            </c:numRef>
          </c:xVal>
          <c:yVal>
            <c:numRef>
              <c:f>Solution!$BU$43:$BU$46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C-F900-4243-8888-E2CCF32BDD82}"/>
            </c:ext>
          </c:extLst>
        </c:ser>
        <c:ser>
          <c:idx val="154"/>
          <c:order val="154"/>
          <c:tx>
            <c:v>Thigh R 5th 8</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Solution!$BI$47:$BI$50</c:f>
              <c:numCache>
                <c:formatCode>0.0</c:formatCode>
                <c:ptCount val="4"/>
                <c:pt idx="0">
                  <c:v>0</c:v>
                </c:pt>
                <c:pt idx="1">
                  <c:v>0</c:v>
                </c:pt>
                <c:pt idx="2">
                  <c:v>-1.9</c:v>
                </c:pt>
                <c:pt idx="3">
                  <c:v>-1.9</c:v>
                </c:pt>
              </c:numCache>
            </c:numRef>
          </c:xVal>
          <c:yVal>
            <c:numRef>
              <c:f>Solution!$BJ$47:$BJ$50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D-F900-4243-8888-E2CCF32BDD82}"/>
            </c:ext>
          </c:extLst>
        </c:ser>
        <c:ser>
          <c:idx val="155"/>
          <c:order val="155"/>
          <c:tx>
            <c:v>Thigh R Mean 8</c:v>
          </c:tx>
          <c:spPr>
            <a:ln w="19050" cap="rnd">
              <a:solidFill>
                <a:srgbClr val="00B050"/>
              </a:solidFill>
              <a:round/>
            </a:ln>
            <a:effectLst/>
          </c:spPr>
          <c:marker>
            <c:symbol val="circle"/>
            <c:size val="2"/>
            <c:spPr>
              <a:solidFill>
                <a:srgbClr val="00B050"/>
              </a:solidFill>
              <a:ln w="9525">
                <a:noFill/>
              </a:ln>
              <a:effectLst/>
            </c:spPr>
          </c:marker>
          <c:xVal>
            <c:numRef>
              <c:f>Solution!$BK$47:$BK$50</c:f>
              <c:numCache>
                <c:formatCode>0.0</c:formatCode>
                <c:ptCount val="4"/>
                <c:pt idx="0">
                  <c:v>0</c:v>
                </c:pt>
                <c:pt idx="1">
                  <c:v>0</c:v>
                </c:pt>
                <c:pt idx="2">
                  <c:v>-1.9</c:v>
                </c:pt>
                <c:pt idx="3">
                  <c:v>-1.9</c:v>
                </c:pt>
              </c:numCache>
            </c:numRef>
          </c:xVal>
          <c:yVal>
            <c:numRef>
              <c:f>Solution!$BL$47:$BL$50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E-F900-4243-8888-E2CCF32BDD82}"/>
            </c:ext>
          </c:extLst>
        </c:ser>
        <c:ser>
          <c:idx val="156"/>
          <c:order val="156"/>
          <c:tx>
            <c:v>Thigh R 95th 8</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Solution!$BM$47:$BM$50</c:f>
              <c:numCache>
                <c:formatCode>0.0</c:formatCode>
                <c:ptCount val="4"/>
                <c:pt idx="0">
                  <c:v>0</c:v>
                </c:pt>
                <c:pt idx="1">
                  <c:v>0</c:v>
                </c:pt>
                <c:pt idx="2">
                  <c:v>-1.9</c:v>
                </c:pt>
                <c:pt idx="3">
                  <c:v>-1.9</c:v>
                </c:pt>
              </c:numCache>
            </c:numRef>
          </c:xVal>
          <c:yVal>
            <c:numRef>
              <c:f>Solution!$BN$47:$BN$50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F-F900-4243-8888-E2CCF32BDD82}"/>
            </c:ext>
          </c:extLst>
        </c:ser>
        <c:ser>
          <c:idx val="157"/>
          <c:order val="157"/>
          <c:tx>
            <c:v>Thigh L 5th 8</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Solution!$BP$47:$BP$50</c:f>
              <c:numCache>
                <c:formatCode>0.0</c:formatCode>
                <c:ptCount val="4"/>
                <c:pt idx="0">
                  <c:v>0</c:v>
                </c:pt>
                <c:pt idx="1">
                  <c:v>0</c:v>
                </c:pt>
                <c:pt idx="2">
                  <c:v>1.9</c:v>
                </c:pt>
                <c:pt idx="3">
                  <c:v>1.9</c:v>
                </c:pt>
              </c:numCache>
            </c:numRef>
          </c:xVal>
          <c:yVal>
            <c:numRef>
              <c:f>Solution!$BQ$47:$BQ$50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0-F900-4243-8888-E2CCF32BDD82}"/>
            </c:ext>
          </c:extLst>
        </c:ser>
        <c:ser>
          <c:idx val="158"/>
          <c:order val="158"/>
          <c:tx>
            <c:v>Thigh L Mean 8</c:v>
          </c:tx>
          <c:spPr>
            <a:ln w="19050" cap="rnd">
              <a:solidFill>
                <a:srgbClr val="00B050"/>
              </a:solidFill>
              <a:round/>
            </a:ln>
            <a:effectLst/>
          </c:spPr>
          <c:marker>
            <c:symbol val="circle"/>
            <c:size val="2"/>
            <c:spPr>
              <a:solidFill>
                <a:srgbClr val="00B050"/>
              </a:solidFill>
              <a:ln w="9525">
                <a:noFill/>
              </a:ln>
              <a:effectLst/>
            </c:spPr>
          </c:marker>
          <c:xVal>
            <c:numRef>
              <c:f>Solution!$BR$47:$BR$50</c:f>
              <c:numCache>
                <c:formatCode>0.0</c:formatCode>
                <c:ptCount val="4"/>
                <c:pt idx="0">
                  <c:v>0</c:v>
                </c:pt>
                <c:pt idx="1">
                  <c:v>0</c:v>
                </c:pt>
                <c:pt idx="2">
                  <c:v>1.9</c:v>
                </c:pt>
                <c:pt idx="3">
                  <c:v>1.9</c:v>
                </c:pt>
              </c:numCache>
            </c:numRef>
          </c:xVal>
          <c:yVal>
            <c:numRef>
              <c:f>Solution!$BS$47:$BS$50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1-F900-4243-8888-E2CCF32BDD82}"/>
            </c:ext>
          </c:extLst>
        </c:ser>
        <c:ser>
          <c:idx val="159"/>
          <c:order val="159"/>
          <c:tx>
            <c:v>Thigh R 95th 8</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Solution!$BT$47:$BT$50</c:f>
              <c:numCache>
                <c:formatCode>0.0</c:formatCode>
                <c:ptCount val="4"/>
                <c:pt idx="0">
                  <c:v>0</c:v>
                </c:pt>
                <c:pt idx="1">
                  <c:v>0</c:v>
                </c:pt>
                <c:pt idx="2">
                  <c:v>1.9</c:v>
                </c:pt>
                <c:pt idx="3">
                  <c:v>1.9</c:v>
                </c:pt>
              </c:numCache>
            </c:numRef>
          </c:xVal>
          <c:yVal>
            <c:numRef>
              <c:f>Solution!$BU$47:$BU$50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2-F900-4243-8888-E2CCF32BDD82}"/>
            </c:ext>
          </c:extLst>
        </c:ser>
        <c:ser>
          <c:idx val="160"/>
          <c:order val="160"/>
          <c:tx>
            <c:v>Thigh R 5th 9</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Solution!$BI$51:$BI$54</c:f>
              <c:numCache>
                <c:formatCode>0.0</c:formatCode>
                <c:ptCount val="4"/>
                <c:pt idx="0">
                  <c:v>0</c:v>
                </c:pt>
                <c:pt idx="1">
                  <c:v>0</c:v>
                </c:pt>
                <c:pt idx="2">
                  <c:v>-1.9</c:v>
                </c:pt>
                <c:pt idx="3">
                  <c:v>-1.9</c:v>
                </c:pt>
              </c:numCache>
            </c:numRef>
          </c:xVal>
          <c:yVal>
            <c:numRef>
              <c:f>Solution!$BJ$51:$BJ$54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3-F900-4243-8888-E2CCF32BDD82}"/>
            </c:ext>
          </c:extLst>
        </c:ser>
        <c:ser>
          <c:idx val="161"/>
          <c:order val="161"/>
          <c:tx>
            <c:v>Thigh R Mean 9</c:v>
          </c:tx>
          <c:spPr>
            <a:ln w="19050" cap="rnd">
              <a:solidFill>
                <a:srgbClr val="00B050"/>
              </a:solidFill>
              <a:round/>
            </a:ln>
            <a:effectLst/>
          </c:spPr>
          <c:marker>
            <c:symbol val="circle"/>
            <c:size val="2"/>
            <c:spPr>
              <a:solidFill>
                <a:srgbClr val="00B050"/>
              </a:solidFill>
              <a:ln w="9525">
                <a:noFill/>
              </a:ln>
              <a:effectLst/>
            </c:spPr>
          </c:marker>
          <c:xVal>
            <c:numRef>
              <c:f>Solution!$BK$51:$BK$54</c:f>
              <c:numCache>
                <c:formatCode>0.0</c:formatCode>
                <c:ptCount val="4"/>
                <c:pt idx="0">
                  <c:v>0</c:v>
                </c:pt>
                <c:pt idx="1">
                  <c:v>0</c:v>
                </c:pt>
                <c:pt idx="2">
                  <c:v>-1.9</c:v>
                </c:pt>
                <c:pt idx="3">
                  <c:v>-1.9</c:v>
                </c:pt>
              </c:numCache>
            </c:numRef>
          </c:xVal>
          <c:yVal>
            <c:numRef>
              <c:f>Solution!$BL$51:$BL$54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4-F900-4243-8888-E2CCF32BDD82}"/>
            </c:ext>
          </c:extLst>
        </c:ser>
        <c:ser>
          <c:idx val="162"/>
          <c:order val="162"/>
          <c:tx>
            <c:v>Thigh R 95th 9</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Solution!$BM$51:$BM$54</c:f>
              <c:numCache>
                <c:formatCode>0.0</c:formatCode>
                <c:ptCount val="4"/>
                <c:pt idx="0">
                  <c:v>0</c:v>
                </c:pt>
                <c:pt idx="1">
                  <c:v>0</c:v>
                </c:pt>
                <c:pt idx="2">
                  <c:v>-1.9</c:v>
                </c:pt>
                <c:pt idx="3">
                  <c:v>-1.9</c:v>
                </c:pt>
              </c:numCache>
            </c:numRef>
          </c:xVal>
          <c:yVal>
            <c:numRef>
              <c:f>Solution!$BN$51:$BN$54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5-F900-4243-8888-E2CCF32BDD82}"/>
            </c:ext>
          </c:extLst>
        </c:ser>
        <c:ser>
          <c:idx val="163"/>
          <c:order val="163"/>
          <c:tx>
            <c:v>Thigh L 5th 9</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Solution!$BP$51:$BP$54</c:f>
              <c:numCache>
                <c:formatCode>0.0</c:formatCode>
                <c:ptCount val="4"/>
                <c:pt idx="0">
                  <c:v>0</c:v>
                </c:pt>
                <c:pt idx="1">
                  <c:v>0</c:v>
                </c:pt>
                <c:pt idx="2">
                  <c:v>1.9</c:v>
                </c:pt>
                <c:pt idx="3">
                  <c:v>1.9</c:v>
                </c:pt>
              </c:numCache>
            </c:numRef>
          </c:xVal>
          <c:yVal>
            <c:numRef>
              <c:f>Solution!$BQ$51:$BQ$54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6-F900-4243-8888-E2CCF32BDD82}"/>
            </c:ext>
          </c:extLst>
        </c:ser>
        <c:ser>
          <c:idx val="164"/>
          <c:order val="164"/>
          <c:tx>
            <c:v>Thigh L Mean 9</c:v>
          </c:tx>
          <c:spPr>
            <a:ln w="19050" cap="rnd">
              <a:solidFill>
                <a:srgbClr val="00B050"/>
              </a:solidFill>
              <a:round/>
            </a:ln>
            <a:effectLst/>
          </c:spPr>
          <c:marker>
            <c:symbol val="circle"/>
            <c:size val="2"/>
            <c:spPr>
              <a:solidFill>
                <a:srgbClr val="00B050"/>
              </a:solidFill>
              <a:ln w="9525">
                <a:noFill/>
              </a:ln>
              <a:effectLst/>
            </c:spPr>
          </c:marker>
          <c:xVal>
            <c:numRef>
              <c:f>Solution!$BR$51:$BR$54</c:f>
              <c:numCache>
                <c:formatCode>0.0</c:formatCode>
                <c:ptCount val="4"/>
                <c:pt idx="0">
                  <c:v>0</c:v>
                </c:pt>
                <c:pt idx="1">
                  <c:v>0</c:v>
                </c:pt>
                <c:pt idx="2">
                  <c:v>1.9</c:v>
                </c:pt>
                <c:pt idx="3">
                  <c:v>1.9</c:v>
                </c:pt>
              </c:numCache>
            </c:numRef>
          </c:xVal>
          <c:yVal>
            <c:numRef>
              <c:f>Solution!$BS$51:$BS$54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7-F900-4243-8888-E2CCF32BDD82}"/>
            </c:ext>
          </c:extLst>
        </c:ser>
        <c:ser>
          <c:idx val="165"/>
          <c:order val="165"/>
          <c:tx>
            <c:v>Thigh L 95th 9</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Solution!$BT$51:$BT$54</c:f>
              <c:numCache>
                <c:formatCode>0.0</c:formatCode>
                <c:ptCount val="4"/>
                <c:pt idx="0">
                  <c:v>0</c:v>
                </c:pt>
                <c:pt idx="1">
                  <c:v>0</c:v>
                </c:pt>
                <c:pt idx="2">
                  <c:v>1.9</c:v>
                </c:pt>
                <c:pt idx="3">
                  <c:v>1.9</c:v>
                </c:pt>
              </c:numCache>
            </c:numRef>
          </c:xVal>
          <c:yVal>
            <c:numRef>
              <c:f>Solution!$BU$51:$BU$54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8-F900-4243-8888-E2CCF32BDD82}"/>
            </c:ext>
          </c:extLst>
        </c:ser>
        <c:ser>
          <c:idx val="166"/>
          <c:order val="166"/>
          <c:tx>
            <c:v>Thigh R 5th 10</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Solution!$BI$55:$BI$58</c:f>
              <c:numCache>
                <c:formatCode>0.0</c:formatCode>
                <c:ptCount val="4"/>
                <c:pt idx="0">
                  <c:v>0</c:v>
                </c:pt>
                <c:pt idx="1">
                  <c:v>0</c:v>
                </c:pt>
                <c:pt idx="2">
                  <c:v>-1.9</c:v>
                </c:pt>
                <c:pt idx="3">
                  <c:v>-1.9</c:v>
                </c:pt>
              </c:numCache>
            </c:numRef>
          </c:xVal>
          <c:yVal>
            <c:numRef>
              <c:f>Solution!$BJ$55:$BJ$58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9-F900-4243-8888-E2CCF32BDD82}"/>
            </c:ext>
          </c:extLst>
        </c:ser>
        <c:ser>
          <c:idx val="167"/>
          <c:order val="167"/>
          <c:tx>
            <c:v>Thigh R Mean 10</c:v>
          </c:tx>
          <c:spPr>
            <a:ln w="19050" cap="rnd">
              <a:solidFill>
                <a:srgbClr val="00B050"/>
              </a:solidFill>
              <a:round/>
            </a:ln>
            <a:effectLst/>
          </c:spPr>
          <c:marker>
            <c:symbol val="circle"/>
            <c:size val="2"/>
            <c:spPr>
              <a:solidFill>
                <a:srgbClr val="00B050"/>
              </a:solidFill>
              <a:ln w="9525">
                <a:noFill/>
              </a:ln>
              <a:effectLst/>
            </c:spPr>
          </c:marker>
          <c:xVal>
            <c:numRef>
              <c:f>Solution!$BK$55:$BK$58</c:f>
              <c:numCache>
                <c:formatCode>0.0</c:formatCode>
                <c:ptCount val="4"/>
                <c:pt idx="0">
                  <c:v>0</c:v>
                </c:pt>
                <c:pt idx="1">
                  <c:v>0</c:v>
                </c:pt>
                <c:pt idx="2">
                  <c:v>-1.9</c:v>
                </c:pt>
                <c:pt idx="3">
                  <c:v>-1.9</c:v>
                </c:pt>
              </c:numCache>
            </c:numRef>
          </c:xVal>
          <c:yVal>
            <c:numRef>
              <c:f>Solution!$BL$55:$BL$58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A-F900-4243-8888-E2CCF32BDD82}"/>
            </c:ext>
          </c:extLst>
        </c:ser>
        <c:ser>
          <c:idx val="168"/>
          <c:order val="168"/>
          <c:tx>
            <c:v>Thigh R 95th 10</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Solution!$BM$55:$BM$58</c:f>
              <c:numCache>
                <c:formatCode>0.0</c:formatCode>
                <c:ptCount val="4"/>
                <c:pt idx="0">
                  <c:v>0</c:v>
                </c:pt>
                <c:pt idx="1">
                  <c:v>0</c:v>
                </c:pt>
                <c:pt idx="2">
                  <c:v>-1.9</c:v>
                </c:pt>
                <c:pt idx="3">
                  <c:v>-1.9</c:v>
                </c:pt>
              </c:numCache>
            </c:numRef>
          </c:xVal>
          <c:yVal>
            <c:numRef>
              <c:f>Solution!$BN$55:$BN$58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B-F900-4243-8888-E2CCF32BDD82}"/>
            </c:ext>
          </c:extLst>
        </c:ser>
        <c:ser>
          <c:idx val="169"/>
          <c:order val="169"/>
          <c:tx>
            <c:v>Thigh L 5th 10</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Solution!$BP$55:$BP$58</c:f>
              <c:numCache>
                <c:formatCode>0.0</c:formatCode>
                <c:ptCount val="4"/>
                <c:pt idx="0">
                  <c:v>0</c:v>
                </c:pt>
                <c:pt idx="1">
                  <c:v>0</c:v>
                </c:pt>
                <c:pt idx="2">
                  <c:v>1.9</c:v>
                </c:pt>
                <c:pt idx="3">
                  <c:v>1.9</c:v>
                </c:pt>
              </c:numCache>
            </c:numRef>
          </c:xVal>
          <c:yVal>
            <c:numRef>
              <c:f>Solution!$BQ$55:$BQ$58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C-F900-4243-8888-E2CCF32BDD82}"/>
            </c:ext>
          </c:extLst>
        </c:ser>
        <c:ser>
          <c:idx val="170"/>
          <c:order val="170"/>
          <c:tx>
            <c:v>Thigh L Mean 10</c:v>
          </c:tx>
          <c:spPr>
            <a:ln w="19050" cap="rnd">
              <a:solidFill>
                <a:srgbClr val="00B050"/>
              </a:solidFill>
              <a:round/>
            </a:ln>
            <a:effectLst/>
          </c:spPr>
          <c:marker>
            <c:symbol val="circle"/>
            <c:size val="2"/>
            <c:spPr>
              <a:solidFill>
                <a:srgbClr val="00B050"/>
              </a:solidFill>
              <a:ln w="9525">
                <a:noFill/>
              </a:ln>
              <a:effectLst/>
            </c:spPr>
          </c:marker>
          <c:xVal>
            <c:numRef>
              <c:f>Solution!$BR$55:$BR$58</c:f>
              <c:numCache>
                <c:formatCode>0.0</c:formatCode>
                <c:ptCount val="4"/>
                <c:pt idx="0">
                  <c:v>0</c:v>
                </c:pt>
                <c:pt idx="1">
                  <c:v>0</c:v>
                </c:pt>
                <c:pt idx="2">
                  <c:v>1.9</c:v>
                </c:pt>
                <c:pt idx="3">
                  <c:v>1.9</c:v>
                </c:pt>
              </c:numCache>
            </c:numRef>
          </c:xVal>
          <c:yVal>
            <c:numRef>
              <c:f>Solution!$BS$55:$BS$58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D-F900-4243-8888-E2CCF32BDD82}"/>
            </c:ext>
          </c:extLst>
        </c:ser>
        <c:ser>
          <c:idx val="171"/>
          <c:order val="171"/>
          <c:tx>
            <c:v>Thigh L 95th 10</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Solution!$BT$55:$BT$58</c:f>
              <c:numCache>
                <c:formatCode>0.0</c:formatCode>
                <c:ptCount val="4"/>
                <c:pt idx="0">
                  <c:v>0</c:v>
                </c:pt>
                <c:pt idx="1">
                  <c:v>0</c:v>
                </c:pt>
                <c:pt idx="2">
                  <c:v>1.9</c:v>
                </c:pt>
                <c:pt idx="3">
                  <c:v>1.9</c:v>
                </c:pt>
              </c:numCache>
            </c:numRef>
          </c:xVal>
          <c:yVal>
            <c:numRef>
              <c:f>Solution!$BU$55:$BU$58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E-F900-4243-8888-E2CCF32BDD82}"/>
            </c:ext>
          </c:extLst>
        </c:ser>
        <c:ser>
          <c:idx val="172"/>
          <c:order val="172"/>
          <c:tx>
            <c:v>Thigh R 5th 11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Solution!$BI$59:$BI$62</c:f>
              <c:numCache>
                <c:formatCode>0.0</c:formatCode>
                <c:ptCount val="4"/>
                <c:pt idx="0">
                  <c:v>0</c:v>
                </c:pt>
                <c:pt idx="1">
                  <c:v>0</c:v>
                </c:pt>
                <c:pt idx="2">
                  <c:v>-1.9</c:v>
                </c:pt>
                <c:pt idx="3">
                  <c:v>-1.9</c:v>
                </c:pt>
              </c:numCache>
            </c:numRef>
          </c:xVal>
          <c:yVal>
            <c:numRef>
              <c:f>Solution!$BJ$59:$BJ$62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F-F900-4243-8888-E2CCF32BDD82}"/>
            </c:ext>
          </c:extLst>
        </c:ser>
        <c:ser>
          <c:idx val="173"/>
          <c:order val="173"/>
          <c:tx>
            <c:v>Thigh R Mean 11</c:v>
          </c:tx>
          <c:spPr>
            <a:ln w="19050" cap="rnd">
              <a:solidFill>
                <a:srgbClr val="00B050"/>
              </a:solidFill>
              <a:round/>
            </a:ln>
            <a:effectLst/>
          </c:spPr>
          <c:marker>
            <c:symbol val="circle"/>
            <c:size val="2"/>
            <c:spPr>
              <a:solidFill>
                <a:srgbClr val="00B050"/>
              </a:solidFill>
              <a:ln w="9525">
                <a:noFill/>
              </a:ln>
              <a:effectLst/>
            </c:spPr>
          </c:marker>
          <c:xVal>
            <c:numRef>
              <c:f>Solution!$BK$59:$BK$62</c:f>
              <c:numCache>
                <c:formatCode>0.0</c:formatCode>
                <c:ptCount val="4"/>
                <c:pt idx="0">
                  <c:v>0</c:v>
                </c:pt>
                <c:pt idx="1">
                  <c:v>0</c:v>
                </c:pt>
                <c:pt idx="2">
                  <c:v>-1.9</c:v>
                </c:pt>
                <c:pt idx="3">
                  <c:v>-1.9</c:v>
                </c:pt>
              </c:numCache>
            </c:numRef>
          </c:xVal>
          <c:yVal>
            <c:numRef>
              <c:f>Solution!$BL$59:$BL$62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0-F900-4243-8888-E2CCF32BDD82}"/>
            </c:ext>
          </c:extLst>
        </c:ser>
        <c:ser>
          <c:idx val="174"/>
          <c:order val="174"/>
          <c:tx>
            <c:v>Thigh R 95th 11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Solution!$BM$59:$BM$62</c:f>
              <c:numCache>
                <c:formatCode>0.0</c:formatCode>
                <c:ptCount val="4"/>
                <c:pt idx="0">
                  <c:v>0</c:v>
                </c:pt>
                <c:pt idx="1">
                  <c:v>0</c:v>
                </c:pt>
                <c:pt idx="2">
                  <c:v>-1.9</c:v>
                </c:pt>
                <c:pt idx="3">
                  <c:v>-1.9</c:v>
                </c:pt>
              </c:numCache>
            </c:numRef>
          </c:xVal>
          <c:yVal>
            <c:numRef>
              <c:f>Solution!$BN$59:$BN$62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1-F900-4243-8888-E2CCF32BDD82}"/>
            </c:ext>
          </c:extLst>
        </c:ser>
        <c:ser>
          <c:idx val="175"/>
          <c:order val="175"/>
          <c:tx>
            <c:v>Thigh L 5th 11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Solution!$BP$59:$BP$62</c:f>
              <c:numCache>
                <c:formatCode>0.0</c:formatCode>
                <c:ptCount val="4"/>
                <c:pt idx="0">
                  <c:v>0</c:v>
                </c:pt>
                <c:pt idx="1">
                  <c:v>0</c:v>
                </c:pt>
                <c:pt idx="2">
                  <c:v>1.9</c:v>
                </c:pt>
                <c:pt idx="3">
                  <c:v>1.9</c:v>
                </c:pt>
              </c:numCache>
            </c:numRef>
          </c:xVal>
          <c:yVal>
            <c:numRef>
              <c:f>Solution!$BQ$59:$BQ$62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2-F900-4243-8888-E2CCF32BDD82}"/>
            </c:ext>
          </c:extLst>
        </c:ser>
        <c:ser>
          <c:idx val="176"/>
          <c:order val="176"/>
          <c:tx>
            <c:v>Thigh L Mean 11</c:v>
          </c:tx>
          <c:spPr>
            <a:ln w="19050" cap="rnd">
              <a:solidFill>
                <a:srgbClr val="00B050"/>
              </a:solidFill>
              <a:round/>
            </a:ln>
            <a:effectLst/>
          </c:spPr>
          <c:marker>
            <c:symbol val="circle"/>
            <c:size val="2"/>
            <c:spPr>
              <a:solidFill>
                <a:srgbClr val="00B050"/>
              </a:solidFill>
              <a:ln w="9525">
                <a:noFill/>
              </a:ln>
              <a:effectLst/>
            </c:spPr>
          </c:marker>
          <c:xVal>
            <c:numRef>
              <c:f>Solution!$BR$59:$BR$62</c:f>
              <c:numCache>
                <c:formatCode>0.0</c:formatCode>
                <c:ptCount val="4"/>
                <c:pt idx="0">
                  <c:v>0</c:v>
                </c:pt>
                <c:pt idx="1">
                  <c:v>0</c:v>
                </c:pt>
                <c:pt idx="2">
                  <c:v>1.9</c:v>
                </c:pt>
                <c:pt idx="3">
                  <c:v>1.9</c:v>
                </c:pt>
              </c:numCache>
            </c:numRef>
          </c:xVal>
          <c:yVal>
            <c:numRef>
              <c:f>Solution!$BS$59:$BS$62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3-F900-4243-8888-E2CCF32BDD82}"/>
            </c:ext>
          </c:extLst>
        </c:ser>
        <c:ser>
          <c:idx val="177"/>
          <c:order val="177"/>
          <c:tx>
            <c:v>Thigh L 95th 11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Solution!$BT$59:$BT$62</c:f>
              <c:numCache>
                <c:formatCode>0.0</c:formatCode>
                <c:ptCount val="4"/>
                <c:pt idx="0">
                  <c:v>0</c:v>
                </c:pt>
                <c:pt idx="1">
                  <c:v>0</c:v>
                </c:pt>
                <c:pt idx="2">
                  <c:v>1.9</c:v>
                </c:pt>
                <c:pt idx="3">
                  <c:v>1.9</c:v>
                </c:pt>
              </c:numCache>
            </c:numRef>
          </c:xVal>
          <c:yVal>
            <c:numRef>
              <c:f>Solution!$BU$59:$BU$62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4-F900-4243-8888-E2CCF32BDD82}"/>
            </c:ext>
          </c:extLst>
        </c:ser>
        <c:ser>
          <c:idx val="178"/>
          <c:order val="178"/>
          <c:tx>
            <c:v>Thigh R 5th 12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Solution!$BI$63:$BI$66</c:f>
              <c:numCache>
                <c:formatCode>0.0</c:formatCode>
                <c:ptCount val="4"/>
                <c:pt idx="0">
                  <c:v>0</c:v>
                </c:pt>
                <c:pt idx="1">
                  <c:v>0</c:v>
                </c:pt>
                <c:pt idx="2">
                  <c:v>-1.9</c:v>
                </c:pt>
                <c:pt idx="3">
                  <c:v>-1.9</c:v>
                </c:pt>
              </c:numCache>
            </c:numRef>
          </c:xVal>
          <c:yVal>
            <c:numRef>
              <c:f>Solution!$BJ$63:$BJ$66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5-F900-4243-8888-E2CCF32BDD82}"/>
            </c:ext>
          </c:extLst>
        </c:ser>
        <c:ser>
          <c:idx val="179"/>
          <c:order val="179"/>
          <c:tx>
            <c:v>Thigh R Mean 12</c:v>
          </c:tx>
          <c:spPr>
            <a:ln w="19050" cap="rnd">
              <a:solidFill>
                <a:srgbClr val="00B050"/>
              </a:solidFill>
              <a:round/>
            </a:ln>
            <a:effectLst/>
          </c:spPr>
          <c:marker>
            <c:symbol val="circle"/>
            <c:size val="2"/>
            <c:spPr>
              <a:solidFill>
                <a:srgbClr val="00B050"/>
              </a:solidFill>
              <a:ln w="9525">
                <a:noFill/>
              </a:ln>
              <a:effectLst/>
            </c:spPr>
          </c:marker>
          <c:xVal>
            <c:numRef>
              <c:f>Solution!$BK$63:$BK$66</c:f>
              <c:numCache>
                <c:formatCode>0.0</c:formatCode>
                <c:ptCount val="4"/>
                <c:pt idx="0">
                  <c:v>0</c:v>
                </c:pt>
                <c:pt idx="1">
                  <c:v>0</c:v>
                </c:pt>
                <c:pt idx="2">
                  <c:v>-1.9</c:v>
                </c:pt>
                <c:pt idx="3">
                  <c:v>-1.9</c:v>
                </c:pt>
              </c:numCache>
            </c:numRef>
          </c:xVal>
          <c:yVal>
            <c:numRef>
              <c:f>Solution!$BL$63:$BL$66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6-F900-4243-8888-E2CCF32BDD82}"/>
            </c:ext>
          </c:extLst>
        </c:ser>
        <c:ser>
          <c:idx val="180"/>
          <c:order val="180"/>
          <c:tx>
            <c:v>Thigh R 95th 12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Solution!$BM$63:$BM$66</c:f>
              <c:numCache>
                <c:formatCode>0.0</c:formatCode>
                <c:ptCount val="4"/>
                <c:pt idx="0">
                  <c:v>0</c:v>
                </c:pt>
                <c:pt idx="1">
                  <c:v>0</c:v>
                </c:pt>
                <c:pt idx="2">
                  <c:v>-1.9</c:v>
                </c:pt>
                <c:pt idx="3">
                  <c:v>-1.9</c:v>
                </c:pt>
              </c:numCache>
            </c:numRef>
          </c:xVal>
          <c:yVal>
            <c:numRef>
              <c:f>Solution!$BN$63:$BN$66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7-F900-4243-8888-E2CCF32BDD82}"/>
            </c:ext>
          </c:extLst>
        </c:ser>
        <c:ser>
          <c:idx val="181"/>
          <c:order val="181"/>
          <c:tx>
            <c:v>Thigh L 5th 12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Solution!$BP$63:$BP$66</c:f>
              <c:numCache>
                <c:formatCode>0.0</c:formatCode>
                <c:ptCount val="4"/>
                <c:pt idx="0">
                  <c:v>0</c:v>
                </c:pt>
                <c:pt idx="1">
                  <c:v>0</c:v>
                </c:pt>
                <c:pt idx="2">
                  <c:v>1.9</c:v>
                </c:pt>
                <c:pt idx="3">
                  <c:v>1.9</c:v>
                </c:pt>
              </c:numCache>
            </c:numRef>
          </c:xVal>
          <c:yVal>
            <c:numRef>
              <c:f>Solution!$BQ$63:$BQ$66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8-F900-4243-8888-E2CCF32BDD82}"/>
            </c:ext>
          </c:extLst>
        </c:ser>
        <c:ser>
          <c:idx val="182"/>
          <c:order val="182"/>
          <c:tx>
            <c:v>Thigh L Mean 12</c:v>
          </c:tx>
          <c:spPr>
            <a:ln w="19050" cap="rnd">
              <a:solidFill>
                <a:srgbClr val="00B050"/>
              </a:solidFill>
              <a:round/>
            </a:ln>
            <a:effectLst/>
          </c:spPr>
          <c:marker>
            <c:symbol val="circle"/>
            <c:size val="2"/>
            <c:spPr>
              <a:solidFill>
                <a:srgbClr val="00B050"/>
              </a:solidFill>
              <a:ln w="9525">
                <a:noFill/>
              </a:ln>
              <a:effectLst/>
            </c:spPr>
          </c:marker>
          <c:xVal>
            <c:numRef>
              <c:f>Solution!$BR$63:$BR$66</c:f>
              <c:numCache>
                <c:formatCode>0.0</c:formatCode>
                <c:ptCount val="4"/>
                <c:pt idx="0">
                  <c:v>0</c:v>
                </c:pt>
                <c:pt idx="1">
                  <c:v>0</c:v>
                </c:pt>
                <c:pt idx="2">
                  <c:v>1.9</c:v>
                </c:pt>
                <c:pt idx="3">
                  <c:v>1.9</c:v>
                </c:pt>
              </c:numCache>
            </c:numRef>
          </c:xVal>
          <c:yVal>
            <c:numRef>
              <c:f>Solution!$BS$63:$BS$66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9-F900-4243-8888-E2CCF32BDD82}"/>
            </c:ext>
          </c:extLst>
        </c:ser>
        <c:ser>
          <c:idx val="183"/>
          <c:order val="183"/>
          <c:tx>
            <c:v>Thigh L 95th 12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Solution!$BT$63:$BT$66</c:f>
              <c:numCache>
                <c:formatCode>0.0</c:formatCode>
                <c:ptCount val="4"/>
                <c:pt idx="0">
                  <c:v>0</c:v>
                </c:pt>
                <c:pt idx="1">
                  <c:v>0</c:v>
                </c:pt>
                <c:pt idx="2">
                  <c:v>1.9</c:v>
                </c:pt>
                <c:pt idx="3">
                  <c:v>1.9</c:v>
                </c:pt>
              </c:numCache>
            </c:numRef>
          </c:xVal>
          <c:yVal>
            <c:numRef>
              <c:f>Solution!$BU$63:$BU$66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A-F900-4243-8888-E2CCF32BDD82}"/>
            </c:ext>
          </c:extLst>
        </c:ser>
        <c:ser>
          <c:idx val="184"/>
          <c:order val="184"/>
          <c:tx>
            <c:v>Thigh R 5th 13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Solution!$BI$67:$BI$70</c:f>
              <c:numCache>
                <c:formatCode>0.0</c:formatCode>
                <c:ptCount val="4"/>
                <c:pt idx="0">
                  <c:v>0</c:v>
                </c:pt>
                <c:pt idx="1">
                  <c:v>0</c:v>
                </c:pt>
                <c:pt idx="2">
                  <c:v>-1.9</c:v>
                </c:pt>
                <c:pt idx="3">
                  <c:v>-1.9</c:v>
                </c:pt>
              </c:numCache>
            </c:numRef>
          </c:xVal>
          <c:yVal>
            <c:numRef>
              <c:f>Solution!$BJ$67:$BJ$70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B-F900-4243-8888-E2CCF32BDD82}"/>
            </c:ext>
          </c:extLst>
        </c:ser>
        <c:ser>
          <c:idx val="185"/>
          <c:order val="185"/>
          <c:tx>
            <c:v>Thigh R Mean 13</c:v>
          </c:tx>
          <c:spPr>
            <a:ln w="19050" cap="rnd">
              <a:solidFill>
                <a:srgbClr val="00B050"/>
              </a:solidFill>
              <a:round/>
            </a:ln>
            <a:effectLst/>
          </c:spPr>
          <c:marker>
            <c:symbol val="circle"/>
            <c:size val="2"/>
            <c:spPr>
              <a:solidFill>
                <a:srgbClr val="00B050"/>
              </a:solidFill>
              <a:ln w="9525">
                <a:noFill/>
              </a:ln>
              <a:effectLst/>
            </c:spPr>
          </c:marker>
          <c:xVal>
            <c:numRef>
              <c:f>Solution!$BK$67:$BK$70</c:f>
              <c:numCache>
                <c:formatCode>0.0</c:formatCode>
                <c:ptCount val="4"/>
                <c:pt idx="0">
                  <c:v>0</c:v>
                </c:pt>
                <c:pt idx="1">
                  <c:v>0</c:v>
                </c:pt>
                <c:pt idx="2">
                  <c:v>-1.9</c:v>
                </c:pt>
                <c:pt idx="3">
                  <c:v>-1.9</c:v>
                </c:pt>
              </c:numCache>
            </c:numRef>
          </c:xVal>
          <c:yVal>
            <c:numRef>
              <c:f>Solution!$BL$67:$BL$70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C-F900-4243-8888-E2CCF32BDD82}"/>
            </c:ext>
          </c:extLst>
        </c:ser>
        <c:ser>
          <c:idx val="186"/>
          <c:order val="186"/>
          <c:tx>
            <c:v>Thigh R 95th 13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Solution!$BM$67:$BM$70</c:f>
              <c:numCache>
                <c:formatCode>0.0</c:formatCode>
                <c:ptCount val="4"/>
                <c:pt idx="0">
                  <c:v>0</c:v>
                </c:pt>
                <c:pt idx="1">
                  <c:v>0</c:v>
                </c:pt>
                <c:pt idx="2">
                  <c:v>-1.9</c:v>
                </c:pt>
                <c:pt idx="3">
                  <c:v>-1.9</c:v>
                </c:pt>
              </c:numCache>
            </c:numRef>
          </c:xVal>
          <c:yVal>
            <c:numRef>
              <c:f>Solution!$BN$67:$BN$70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D-F900-4243-8888-E2CCF32BDD82}"/>
            </c:ext>
          </c:extLst>
        </c:ser>
        <c:ser>
          <c:idx val="187"/>
          <c:order val="187"/>
          <c:tx>
            <c:v>Thigh L 5th 13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Solution!$BP$67:$BP$70</c:f>
              <c:numCache>
                <c:formatCode>0.0</c:formatCode>
                <c:ptCount val="4"/>
                <c:pt idx="0">
                  <c:v>0</c:v>
                </c:pt>
                <c:pt idx="1">
                  <c:v>0</c:v>
                </c:pt>
                <c:pt idx="2">
                  <c:v>1.9</c:v>
                </c:pt>
                <c:pt idx="3">
                  <c:v>1.9</c:v>
                </c:pt>
              </c:numCache>
            </c:numRef>
          </c:xVal>
          <c:yVal>
            <c:numRef>
              <c:f>Solution!$BQ$67:$BQ$70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E-F900-4243-8888-E2CCF32BDD82}"/>
            </c:ext>
          </c:extLst>
        </c:ser>
        <c:ser>
          <c:idx val="188"/>
          <c:order val="188"/>
          <c:tx>
            <c:v>Thigh L Mean 13</c:v>
          </c:tx>
          <c:spPr>
            <a:ln w="19050" cap="rnd">
              <a:solidFill>
                <a:srgbClr val="00B050"/>
              </a:solidFill>
              <a:round/>
            </a:ln>
            <a:effectLst/>
          </c:spPr>
          <c:marker>
            <c:symbol val="circle"/>
            <c:size val="2"/>
            <c:spPr>
              <a:solidFill>
                <a:srgbClr val="00B050"/>
              </a:solidFill>
              <a:ln w="9525">
                <a:noFill/>
              </a:ln>
              <a:effectLst/>
            </c:spPr>
          </c:marker>
          <c:xVal>
            <c:numRef>
              <c:f>Solution!$BR$67:$BR$70</c:f>
              <c:numCache>
                <c:formatCode>0.0</c:formatCode>
                <c:ptCount val="4"/>
                <c:pt idx="0">
                  <c:v>0</c:v>
                </c:pt>
                <c:pt idx="1">
                  <c:v>0</c:v>
                </c:pt>
                <c:pt idx="2">
                  <c:v>1.9</c:v>
                </c:pt>
                <c:pt idx="3">
                  <c:v>1.9</c:v>
                </c:pt>
              </c:numCache>
            </c:numRef>
          </c:xVal>
          <c:yVal>
            <c:numRef>
              <c:f>Solution!$BS$67:$BS$70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F-F900-4243-8888-E2CCF32BDD82}"/>
            </c:ext>
          </c:extLst>
        </c:ser>
        <c:ser>
          <c:idx val="189"/>
          <c:order val="189"/>
          <c:tx>
            <c:v>Thigh L 95th 13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Solution!$BT$67:$BT$70</c:f>
              <c:numCache>
                <c:formatCode>0.0</c:formatCode>
                <c:ptCount val="4"/>
                <c:pt idx="0">
                  <c:v>0</c:v>
                </c:pt>
                <c:pt idx="1">
                  <c:v>0</c:v>
                </c:pt>
                <c:pt idx="2">
                  <c:v>1.9</c:v>
                </c:pt>
                <c:pt idx="3">
                  <c:v>1.9</c:v>
                </c:pt>
              </c:numCache>
            </c:numRef>
          </c:xVal>
          <c:yVal>
            <c:numRef>
              <c:f>Solution!$BU$67:$BU$70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0-F900-4243-8888-E2CCF32BDD82}"/>
            </c:ext>
          </c:extLst>
        </c:ser>
        <c:ser>
          <c:idx val="190"/>
          <c:order val="190"/>
          <c:tx>
            <c:v>Thighs R 5th 14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Solution!$BI$71:$BI$74</c:f>
              <c:numCache>
                <c:formatCode>0.0</c:formatCode>
                <c:ptCount val="4"/>
                <c:pt idx="0">
                  <c:v>0</c:v>
                </c:pt>
                <c:pt idx="1">
                  <c:v>0</c:v>
                </c:pt>
                <c:pt idx="2">
                  <c:v>-1.9</c:v>
                </c:pt>
                <c:pt idx="3">
                  <c:v>-1.9</c:v>
                </c:pt>
              </c:numCache>
            </c:numRef>
          </c:xVal>
          <c:yVal>
            <c:numRef>
              <c:f>Solution!$BJ$71:$BJ$74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1-F900-4243-8888-E2CCF32BDD82}"/>
            </c:ext>
          </c:extLst>
        </c:ser>
        <c:ser>
          <c:idx val="191"/>
          <c:order val="191"/>
          <c:tx>
            <c:v>Thighs R Mea n14</c:v>
          </c:tx>
          <c:spPr>
            <a:ln w="19050" cap="rnd">
              <a:solidFill>
                <a:srgbClr val="00B050"/>
              </a:solidFill>
              <a:round/>
            </a:ln>
            <a:effectLst/>
          </c:spPr>
          <c:marker>
            <c:symbol val="circle"/>
            <c:size val="2"/>
            <c:spPr>
              <a:solidFill>
                <a:srgbClr val="00B050"/>
              </a:solidFill>
              <a:ln w="9525">
                <a:noFill/>
              </a:ln>
              <a:effectLst/>
            </c:spPr>
          </c:marker>
          <c:xVal>
            <c:numRef>
              <c:f>Solution!$BK$71:$BK$74</c:f>
              <c:numCache>
                <c:formatCode>0.0</c:formatCode>
                <c:ptCount val="4"/>
                <c:pt idx="0">
                  <c:v>0</c:v>
                </c:pt>
                <c:pt idx="1">
                  <c:v>0</c:v>
                </c:pt>
                <c:pt idx="2">
                  <c:v>-1.9</c:v>
                </c:pt>
                <c:pt idx="3">
                  <c:v>-1.9</c:v>
                </c:pt>
              </c:numCache>
            </c:numRef>
          </c:xVal>
          <c:yVal>
            <c:numRef>
              <c:f>Solution!$BL$71:$BL$74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2-F900-4243-8888-E2CCF32BDD82}"/>
            </c:ext>
          </c:extLst>
        </c:ser>
        <c:ser>
          <c:idx val="192"/>
          <c:order val="192"/>
          <c:tx>
            <c:v>Thighs R 95th 14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Solution!$BM$71:$BM$74</c:f>
              <c:numCache>
                <c:formatCode>0.0</c:formatCode>
                <c:ptCount val="4"/>
                <c:pt idx="0">
                  <c:v>0</c:v>
                </c:pt>
                <c:pt idx="1">
                  <c:v>0</c:v>
                </c:pt>
                <c:pt idx="2">
                  <c:v>-1.9</c:v>
                </c:pt>
                <c:pt idx="3">
                  <c:v>-1.9</c:v>
                </c:pt>
              </c:numCache>
            </c:numRef>
          </c:xVal>
          <c:yVal>
            <c:numRef>
              <c:f>Solution!$BN$71:$BN$74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3-F900-4243-8888-E2CCF32BDD82}"/>
            </c:ext>
          </c:extLst>
        </c:ser>
        <c:ser>
          <c:idx val="193"/>
          <c:order val="193"/>
          <c:tx>
            <c:v>Thighs L 5th 14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Solution!$BP$71:$BP$74</c:f>
              <c:numCache>
                <c:formatCode>0.0</c:formatCode>
                <c:ptCount val="4"/>
                <c:pt idx="0">
                  <c:v>0</c:v>
                </c:pt>
                <c:pt idx="1">
                  <c:v>0</c:v>
                </c:pt>
                <c:pt idx="2">
                  <c:v>1.9</c:v>
                </c:pt>
                <c:pt idx="3">
                  <c:v>1.9</c:v>
                </c:pt>
              </c:numCache>
            </c:numRef>
          </c:xVal>
          <c:yVal>
            <c:numRef>
              <c:f>Solution!$BQ$71:$BQ$74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4-F900-4243-8888-E2CCF32BDD82}"/>
            </c:ext>
          </c:extLst>
        </c:ser>
        <c:ser>
          <c:idx val="194"/>
          <c:order val="194"/>
          <c:tx>
            <c:v>Thighs L Mean 14</c:v>
          </c:tx>
          <c:spPr>
            <a:ln w="19050" cap="rnd">
              <a:solidFill>
                <a:srgbClr val="00B050"/>
              </a:solidFill>
              <a:round/>
            </a:ln>
            <a:effectLst/>
          </c:spPr>
          <c:marker>
            <c:symbol val="circle"/>
            <c:size val="2"/>
            <c:spPr>
              <a:solidFill>
                <a:srgbClr val="00B050"/>
              </a:solidFill>
              <a:ln w="9525">
                <a:noFill/>
              </a:ln>
              <a:effectLst/>
            </c:spPr>
          </c:marker>
          <c:xVal>
            <c:numRef>
              <c:f>Solution!$BR$71:$BR$74</c:f>
              <c:numCache>
                <c:formatCode>0.0</c:formatCode>
                <c:ptCount val="4"/>
                <c:pt idx="0">
                  <c:v>0</c:v>
                </c:pt>
                <c:pt idx="1">
                  <c:v>0</c:v>
                </c:pt>
                <c:pt idx="2">
                  <c:v>1.9</c:v>
                </c:pt>
                <c:pt idx="3">
                  <c:v>1.9</c:v>
                </c:pt>
              </c:numCache>
            </c:numRef>
          </c:xVal>
          <c:yVal>
            <c:numRef>
              <c:f>Solution!$BS$71:$BS$74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5-F900-4243-8888-E2CCF32BDD82}"/>
            </c:ext>
          </c:extLst>
        </c:ser>
        <c:ser>
          <c:idx val="195"/>
          <c:order val="195"/>
          <c:tx>
            <c:v>Thighs L 95th 14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Solution!$BT$71:$BT$74</c:f>
              <c:numCache>
                <c:formatCode>0.0</c:formatCode>
                <c:ptCount val="4"/>
                <c:pt idx="0">
                  <c:v>0</c:v>
                </c:pt>
                <c:pt idx="1">
                  <c:v>0</c:v>
                </c:pt>
                <c:pt idx="2">
                  <c:v>1.9</c:v>
                </c:pt>
                <c:pt idx="3">
                  <c:v>1.9</c:v>
                </c:pt>
              </c:numCache>
            </c:numRef>
          </c:xVal>
          <c:yVal>
            <c:numRef>
              <c:f>Solution!$BU$71:$BU$74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6-F900-4243-8888-E2CCF32BDD82}"/>
            </c:ext>
          </c:extLst>
        </c:ser>
        <c:ser>
          <c:idx val="196"/>
          <c:order val="196"/>
          <c:tx>
            <c:v>Thigh R 5th 15</c:v>
          </c:tx>
          <c:spPr>
            <a:ln w="19050" cap="rnd">
              <a:solidFill>
                <a:schemeClr val="accent5">
                  <a:lumMod val="60000"/>
                  <a:lumOff val="40000"/>
                </a:schemeClr>
              </a:solidFill>
              <a:round/>
            </a:ln>
            <a:effectLst/>
          </c:spPr>
          <c:marker>
            <c:symbol val="circle"/>
            <c:size val="2"/>
            <c:spPr>
              <a:solidFill>
                <a:schemeClr val="accent5">
                  <a:lumMod val="40000"/>
                  <a:lumOff val="60000"/>
                </a:schemeClr>
              </a:solidFill>
              <a:ln w="9525">
                <a:noFill/>
              </a:ln>
              <a:effectLst/>
            </c:spPr>
          </c:marker>
          <c:xVal>
            <c:numRef>
              <c:f>Solution!$BI$75:$BI$78</c:f>
              <c:numCache>
                <c:formatCode>0.0</c:formatCode>
                <c:ptCount val="4"/>
                <c:pt idx="0">
                  <c:v>0</c:v>
                </c:pt>
                <c:pt idx="1">
                  <c:v>0</c:v>
                </c:pt>
                <c:pt idx="2">
                  <c:v>-1.9</c:v>
                </c:pt>
                <c:pt idx="3">
                  <c:v>-1.9</c:v>
                </c:pt>
              </c:numCache>
            </c:numRef>
          </c:xVal>
          <c:yVal>
            <c:numRef>
              <c:f>Solution!$BJ$75:$BJ$78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7-F900-4243-8888-E2CCF32BDD82}"/>
            </c:ext>
          </c:extLst>
        </c:ser>
        <c:ser>
          <c:idx val="197"/>
          <c:order val="197"/>
          <c:tx>
            <c:v>Thigh R Mean 15</c:v>
          </c:tx>
          <c:spPr>
            <a:ln w="19050" cap="rnd">
              <a:solidFill>
                <a:srgbClr val="00B050"/>
              </a:solidFill>
              <a:round/>
            </a:ln>
            <a:effectLst/>
          </c:spPr>
          <c:marker>
            <c:symbol val="circle"/>
            <c:size val="2"/>
            <c:spPr>
              <a:solidFill>
                <a:srgbClr val="00B050"/>
              </a:solidFill>
              <a:ln w="9525">
                <a:noFill/>
              </a:ln>
              <a:effectLst/>
            </c:spPr>
          </c:marker>
          <c:xVal>
            <c:numRef>
              <c:f>Solution!$BK$75:$BK$78</c:f>
              <c:numCache>
                <c:formatCode>0.0</c:formatCode>
                <c:ptCount val="4"/>
                <c:pt idx="0">
                  <c:v>0</c:v>
                </c:pt>
                <c:pt idx="1">
                  <c:v>0</c:v>
                </c:pt>
                <c:pt idx="2">
                  <c:v>-1.9</c:v>
                </c:pt>
                <c:pt idx="3">
                  <c:v>-1.9</c:v>
                </c:pt>
              </c:numCache>
            </c:numRef>
          </c:xVal>
          <c:yVal>
            <c:numRef>
              <c:f>Solution!$BL$75:$BL$78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8-F900-4243-8888-E2CCF32BDD82}"/>
            </c:ext>
          </c:extLst>
        </c:ser>
        <c:ser>
          <c:idx val="198"/>
          <c:order val="198"/>
          <c:tx>
            <c:v>Thigh R 95th 15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Solution!$BM$75:$BM$78</c:f>
              <c:numCache>
                <c:formatCode>0.0</c:formatCode>
                <c:ptCount val="4"/>
                <c:pt idx="0">
                  <c:v>0</c:v>
                </c:pt>
                <c:pt idx="1">
                  <c:v>0</c:v>
                </c:pt>
                <c:pt idx="2">
                  <c:v>-1.9</c:v>
                </c:pt>
                <c:pt idx="3">
                  <c:v>-1.9</c:v>
                </c:pt>
              </c:numCache>
            </c:numRef>
          </c:xVal>
          <c:yVal>
            <c:numRef>
              <c:f>Solution!$BN$75:$BN$78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9-F900-4243-8888-E2CCF32BDD82}"/>
            </c:ext>
          </c:extLst>
        </c:ser>
        <c:ser>
          <c:idx val="199"/>
          <c:order val="199"/>
          <c:tx>
            <c:v>Thigh L 5th 15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Solution!$BP$75:$BP$78</c:f>
              <c:numCache>
                <c:formatCode>0.0</c:formatCode>
                <c:ptCount val="4"/>
                <c:pt idx="0">
                  <c:v>0</c:v>
                </c:pt>
                <c:pt idx="1">
                  <c:v>0</c:v>
                </c:pt>
                <c:pt idx="2">
                  <c:v>1.9</c:v>
                </c:pt>
                <c:pt idx="3">
                  <c:v>1.9</c:v>
                </c:pt>
              </c:numCache>
            </c:numRef>
          </c:xVal>
          <c:yVal>
            <c:numRef>
              <c:f>Solution!$BQ$75:$BQ$78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A-F900-4243-8888-E2CCF32BDD82}"/>
            </c:ext>
          </c:extLst>
        </c:ser>
        <c:ser>
          <c:idx val="200"/>
          <c:order val="200"/>
          <c:tx>
            <c:v>Thigh L Mean 15</c:v>
          </c:tx>
          <c:spPr>
            <a:ln w="19050" cap="rnd">
              <a:solidFill>
                <a:srgbClr val="00B050"/>
              </a:solidFill>
              <a:round/>
            </a:ln>
            <a:effectLst/>
          </c:spPr>
          <c:marker>
            <c:symbol val="circle"/>
            <c:size val="2"/>
            <c:spPr>
              <a:solidFill>
                <a:srgbClr val="00B050"/>
              </a:solidFill>
              <a:ln w="9525">
                <a:noFill/>
              </a:ln>
              <a:effectLst/>
            </c:spPr>
          </c:marker>
          <c:xVal>
            <c:numRef>
              <c:f>Solution!$BR$75:$BR$78</c:f>
              <c:numCache>
                <c:formatCode>0.0</c:formatCode>
                <c:ptCount val="4"/>
                <c:pt idx="0">
                  <c:v>0</c:v>
                </c:pt>
                <c:pt idx="1">
                  <c:v>0</c:v>
                </c:pt>
                <c:pt idx="2">
                  <c:v>1.9</c:v>
                </c:pt>
                <c:pt idx="3">
                  <c:v>1.9</c:v>
                </c:pt>
              </c:numCache>
            </c:numRef>
          </c:xVal>
          <c:yVal>
            <c:numRef>
              <c:f>Solution!$BS$75:$BS$78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B-F900-4243-8888-E2CCF32BDD82}"/>
            </c:ext>
          </c:extLst>
        </c:ser>
        <c:ser>
          <c:idx val="201"/>
          <c:order val="201"/>
          <c:tx>
            <c:v>Thigh L 95th 15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Solution!$BT$75:$BT$78</c:f>
              <c:numCache>
                <c:formatCode>0.0</c:formatCode>
                <c:ptCount val="4"/>
                <c:pt idx="0">
                  <c:v>0</c:v>
                </c:pt>
                <c:pt idx="1">
                  <c:v>0</c:v>
                </c:pt>
                <c:pt idx="2">
                  <c:v>1.9</c:v>
                </c:pt>
                <c:pt idx="3">
                  <c:v>1.9</c:v>
                </c:pt>
              </c:numCache>
            </c:numRef>
          </c:xVal>
          <c:yVal>
            <c:numRef>
              <c:f>Solution!$BU$75:$BU$78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C-F900-4243-8888-E2CCF32BDD82}"/>
            </c:ext>
          </c:extLst>
        </c:ser>
        <c:ser>
          <c:idx val="202"/>
          <c:order val="202"/>
          <c:tx>
            <c:v>Crotch Strap</c:v>
          </c:tx>
          <c:spPr>
            <a:ln w="19050" cap="rnd">
              <a:solidFill>
                <a:schemeClr val="bg1">
                  <a:lumMod val="75000"/>
                </a:schemeClr>
              </a:solidFill>
              <a:round/>
            </a:ln>
            <a:effectLst/>
          </c:spPr>
          <c:marker>
            <c:symbol val="picture"/>
            <c:spPr>
              <a:blipFill dpi="0" rotWithShape="1">
                <a:blip xmlns:r="http://schemas.openxmlformats.org/officeDocument/2006/relationships" r:embed="rId1">
                  <a:alphaModFix amt="70000"/>
                </a:blip>
                <a:srcRect/>
                <a:stretch>
                  <a:fillRect/>
                </a:stretch>
              </a:blipFill>
              <a:ln w="9525">
                <a:solidFill>
                  <a:schemeClr val="accent5">
                    <a:lumMod val="70000"/>
                    <a:lumOff val="30000"/>
                  </a:schemeClr>
                </a:solidFill>
              </a:ln>
              <a:effectLst/>
            </c:spPr>
          </c:marker>
          <c:dPt>
            <c:idx val="0"/>
            <c:marker>
              <c:symbol val="none"/>
            </c:marker>
            <c:bubble3D val="0"/>
            <c:extLst>
              <c:ext xmlns:c16="http://schemas.microsoft.com/office/drawing/2014/chart" uri="{C3380CC4-5D6E-409C-BE32-E72D297353CC}">
                <c16:uniqueId val="{000000ED-F900-4243-8888-E2CCF32BDD82}"/>
              </c:ext>
            </c:extLst>
          </c:dPt>
          <c:dPt>
            <c:idx val="1"/>
            <c:marker>
              <c:spPr>
                <a:blipFill dpi="0" rotWithShape="1">
                  <a:blip xmlns:r="http://schemas.openxmlformats.org/officeDocument/2006/relationships" r:embed="rId2">
                    <a:alphaModFix amt="40000"/>
                  </a:blip>
                  <a:srcRect/>
                  <a:stretch>
                    <a:fillRect/>
                  </a:stretch>
                </a:blipFill>
                <a:ln>
                  <a:noFill/>
                </a:ln>
              </c:spPr>
            </c:marker>
            <c:bubble3D val="0"/>
            <c:spPr>
              <a:ln w="279400" cap="rnd">
                <a:noFill/>
                <a:round/>
              </a:ln>
              <a:effectLst/>
            </c:spPr>
            <c:extLst>
              <c:ext xmlns:c16="http://schemas.microsoft.com/office/drawing/2014/chart" uri="{C3380CC4-5D6E-409C-BE32-E72D297353CC}">
                <c16:uniqueId val="{000000EF-F900-4243-8888-E2CCF32BDD82}"/>
              </c:ext>
            </c:extLst>
          </c:dPt>
          <c:xVal>
            <c:numRef>
              <c:f>Solution!$CA$49:$CA$50</c:f>
              <c:numCache>
                <c:formatCode>General</c:formatCode>
                <c:ptCount val="2"/>
                <c:pt idx="0">
                  <c:v>0</c:v>
                </c:pt>
                <c:pt idx="1">
                  <c:v>0</c:v>
                </c:pt>
              </c:numCache>
            </c:numRef>
          </c:xVal>
          <c:yVal>
            <c:numRef>
              <c:f>Solution!$CC$49:$CC$50</c:f>
              <c:numCache>
                <c:formatCode>General</c:formatCode>
                <c:ptCount val="2"/>
                <c:pt idx="0">
                  <c:v>0</c:v>
                </c:pt>
                <c:pt idx="1">
                  <c:v>12.506000000000002</c:v>
                </c:pt>
              </c:numCache>
            </c:numRef>
          </c:yVal>
          <c:smooth val="1"/>
          <c:extLst>
            <c:ext xmlns:c16="http://schemas.microsoft.com/office/drawing/2014/chart" uri="{C3380CC4-5D6E-409C-BE32-E72D297353CC}">
              <c16:uniqueId val="{000000F0-F900-4243-8888-E2CCF32BDD82}"/>
            </c:ext>
          </c:extLst>
        </c:ser>
        <c:ser>
          <c:idx val="204"/>
          <c:order val="203"/>
          <c:tx>
            <c:v>Chest Clip Position</c:v>
          </c:tx>
          <c:spPr>
            <a:ln w="19050" cap="rnd">
              <a:noFill/>
              <a:round/>
            </a:ln>
            <a:effectLst/>
          </c:spPr>
          <c:marker>
            <c:symbol val="circle"/>
            <c:size val="5"/>
            <c:spPr>
              <a:solidFill>
                <a:schemeClr val="accent1">
                  <a:lumMod val="70000"/>
                </a:schemeClr>
              </a:solidFill>
              <a:ln w="9525">
                <a:noFill/>
              </a:ln>
              <a:effectLst/>
            </c:spPr>
          </c:marker>
          <c:dPt>
            <c:idx val="1"/>
            <c:marker>
              <c:symbol val="picture"/>
              <c:spPr>
                <a:blipFill dpi="0" rotWithShape="1">
                  <a:blip xmlns:r="http://schemas.openxmlformats.org/officeDocument/2006/relationships" r:embed="rId3">
                    <a:alphaModFix amt="60000"/>
                  </a:blip>
                  <a:srcRect/>
                  <a:stretch>
                    <a:fillRect/>
                  </a:stretch>
                </a:blipFill>
                <a:ln w="9525">
                  <a:noFill/>
                </a:ln>
                <a:effectLst/>
              </c:spPr>
            </c:marker>
            <c:bubble3D val="0"/>
            <c:extLst>
              <c:ext xmlns:c16="http://schemas.microsoft.com/office/drawing/2014/chart" uri="{C3380CC4-5D6E-409C-BE32-E72D297353CC}">
                <c16:uniqueId val="{000000F1-F900-4243-8888-E2CCF32BDD82}"/>
              </c:ext>
            </c:extLst>
          </c:dPt>
          <c:xVal>
            <c:numRef>
              <c:f>Solution!$CA$53:$CA$54</c:f>
              <c:numCache>
                <c:formatCode>General</c:formatCode>
                <c:ptCount val="2"/>
                <c:pt idx="0">
                  <c:v>0</c:v>
                </c:pt>
                <c:pt idx="1">
                  <c:v>0</c:v>
                </c:pt>
              </c:numCache>
            </c:numRef>
          </c:xVal>
          <c:yVal>
            <c:numRef>
              <c:f>Solution!$CC$53:$CC$54</c:f>
              <c:numCache>
                <c:formatCode>General</c:formatCode>
                <c:ptCount val="2"/>
                <c:pt idx="0">
                  <c:v>0</c:v>
                </c:pt>
                <c:pt idx="1">
                  <c:v>26.187199999999997</c:v>
                </c:pt>
              </c:numCache>
            </c:numRef>
          </c:yVal>
          <c:smooth val="1"/>
          <c:extLst>
            <c:ext xmlns:c16="http://schemas.microsoft.com/office/drawing/2014/chart" uri="{C3380CC4-5D6E-409C-BE32-E72D297353CC}">
              <c16:uniqueId val="{000000F2-F900-4243-8888-E2CCF32BDD82}"/>
            </c:ext>
          </c:extLst>
        </c:ser>
        <c:ser>
          <c:idx val="205"/>
          <c:order val="204"/>
          <c:tx>
            <c:v>Harness Length Left Outside Edge Max</c:v>
          </c:tx>
          <c:spPr>
            <a:ln w="47625">
              <a:solidFill>
                <a:schemeClr val="tx1">
                  <a:lumMod val="65000"/>
                  <a:lumOff val="35000"/>
                </a:schemeClr>
              </a:solidFill>
            </a:ln>
          </c:spPr>
          <c:marker>
            <c:symbol val="diamond"/>
            <c:size val="10"/>
            <c:spPr>
              <a:solidFill>
                <a:schemeClr val="tx1">
                  <a:lumMod val="50000"/>
                  <a:lumOff val="50000"/>
                </a:schemeClr>
              </a:solidFill>
              <a:ln>
                <a:solidFill>
                  <a:schemeClr val="tx1"/>
                </a:solidFill>
              </a:ln>
            </c:spPr>
          </c:marker>
          <c:xVal>
            <c:numRef>
              <c:f>Solution!$CG$20:$CG$25</c:f>
              <c:numCache>
                <c:formatCode>0.00</c:formatCode>
                <c:ptCount val="6"/>
                <c:pt idx="0">
                  <c:v>6.7309999999999999</c:v>
                </c:pt>
                <c:pt idx="1">
                  <c:v>7.8867000000000003</c:v>
                </c:pt>
                <c:pt idx="2">
                  <c:v>4.5</c:v>
                </c:pt>
                <c:pt idx="3">
                  <c:v>6</c:v>
                </c:pt>
                <c:pt idx="4">
                  <c:v>6.5</c:v>
                </c:pt>
                <c:pt idx="5">
                  <c:v>7.2289999999999992</c:v>
                </c:pt>
              </c:numCache>
            </c:numRef>
          </c:xVal>
          <c:yVal>
            <c:numRef>
              <c:f>Solution!$CI$20:$CI$25</c:f>
              <c:numCache>
                <c:formatCode>0.00</c:formatCode>
                <c:ptCount val="6"/>
                <c:pt idx="0">
                  <c:v>0</c:v>
                </c:pt>
                <c:pt idx="1">
                  <c:v>9.620000000000001</c:v>
                </c:pt>
                <c:pt idx="2">
                  <c:v>13.506000000000002</c:v>
                </c:pt>
                <c:pt idx="3">
                  <c:v>23.187199999999997</c:v>
                </c:pt>
                <c:pt idx="4">
                  <c:v>28.687199999999997</c:v>
                </c:pt>
                <c:pt idx="5">
                  <c:v>32.733999999999995</c:v>
                </c:pt>
              </c:numCache>
            </c:numRef>
          </c:yVal>
          <c:smooth val="1"/>
          <c:extLst>
            <c:ext xmlns:c16="http://schemas.microsoft.com/office/drawing/2014/chart" uri="{C3380CC4-5D6E-409C-BE32-E72D297353CC}">
              <c16:uniqueId val="{000000F3-F900-4243-8888-E2CCF32BDD82}"/>
            </c:ext>
          </c:extLst>
        </c:ser>
        <c:ser>
          <c:idx val="206"/>
          <c:order val="205"/>
          <c:tx>
            <c:v>Harness Length Right outside Edge Max</c:v>
          </c:tx>
          <c:spPr>
            <a:ln w="50800">
              <a:solidFill>
                <a:schemeClr val="tx1">
                  <a:lumMod val="65000"/>
                  <a:lumOff val="35000"/>
                </a:schemeClr>
              </a:solidFill>
            </a:ln>
          </c:spPr>
          <c:marker>
            <c:symbol val="diamond"/>
            <c:size val="10"/>
            <c:spPr>
              <a:solidFill>
                <a:schemeClr val="tx1">
                  <a:lumMod val="50000"/>
                  <a:lumOff val="50000"/>
                </a:schemeClr>
              </a:solidFill>
              <a:ln>
                <a:solidFill>
                  <a:schemeClr val="tx1"/>
                </a:solidFill>
              </a:ln>
            </c:spPr>
          </c:marker>
          <c:xVal>
            <c:numRef>
              <c:f>Solution!$CA$20:$CA$25</c:f>
              <c:numCache>
                <c:formatCode>0.00</c:formatCode>
                <c:ptCount val="6"/>
                <c:pt idx="0">
                  <c:v>-6.7309999999999999</c:v>
                </c:pt>
                <c:pt idx="1">
                  <c:v>-7.8867000000000003</c:v>
                </c:pt>
                <c:pt idx="2">
                  <c:v>-4.5</c:v>
                </c:pt>
                <c:pt idx="3">
                  <c:v>-6</c:v>
                </c:pt>
                <c:pt idx="4">
                  <c:v>-6.5</c:v>
                </c:pt>
                <c:pt idx="5">
                  <c:v>-7.2289999999999992</c:v>
                </c:pt>
              </c:numCache>
            </c:numRef>
          </c:xVal>
          <c:yVal>
            <c:numRef>
              <c:f>Solution!$CC$20:$CC$25</c:f>
              <c:numCache>
                <c:formatCode>0.00</c:formatCode>
                <c:ptCount val="6"/>
                <c:pt idx="0">
                  <c:v>0</c:v>
                </c:pt>
                <c:pt idx="1">
                  <c:v>9.620000000000001</c:v>
                </c:pt>
                <c:pt idx="2">
                  <c:v>13.506000000000002</c:v>
                </c:pt>
                <c:pt idx="3">
                  <c:v>23.187199999999997</c:v>
                </c:pt>
                <c:pt idx="4">
                  <c:v>28.687199999999997</c:v>
                </c:pt>
                <c:pt idx="5">
                  <c:v>32.733999999999995</c:v>
                </c:pt>
              </c:numCache>
            </c:numRef>
          </c:yVal>
          <c:smooth val="1"/>
          <c:extLst>
            <c:ext xmlns:c16="http://schemas.microsoft.com/office/drawing/2014/chart" uri="{C3380CC4-5D6E-409C-BE32-E72D297353CC}">
              <c16:uniqueId val="{000000F4-F900-4243-8888-E2CCF32BDD82}"/>
            </c:ext>
          </c:extLst>
        </c:ser>
        <c:ser>
          <c:idx val="209"/>
          <c:order val="206"/>
          <c:tx>
            <c:v>Harness Length Left Outside Edge Min</c:v>
          </c:tx>
          <c:spPr>
            <a:ln w="50800">
              <a:solidFill>
                <a:schemeClr val="tx1">
                  <a:lumMod val="50000"/>
                  <a:lumOff val="50000"/>
                </a:schemeClr>
              </a:solidFill>
            </a:ln>
          </c:spPr>
          <c:marker>
            <c:symbol val="diamond"/>
            <c:size val="10"/>
            <c:spPr>
              <a:ln>
                <a:solidFill>
                  <a:schemeClr val="tx1"/>
                </a:solidFill>
              </a:ln>
            </c:spPr>
          </c:marker>
          <c:xVal>
            <c:numRef>
              <c:f>Solution!$CD$20:$CD$25</c:f>
              <c:numCache>
                <c:formatCode>0.00</c:formatCode>
                <c:ptCount val="6"/>
                <c:pt idx="0">
                  <c:v>0</c:v>
                </c:pt>
                <c:pt idx="1">
                  <c:v>0</c:v>
                </c:pt>
                <c:pt idx="2">
                  <c:v>0</c:v>
                </c:pt>
                <c:pt idx="3">
                  <c:v>0</c:v>
                </c:pt>
                <c:pt idx="4">
                  <c:v>0</c:v>
                </c:pt>
                <c:pt idx="5">
                  <c:v>0</c:v>
                </c:pt>
              </c:numCache>
            </c:numRef>
          </c:xVal>
          <c:yVal>
            <c:numRef>
              <c:f>Solution!$CF$20:$CF$25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F5-F900-4243-8888-E2CCF32BDD82}"/>
            </c:ext>
          </c:extLst>
        </c:ser>
        <c:ser>
          <c:idx val="210"/>
          <c:order val="207"/>
          <c:tx>
            <c:v>Harness Length Right Outside Edge Min</c:v>
          </c:tx>
          <c:spPr>
            <a:ln w="50800">
              <a:solidFill>
                <a:schemeClr val="tx1">
                  <a:lumMod val="50000"/>
                  <a:lumOff val="50000"/>
                </a:schemeClr>
              </a:solidFill>
            </a:ln>
          </c:spPr>
          <c:marker>
            <c:symbol val="diamond"/>
            <c:size val="10"/>
            <c:spPr>
              <a:ln>
                <a:solidFill>
                  <a:schemeClr val="tx1"/>
                </a:solidFill>
              </a:ln>
            </c:spPr>
          </c:marker>
          <c:xVal>
            <c:numRef>
              <c:f>Solution!$BX$20:$BX$25</c:f>
              <c:numCache>
                <c:formatCode>0.00</c:formatCode>
                <c:ptCount val="6"/>
                <c:pt idx="0">
                  <c:v>0</c:v>
                </c:pt>
                <c:pt idx="1">
                  <c:v>0</c:v>
                </c:pt>
                <c:pt idx="2">
                  <c:v>0</c:v>
                </c:pt>
                <c:pt idx="3">
                  <c:v>0</c:v>
                </c:pt>
                <c:pt idx="4">
                  <c:v>0</c:v>
                </c:pt>
                <c:pt idx="5">
                  <c:v>0</c:v>
                </c:pt>
              </c:numCache>
            </c:numRef>
          </c:xVal>
          <c:yVal>
            <c:numRef>
              <c:f>Solution!$BZ$20:$BZ$25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F6-F900-4243-8888-E2CCF32BDD82}"/>
            </c:ext>
          </c:extLst>
        </c:ser>
        <c:ser>
          <c:idx val="213"/>
          <c:order val="208"/>
          <c:tx>
            <c:v>Harness Loop Style</c:v>
          </c:tx>
          <c:spPr>
            <a:ln w="50800">
              <a:solidFill>
                <a:schemeClr val="tx1">
                  <a:lumMod val="50000"/>
                  <a:lumOff val="50000"/>
                </a:schemeClr>
              </a:solidFill>
              <a:prstDash val="sysDash"/>
            </a:ln>
          </c:spPr>
          <c:marker>
            <c:symbol val="diamond"/>
            <c:size val="10"/>
            <c:spPr>
              <a:solidFill>
                <a:schemeClr val="bg1"/>
              </a:solidFill>
              <a:ln>
                <a:solidFill>
                  <a:schemeClr val="tx1"/>
                </a:solidFill>
              </a:ln>
            </c:spPr>
          </c:marker>
          <c:xVal>
            <c:numRef>
              <c:f>Solution!$CA$57:$CA$59</c:f>
              <c:numCache>
                <c:formatCode>0.0</c:formatCode>
                <c:ptCount val="3"/>
                <c:pt idx="0">
                  <c:v>-6.7309999999999999</c:v>
                </c:pt>
                <c:pt idx="1">
                  <c:v>0</c:v>
                </c:pt>
                <c:pt idx="2">
                  <c:v>6.7309999999999999</c:v>
                </c:pt>
              </c:numCache>
            </c:numRef>
          </c:xVal>
          <c:yVal>
            <c:numRef>
              <c:f>Solution!$CC$57:$CC$59</c:f>
              <c:numCache>
                <c:formatCode>0.0</c:formatCode>
                <c:ptCount val="3"/>
                <c:pt idx="0">
                  <c:v>0</c:v>
                </c:pt>
                <c:pt idx="1">
                  <c:v>-1</c:v>
                </c:pt>
                <c:pt idx="2">
                  <c:v>0</c:v>
                </c:pt>
              </c:numCache>
            </c:numRef>
          </c:yVal>
          <c:smooth val="1"/>
          <c:extLst>
            <c:ext xmlns:c16="http://schemas.microsoft.com/office/drawing/2014/chart" uri="{C3380CC4-5D6E-409C-BE32-E72D297353CC}">
              <c16:uniqueId val="{000000F7-F900-4243-8888-E2CCF32BDD82}"/>
            </c:ext>
          </c:extLst>
        </c:ser>
        <c:ser>
          <c:idx val="214"/>
          <c:order val="209"/>
          <c:tx>
            <c:v>Chest Depth Right Shoulder 5th</c:v>
          </c:tx>
          <c:spPr>
            <a:ln>
              <a:noFill/>
            </a:ln>
          </c:spPr>
          <c:marker>
            <c:symbol val="circle"/>
            <c:size val="5"/>
            <c:spPr>
              <a:solidFill>
                <a:schemeClr val="accent5">
                  <a:lumMod val="60000"/>
                  <a:lumOff val="40000"/>
                </a:schemeClr>
              </a:solidFill>
              <a:ln>
                <a:solidFill>
                  <a:schemeClr val="tx1"/>
                </a:solidFill>
              </a:ln>
            </c:spPr>
          </c:marker>
          <c:xVal>
            <c:numRef>
              <c:f>'Big Data'!$BS$3:$BS$45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Data'!$BG$3:$BG$45</c:f>
              <c:numCache>
                <c:formatCode>0.0</c:formatCode>
                <c:ptCount val="43"/>
                <c:pt idx="0">
                  <c:v>-9.1120000000000001</c:v>
                </c:pt>
                <c:pt idx="1">
                  <c:v>-10.128</c:v>
                </c:pt>
                <c:pt idx="2">
                  <c:v>-10.889999999999999</c:v>
                </c:pt>
                <c:pt idx="3">
                  <c:v>-11.398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8-F900-4243-8888-E2CCF32BDD82}"/>
            </c:ext>
          </c:extLst>
        </c:ser>
        <c:ser>
          <c:idx val="215"/>
          <c:order val="210"/>
          <c:tx>
            <c:v>Chest Depth Right Shoulder Mean</c:v>
          </c:tx>
          <c:spPr>
            <a:ln>
              <a:noFill/>
            </a:ln>
          </c:spPr>
          <c:marker>
            <c:symbol val="circle"/>
            <c:size val="5"/>
            <c:spPr>
              <a:solidFill>
                <a:srgbClr val="00B050"/>
              </a:solidFill>
              <a:ln>
                <a:solidFill>
                  <a:schemeClr val="tx1"/>
                </a:solidFill>
              </a:ln>
            </c:spPr>
          </c:marker>
          <c:xVal>
            <c:numRef>
              <c:f>'Big Data'!$BT$3:$BT$45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Data'!$BH$3:$BH$45</c:f>
              <c:numCache>
                <c:formatCode>0.0</c:formatCode>
                <c:ptCount val="43"/>
                <c:pt idx="0">
                  <c:v>-11.144</c:v>
                </c:pt>
                <c:pt idx="1">
                  <c:v>-12.16</c:v>
                </c:pt>
                <c:pt idx="2">
                  <c:v>-12.921999999999999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9-F900-4243-8888-E2CCF32BDD82}"/>
            </c:ext>
          </c:extLst>
        </c:ser>
        <c:ser>
          <c:idx val="216"/>
          <c:order val="211"/>
          <c:tx>
            <c:v>Chest Depth Right Shoulder 95th</c:v>
          </c:tx>
          <c:spPr>
            <a:ln>
              <a:noFill/>
            </a:ln>
          </c:spPr>
          <c:marker>
            <c:symbol val="circle"/>
            <c:size val="5"/>
            <c:spPr>
              <a:solidFill>
                <a:schemeClr val="accent4">
                  <a:lumMod val="50000"/>
                </a:schemeClr>
              </a:solidFill>
              <a:ln>
                <a:solidFill>
                  <a:schemeClr val="tx1"/>
                </a:solidFill>
              </a:ln>
            </c:spPr>
          </c:marker>
          <c:xVal>
            <c:numRef>
              <c:f>'Big Data'!$BU$3:$BU$45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Data'!$BI$3:$BI$45</c:f>
              <c:numCache>
                <c:formatCode>0.0</c:formatCode>
                <c:ptCount val="43"/>
                <c:pt idx="0">
                  <c:v>-13.176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A-F900-4243-8888-E2CCF32BDD82}"/>
            </c:ext>
          </c:extLst>
        </c:ser>
        <c:ser>
          <c:idx val="217"/>
          <c:order val="212"/>
          <c:tx>
            <c:v>Chest Depth Left Shoulder 5th</c:v>
          </c:tx>
          <c:spPr>
            <a:ln>
              <a:noFill/>
            </a:ln>
          </c:spPr>
          <c:marker>
            <c:symbol val="circle"/>
            <c:size val="5"/>
            <c:spPr>
              <a:solidFill>
                <a:schemeClr val="accent5">
                  <a:lumMod val="60000"/>
                  <a:lumOff val="40000"/>
                </a:schemeClr>
              </a:solidFill>
              <a:ln>
                <a:solidFill>
                  <a:schemeClr val="tx1"/>
                </a:solidFill>
              </a:ln>
            </c:spPr>
          </c:marker>
          <c:xVal>
            <c:numRef>
              <c:f>'Big Data'!$BW$3:$BW$45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Data'!$BG$3:$BG$45</c:f>
              <c:numCache>
                <c:formatCode>0.0</c:formatCode>
                <c:ptCount val="43"/>
                <c:pt idx="0">
                  <c:v>-9.1120000000000001</c:v>
                </c:pt>
                <c:pt idx="1">
                  <c:v>-10.128</c:v>
                </c:pt>
                <c:pt idx="2">
                  <c:v>-10.889999999999999</c:v>
                </c:pt>
                <c:pt idx="3">
                  <c:v>-11.398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B-F900-4243-8888-E2CCF32BDD82}"/>
            </c:ext>
          </c:extLst>
        </c:ser>
        <c:ser>
          <c:idx val="218"/>
          <c:order val="213"/>
          <c:tx>
            <c:v>Chest Depth Left Shoulder Mean</c:v>
          </c:tx>
          <c:spPr>
            <a:ln>
              <a:noFill/>
            </a:ln>
          </c:spPr>
          <c:marker>
            <c:symbol val="circle"/>
            <c:size val="5"/>
            <c:spPr>
              <a:solidFill>
                <a:srgbClr val="00B050"/>
              </a:solidFill>
              <a:ln>
                <a:solidFill>
                  <a:schemeClr val="tx1"/>
                </a:solidFill>
              </a:ln>
            </c:spPr>
          </c:marker>
          <c:xVal>
            <c:numRef>
              <c:f>'Big Data'!$BX$3:$BX$45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Data'!$BH$3:$BH$45</c:f>
              <c:numCache>
                <c:formatCode>0.0</c:formatCode>
                <c:ptCount val="43"/>
                <c:pt idx="0">
                  <c:v>-11.144</c:v>
                </c:pt>
                <c:pt idx="1">
                  <c:v>-12.16</c:v>
                </c:pt>
                <c:pt idx="2">
                  <c:v>-12.921999999999999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C-F900-4243-8888-E2CCF32BDD82}"/>
            </c:ext>
          </c:extLst>
        </c:ser>
        <c:ser>
          <c:idx val="219"/>
          <c:order val="214"/>
          <c:tx>
            <c:v>Chest Depth Right Shoulder 95th</c:v>
          </c:tx>
          <c:spPr>
            <a:ln>
              <a:noFill/>
            </a:ln>
          </c:spPr>
          <c:marker>
            <c:symbol val="circle"/>
            <c:size val="5"/>
            <c:spPr>
              <a:solidFill>
                <a:schemeClr val="accent4">
                  <a:lumMod val="50000"/>
                </a:schemeClr>
              </a:solidFill>
              <a:ln>
                <a:solidFill>
                  <a:schemeClr val="tx1"/>
                </a:solidFill>
              </a:ln>
            </c:spPr>
          </c:marker>
          <c:xVal>
            <c:numRef>
              <c:f>'Big Data'!$BY$3:$BY$45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Data'!$BI$3:$BI$45</c:f>
              <c:numCache>
                <c:formatCode>0.0</c:formatCode>
                <c:ptCount val="43"/>
                <c:pt idx="0">
                  <c:v>-13.176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D-F900-4243-8888-E2CCF32BDD82}"/>
            </c:ext>
          </c:extLst>
        </c:ser>
        <c:ser>
          <c:idx val="220"/>
          <c:order val="215"/>
          <c:tx>
            <c:v>Top View Harness Max Left Outer</c:v>
          </c:tx>
          <c:spPr>
            <a:ln w="50800">
              <a:solidFill>
                <a:schemeClr val="tx1">
                  <a:lumMod val="65000"/>
                  <a:lumOff val="35000"/>
                </a:schemeClr>
              </a:solidFill>
            </a:ln>
          </c:spPr>
          <c:marker>
            <c:symbol val="diamond"/>
            <c:size val="10"/>
            <c:spPr>
              <a:solidFill>
                <a:schemeClr val="tx1">
                  <a:lumMod val="50000"/>
                  <a:lumOff val="50000"/>
                </a:schemeClr>
              </a:solidFill>
              <a:ln w="9525">
                <a:solidFill>
                  <a:schemeClr val="tx1"/>
                </a:solidFill>
              </a:ln>
            </c:spPr>
          </c:marker>
          <c:xVal>
            <c:numRef>
              <c:f>Solution!$CG$20:$CG$25</c:f>
              <c:numCache>
                <c:formatCode>0.00</c:formatCode>
                <c:ptCount val="6"/>
                <c:pt idx="0">
                  <c:v>6.7309999999999999</c:v>
                </c:pt>
                <c:pt idx="1">
                  <c:v>7.8867000000000003</c:v>
                </c:pt>
                <c:pt idx="2">
                  <c:v>4.5</c:v>
                </c:pt>
                <c:pt idx="3">
                  <c:v>6</c:v>
                </c:pt>
                <c:pt idx="4">
                  <c:v>6.5</c:v>
                </c:pt>
                <c:pt idx="5">
                  <c:v>7.2289999999999992</c:v>
                </c:pt>
              </c:numCache>
            </c:numRef>
          </c:xVal>
          <c:yVal>
            <c:numRef>
              <c:f>Solution!$CH$20:$CH$25</c:f>
              <c:numCache>
                <c:formatCode>0.00</c:formatCode>
                <c:ptCount val="6"/>
                <c:pt idx="0">
                  <c:v>0</c:v>
                </c:pt>
                <c:pt idx="1">
                  <c:v>-11.620000000000001</c:v>
                </c:pt>
                <c:pt idx="2">
                  <c:v>-15.176</c:v>
                </c:pt>
                <c:pt idx="3">
                  <c:v>-15.176</c:v>
                </c:pt>
                <c:pt idx="4">
                  <c:v>-15.176</c:v>
                </c:pt>
                <c:pt idx="5">
                  <c:v>0</c:v>
                </c:pt>
              </c:numCache>
            </c:numRef>
          </c:yVal>
          <c:smooth val="1"/>
          <c:extLst>
            <c:ext xmlns:c16="http://schemas.microsoft.com/office/drawing/2014/chart" uri="{C3380CC4-5D6E-409C-BE32-E72D297353CC}">
              <c16:uniqueId val="{000000FE-F900-4243-8888-E2CCF32BDD82}"/>
            </c:ext>
          </c:extLst>
        </c:ser>
        <c:ser>
          <c:idx val="221"/>
          <c:order val="216"/>
          <c:tx>
            <c:v>Top View Harness Max Right Outer</c:v>
          </c:tx>
          <c:spPr>
            <a:ln w="50800">
              <a:solidFill>
                <a:schemeClr val="tx1">
                  <a:lumMod val="65000"/>
                  <a:lumOff val="35000"/>
                </a:schemeClr>
              </a:solidFill>
            </a:ln>
          </c:spPr>
          <c:marker>
            <c:symbol val="diamond"/>
            <c:size val="11"/>
            <c:spPr>
              <a:solidFill>
                <a:schemeClr val="tx1">
                  <a:lumMod val="50000"/>
                  <a:lumOff val="50000"/>
                </a:schemeClr>
              </a:solidFill>
              <a:ln>
                <a:solidFill>
                  <a:schemeClr val="tx1"/>
                </a:solidFill>
              </a:ln>
            </c:spPr>
          </c:marker>
          <c:xVal>
            <c:numRef>
              <c:f>Solution!$CA$20:$CA$25</c:f>
              <c:numCache>
                <c:formatCode>0.00</c:formatCode>
                <c:ptCount val="6"/>
                <c:pt idx="0">
                  <c:v>-6.7309999999999999</c:v>
                </c:pt>
                <c:pt idx="1">
                  <c:v>-7.8867000000000003</c:v>
                </c:pt>
                <c:pt idx="2">
                  <c:v>-4.5</c:v>
                </c:pt>
                <c:pt idx="3">
                  <c:v>-6</c:v>
                </c:pt>
                <c:pt idx="4">
                  <c:v>-6.5</c:v>
                </c:pt>
                <c:pt idx="5">
                  <c:v>-7.2289999999999992</c:v>
                </c:pt>
              </c:numCache>
            </c:numRef>
          </c:xVal>
          <c:yVal>
            <c:numRef>
              <c:f>Solution!$CB$20:$CB$25</c:f>
              <c:numCache>
                <c:formatCode>0.00</c:formatCode>
                <c:ptCount val="6"/>
                <c:pt idx="0">
                  <c:v>0</c:v>
                </c:pt>
                <c:pt idx="1">
                  <c:v>-11.620000000000001</c:v>
                </c:pt>
                <c:pt idx="2">
                  <c:v>-15.176</c:v>
                </c:pt>
                <c:pt idx="3">
                  <c:v>-15.176</c:v>
                </c:pt>
                <c:pt idx="4">
                  <c:v>-15.176</c:v>
                </c:pt>
                <c:pt idx="5">
                  <c:v>0</c:v>
                </c:pt>
              </c:numCache>
            </c:numRef>
          </c:yVal>
          <c:smooth val="1"/>
          <c:extLst>
            <c:ext xmlns:c16="http://schemas.microsoft.com/office/drawing/2014/chart" uri="{C3380CC4-5D6E-409C-BE32-E72D297353CC}">
              <c16:uniqueId val="{000000FF-F900-4243-8888-E2CCF32BDD82}"/>
            </c:ext>
          </c:extLst>
        </c:ser>
        <c:ser>
          <c:idx val="222"/>
          <c:order val="217"/>
          <c:tx>
            <c:v>Top View Harness Min Left Outer</c:v>
          </c:tx>
          <c:spPr>
            <a:ln w="50800">
              <a:solidFill>
                <a:schemeClr val="tx1">
                  <a:lumMod val="50000"/>
                  <a:lumOff val="50000"/>
                </a:schemeClr>
              </a:solidFill>
            </a:ln>
          </c:spPr>
          <c:marker>
            <c:symbol val="diamond"/>
            <c:size val="10"/>
            <c:spPr>
              <a:ln>
                <a:solidFill>
                  <a:schemeClr val="tx1"/>
                </a:solidFill>
              </a:ln>
            </c:spPr>
          </c:marker>
          <c:xVal>
            <c:numRef>
              <c:f>Solution!$CD$20:$CD$25</c:f>
              <c:numCache>
                <c:formatCode>0.00</c:formatCode>
                <c:ptCount val="6"/>
                <c:pt idx="0">
                  <c:v>0</c:v>
                </c:pt>
                <c:pt idx="1">
                  <c:v>0</c:v>
                </c:pt>
                <c:pt idx="2">
                  <c:v>0</c:v>
                </c:pt>
                <c:pt idx="3">
                  <c:v>0</c:v>
                </c:pt>
                <c:pt idx="4">
                  <c:v>0</c:v>
                </c:pt>
                <c:pt idx="5">
                  <c:v>0</c:v>
                </c:pt>
              </c:numCache>
            </c:numRef>
          </c:xVal>
          <c:yVal>
            <c:numRef>
              <c:f>Solution!$CE$20:$CE$25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100-F900-4243-8888-E2CCF32BDD82}"/>
            </c:ext>
          </c:extLst>
        </c:ser>
        <c:ser>
          <c:idx val="223"/>
          <c:order val="218"/>
          <c:tx>
            <c:v>Top View Harness Min Right Outer</c:v>
          </c:tx>
          <c:spPr>
            <a:ln w="50800">
              <a:solidFill>
                <a:schemeClr val="tx1">
                  <a:lumMod val="50000"/>
                  <a:lumOff val="50000"/>
                </a:schemeClr>
              </a:solidFill>
            </a:ln>
          </c:spPr>
          <c:marker>
            <c:symbol val="diamond"/>
            <c:size val="10"/>
            <c:spPr>
              <a:solidFill>
                <a:schemeClr val="accent5">
                  <a:lumMod val="20000"/>
                  <a:lumOff val="80000"/>
                </a:schemeClr>
              </a:solidFill>
              <a:ln>
                <a:solidFill>
                  <a:schemeClr val="tx1"/>
                </a:solidFill>
              </a:ln>
            </c:spPr>
          </c:marker>
          <c:xVal>
            <c:numRef>
              <c:f>Solution!$BX$20:$BX$25</c:f>
              <c:numCache>
                <c:formatCode>0.00</c:formatCode>
                <c:ptCount val="6"/>
                <c:pt idx="0">
                  <c:v>0</c:v>
                </c:pt>
                <c:pt idx="1">
                  <c:v>0</c:v>
                </c:pt>
                <c:pt idx="2">
                  <c:v>0</c:v>
                </c:pt>
                <c:pt idx="3">
                  <c:v>0</c:v>
                </c:pt>
                <c:pt idx="4">
                  <c:v>0</c:v>
                </c:pt>
                <c:pt idx="5">
                  <c:v>0</c:v>
                </c:pt>
              </c:numCache>
            </c:numRef>
          </c:xVal>
          <c:yVal>
            <c:numRef>
              <c:f>Solution!$BY$20:$BY$25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101-F900-4243-8888-E2CCF32BDD82}"/>
            </c:ext>
          </c:extLst>
        </c:ser>
        <c:ser>
          <c:idx val="207"/>
          <c:order val="219"/>
          <c:tx>
            <c:v>Slot to Splitter Left</c:v>
          </c:tx>
          <c:marker>
            <c:symbol val="diamond"/>
            <c:size val="10"/>
            <c:spPr>
              <a:solidFill>
                <a:schemeClr val="bg1"/>
              </a:solidFill>
              <a:ln>
                <a:solidFill>
                  <a:schemeClr val="tx1"/>
                </a:solidFill>
              </a:ln>
            </c:spPr>
          </c:marker>
          <c:dPt>
            <c:idx val="1"/>
            <c:bubble3D val="0"/>
            <c:spPr>
              <a:ln w="50800">
                <a:solidFill>
                  <a:schemeClr val="tx1">
                    <a:lumMod val="50000"/>
                    <a:lumOff val="50000"/>
                  </a:schemeClr>
                </a:solidFill>
                <a:prstDash val="sysDash"/>
              </a:ln>
            </c:spPr>
            <c:extLst>
              <c:ext xmlns:c16="http://schemas.microsoft.com/office/drawing/2014/chart" uri="{C3380CC4-5D6E-409C-BE32-E72D297353CC}">
                <c16:uniqueId val="{00000103-F900-4243-8888-E2CCF32BDD82}"/>
              </c:ext>
            </c:extLst>
          </c:dPt>
          <c:xVal>
            <c:numRef>
              <c:f>Solution!$CC$62:$CC$63</c:f>
              <c:numCache>
                <c:formatCode>0.00</c:formatCode>
                <c:ptCount val="2"/>
                <c:pt idx="0">
                  <c:v>7.2289999999999992</c:v>
                </c:pt>
                <c:pt idx="1">
                  <c:v>2.2289999999999992</c:v>
                </c:pt>
              </c:numCache>
            </c:numRef>
          </c:xVal>
          <c:yVal>
            <c:numRef>
              <c:f>Solution!$CD$62:$CD$63</c:f>
              <c:numCache>
                <c:formatCode>0.00</c:formatCode>
                <c:ptCount val="2"/>
                <c:pt idx="0">
                  <c:v>32.733999999999995</c:v>
                </c:pt>
                <c:pt idx="1">
                  <c:v>27.733999999999995</c:v>
                </c:pt>
              </c:numCache>
            </c:numRef>
          </c:yVal>
          <c:smooth val="1"/>
          <c:extLst>
            <c:ext xmlns:c16="http://schemas.microsoft.com/office/drawing/2014/chart" uri="{C3380CC4-5D6E-409C-BE32-E72D297353CC}">
              <c16:uniqueId val="{00000104-F900-4243-8888-E2CCF32BDD82}"/>
            </c:ext>
          </c:extLst>
        </c:ser>
        <c:ser>
          <c:idx val="208"/>
          <c:order val="220"/>
          <c:tx>
            <c:v>Slot to Splitter Right</c:v>
          </c:tx>
          <c:spPr>
            <a:ln w="50800">
              <a:solidFill>
                <a:schemeClr val="tx1">
                  <a:lumMod val="50000"/>
                  <a:lumOff val="50000"/>
                </a:schemeClr>
              </a:solidFill>
              <a:prstDash val="sysDash"/>
            </a:ln>
          </c:spPr>
          <c:marker>
            <c:symbol val="diamond"/>
            <c:size val="10"/>
            <c:spPr>
              <a:solidFill>
                <a:schemeClr val="bg1"/>
              </a:solidFill>
              <a:ln>
                <a:solidFill>
                  <a:schemeClr val="tx1"/>
                </a:solidFill>
              </a:ln>
            </c:spPr>
          </c:marker>
          <c:xVal>
            <c:numRef>
              <c:f>Solution!$CA$62:$CA$63</c:f>
              <c:numCache>
                <c:formatCode>0.00</c:formatCode>
                <c:ptCount val="2"/>
                <c:pt idx="0">
                  <c:v>-7.2289999999999992</c:v>
                </c:pt>
                <c:pt idx="1">
                  <c:v>-2.2289999999999992</c:v>
                </c:pt>
              </c:numCache>
            </c:numRef>
          </c:xVal>
          <c:yVal>
            <c:numRef>
              <c:f>Solution!$CB$62:$CB$63</c:f>
              <c:numCache>
                <c:formatCode>0.00</c:formatCode>
                <c:ptCount val="2"/>
                <c:pt idx="0">
                  <c:v>32.733999999999995</c:v>
                </c:pt>
                <c:pt idx="1">
                  <c:v>27.733999999999995</c:v>
                </c:pt>
              </c:numCache>
            </c:numRef>
          </c:yVal>
          <c:smooth val="1"/>
          <c:extLst>
            <c:ext xmlns:c16="http://schemas.microsoft.com/office/drawing/2014/chart" uri="{C3380CC4-5D6E-409C-BE32-E72D297353CC}">
              <c16:uniqueId val="{00000105-F900-4243-8888-E2CCF32BDD82}"/>
            </c:ext>
          </c:extLst>
        </c:ser>
        <c:ser>
          <c:idx val="203"/>
          <c:order val="221"/>
          <c:tx>
            <c:v>Pythagorean x Axis</c:v>
          </c:tx>
          <c:spPr>
            <a:ln w="25400" cap="rnd">
              <a:solidFill>
                <a:srgbClr val="FF0000"/>
              </a:solidFill>
              <a:prstDash val="lgDashDotDot"/>
              <a:round/>
            </a:ln>
            <a:effectLst/>
          </c:spPr>
          <c:marker>
            <c:symbol val="none"/>
          </c:marker>
          <c:dLbls>
            <c:dLbl>
              <c:idx val="1"/>
              <c:layout>
                <c:manualLayout>
                  <c:x val="-4.1025644181065378E-2"/>
                  <c:y val="-1.029866284432200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106-F900-4243-8888-E2CCF32BDD82}"/>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Solution!$CF$49:$CF$50</c:f>
              <c:numCache>
                <c:formatCode>General</c:formatCode>
                <c:ptCount val="2"/>
                <c:pt idx="0">
                  <c:v>-25</c:v>
                </c:pt>
                <c:pt idx="1">
                  <c:v>25</c:v>
                </c:pt>
              </c:numCache>
            </c:numRef>
          </c:xVal>
          <c:yVal>
            <c:numRef>
              <c:f>Solution!$CG$49:$CG$50</c:f>
              <c:numCache>
                <c:formatCode>General</c:formatCode>
                <c:ptCount val="2"/>
                <c:pt idx="0">
                  <c:v>0</c:v>
                </c:pt>
                <c:pt idx="1">
                  <c:v>0</c:v>
                </c:pt>
              </c:numCache>
            </c:numRef>
          </c:yVal>
          <c:smooth val="1"/>
          <c:extLst>
            <c:ext xmlns:c16="http://schemas.microsoft.com/office/drawing/2014/chart" uri="{C3380CC4-5D6E-409C-BE32-E72D297353CC}">
              <c16:uniqueId val="{00000107-F900-4243-8888-E2CCF32BDD82}"/>
            </c:ext>
          </c:extLst>
        </c:ser>
        <c:ser>
          <c:idx val="211"/>
          <c:order val="222"/>
          <c:tx>
            <c:v>Pythagorean y Axis</c:v>
          </c:tx>
          <c:spPr>
            <a:ln w="25400">
              <a:solidFill>
                <a:srgbClr val="0070C0"/>
              </a:solidFill>
              <a:prstDash val="lgDashDotDot"/>
            </a:ln>
          </c:spPr>
          <c:dLbls>
            <c:dLbl>
              <c:idx val="1"/>
              <c:layout>
                <c:manualLayout>
                  <c:x val="-6.5445670479318582E-2"/>
                  <c:y val="1.647786055091521E-2"/>
                </c:manualLayout>
              </c:layout>
              <c:spPr>
                <a:noFill/>
                <a:ln>
                  <a:noFill/>
                </a:ln>
                <a:effectLst/>
              </c:spPr>
              <c:txPr>
                <a:bodyPr wrap="square" lIns="38100" tIns="19050" rIns="38100" bIns="19050" anchor="ctr">
                  <a:noAutofit/>
                </a:bodyPr>
                <a:lstStyle/>
                <a:p>
                  <a:pPr>
                    <a:defRPr b="1"/>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2363363222932766"/>
                      <c:h val="2.9047419098326928E-2"/>
                    </c:manualLayout>
                  </c15:layout>
                </c:ext>
                <c:ext xmlns:c16="http://schemas.microsoft.com/office/drawing/2014/chart" uri="{C3380CC4-5D6E-409C-BE32-E72D297353CC}">
                  <c16:uniqueId val="{00000108-F900-4243-8888-E2CCF32BDD82}"/>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Solution!$CH$49:$CH$50</c:f>
              <c:numCache>
                <c:formatCode>General</c:formatCode>
                <c:ptCount val="2"/>
                <c:pt idx="0">
                  <c:v>-25</c:v>
                </c:pt>
                <c:pt idx="1">
                  <c:v>-25</c:v>
                </c:pt>
              </c:numCache>
            </c:numRef>
          </c:xVal>
          <c:yVal>
            <c:numRef>
              <c:f>Solution!$CI$49:$CI$50</c:f>
              <c:numCache>
                <c:formatCode>General</c:formatCode>
                <c:ptCount val="2"/>
                <c:pt idx="0">
                  <c:v>0</c:v>
                </c:pt>
                <c:pt idx="1">
                  <c:v>-40</c:v>
                </c:pt>
              </c:numCache>
            </c:numRef>
          </c:yVal>
          <c:smooth val="1"/>
          <c:extLst>
            <c:ext xmlns:c16="http://schemas.microsoft.com/office/drawing/2014/chart" uri="{C3380CC4-5D6E-409C-BE32-E72D297353CC}">
              <c16:uniqueId val="{00000109-F900-4243-8888-E2CCF32BDD82}"/>
            </c:ext>
          </c:extLst>
        </c:ser>
        <c:ser>
          <c:idx val="212"/>
          <c:order val="223"/>
          <c:tx>
            <c:v>Pythagorean z Axis</c:v>
          </c:tx>
          <c:spPr>
            <a:ln w="25400">
              <a:solidFill>
                <a:schemeClr val="tx1"/>
              </a:solidFill>
              <a:prstDash val="lgDashDotDot"/>
            </a:ln>
          </c:spPr>
          <c:dLbls>
            <c:dLbl>
              <c:idx val="1"/>
              <c:layout>
                <c:manualLayout>
                  <c:x val="-7.3036568354845524E-2"/>
                  <c:y val="-2.7806349133752746E-2"/>
                </c:manualLayout>
              </c:layout>
              <c:spPr>
                <a:noFill/>
                <a:ln>
                  <a:noFill/>
                </a:ln>
                <a:effectLst/>
              </c:spPr>
              <c:txPr>
                <a:bodyPr wrap="square" lIns="38100" tIns="19050" rIns="38100" bIns="19050" anchor="ctr">
                  <a:noAutofit/>
                </a:bodyPr>
                <a:lstStyle/>
                <a:p>
                  <a:pPr>
                    <a:defRPr b="1"/>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154481932410905"/>
                      <c:h val="4.2435680795945535E-2"/>
                    </c:manualLayout>
                  </c15:layout>
                </c:ext>
                <c:ext xmlns:c16="http://schemas.microsoft.com/office/drawing/2014/chart" uri="{C3380CC4-5D6E-409C-BE32-E72D297353CC}">
                  <c16:uniqueId val="{0000010A-F900-4243-8888-E2CCF32BDD82}"/>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Solution!$CK$49:$CK$50</c:f>
              <c:numCache>
                <c:formatCode>General</c:formatCode>
                <c:ptCount val="2"/>
                <c:pt idx="0">
                  <c:v>-25</c:v>
                </c:pt>
                <c:pt idx="1">
                  <c:v>-25</c:v>
                </c:pt>
              </c:numCache>
            </c:numRef>
          </c:xVal>
          <c:yVal>
            <c:numRef>
              <c:f>Solution!$CL$49:$CL$50</c:f>
              <c:numCache>
                <c:formatCode>General</c:formatCode>
                <c:ptCount val="2"/>
                <c:pt idx="0">
                  <c:v>0</c:v>
                </c:pt>
                <c:pt idx="1">
                  <c:v>40</c:v>
                </c:pt>
              </c:numCache>
            </c:numRef>
          </c:yVal>
          <c:smooth val="1"/>
          <c:extLst>
            <c:ext xmlns:c16="http://schemas.microsoft.com/office/drawing/2014/chart" uri="{C3380CC4-5D6E-409C-BE32-E72D297353CC}">
              <c16:uniqueId val="{0000010B-F900-4243-8888-E2CCF32BDD82}"/>
            </c:ext>
          </c:extLst>
        </c:ser>
        <c:ser>
          <c:idx val="224"/>
          <c:order val="224"/>
          <c:tx>
            <c:v>Pan Depth 5th</c:v>
          </c:tx>
          <c:spPr>
            <a:ln>
              <a:noFill/>
            </a:ln>
          </c:spPr>
          <c:marker>
            <c:symbol val="dash"/>
            <c:size val="15"/>
            <c:spPr>
              <a:solidFill>
                <a:schemeClr val="accent5">
                  <a:lumMod val="60000"/>
                  <a:lumOff val="40000"/>
                </a:schemeClr>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Data'!$AM$3:$AM$45</c:f>
              <c:numCache>
                <c:formatCode>0.0</c:formatCode>
                <c:ptCount val="43"/>
                <c:pt idx="0">
                  <c:v>-11.611360000000001</c:v>
                </c:pt>
                <c:pt idx="1">
                  <c:v>-13.399520000000001</c:v>
                </c:pt>
                <c:pt idx="2">
                  <c:v>-16.752319999999997</c:v>
                </c:pt>
                <c:pt idx="3">
                  <c:v>-17.86992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C-F900-4243-8888-E2CCF32BDD82}"/>
            </c:ext>
          </c:extLst>
        </c:ser>
        <c:ser>
          <c:idx val="225"/>
          <c:order val="225"/>
          <c:tx>
            <c:v>Pan Depth Mean</c:v>
          </c:tx>
          <c:spPr>
            <a:ln>
              <a:noFill/>
            </a:ln>
          </c:spPr>
          <c:marker>
            <c:symbol val="dash"/>
            <c:size val="15"/>
            <c:spPr>
              <a:solidFill>
                <a:srgbClr val="00B050"/>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Data'!$AN$3:$AN$45</c:f>
              <c:numCache>
                <c:formatCode>0.0</c:formatCode>
                <c:ptCount val="43"/>
                <c:pt idx="0">
                  <c:v>-14.293600000000001</c:v>
                </c:pt>
                <c:pt idx="1">
                  <c:v>-16.975839999999998</c:v>
                </c:pt>
                <c:pt idx="2">
                  <c:v>-19.434560000000001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D-F900-4243-8888-E2CCF32BDD82}"/>
            </c:ext>
          </c:extLst>
        </c:ser>
        <c:ser>
          <c:idx val="226"/>
          <c:order val="226"/>
          <c:tx>
            <c:v>Pan Depth 95th</c:v>
          </c:tx>
          <c:spPr>
            <a:ln>
              <a:noFill/>
            </a:ln>
          </c:spPr>
          <c:marker>
            <c:symbol val="dash"/>
            <c:size val="15"/>
            <c:spPr>
              <a:solidFill>
                <a:schemeClr val="accent4">
                  <a:lumMod val="75000"/>
                </a:schemeClr>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Data'!$AO$3:$AO$45</c:f>
              <c:numCache>
                <c:formatCode>0.0</c:formatCode>
                <c:ptCount val="43"/>
                <c:pt idx="0">
                  <c:v>-16.975839999999998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E-F900-4243-8888-E2CCF32BDD82}"/>
            </c:ext>
          </c:extLst>
        </c:ser>
        <c:ser>
          <c:idx val="227"/>
          <c:order val="227"/>
          <c:tx>
            <c:v>Show Splitter Plate</c:v>
          </c:tx>
          <c:spPr>
            <a:ln>
              <a:noFill/>
            </a:ln>
          </c:spPr>
          <c:marker>
            <c:symbol val="triangle"/>
            <c:size val="5"/>
          </c:marker>
          <c:dPt>
            <c:idx val="1"/>
            <c:marker>
              <c:symbol val="picture"/>
              <c:spPr>
                <a:blipFill dpi="0" rotWithShape="1">
                  <a:blip xmlns:r="http://schemas.openxmlformats.org/officeDocument/2006/relationships" r:embed="rId4">
                    <a:alphaModFix amt="30000"/>
                  </a:blip>
                  <a:srcRect/>
                  <a:stretch>
                    <a:fillRect/>
                  </a:stretch>
                </a:blipFill>
                <a:ln>
                  <a:noFill/>
                </a:ln>
              </c:spPr>
            </c:marker>
            <c:bubble3D val="0"/>
            <c:extLst>
              <c:ext xmlns:c16="http://schemas.microsoft.com/office/drawing/2014/chart" uri="{C3380CC4-5D6E-409C-BE32-E72D297353CC}">
                <c16:uniqueId val="{0000010F-F900-4243-8888-E2CCF32BDD82}"/>
              </c:ext>
            </c:extLst>
          </c:dPt>
          <c:xVal>
            <c:numRef>
              <c:f>Solution!$CC$65:$CC$66</c:f>
              <c:numCache>
                <c:formatCode>General</c:formatCode>
                <c:ptCount val="2"/>
                <c:pt idx="0">
                  <c:v>0</c:v>
                </c:pt>
                <c:pt idx="1">
                  <c:v>0</c:v>
                </c:pt>
              </c:numCache>
            </c:numRef>
          </c:xVal>
          <c:yVal>
            <c:numRef>
              <c:f>Solution!$CD$65:$CD$66</c:f>
              <c:numCache>
                <c:formatCode>0.00</c:formatCode>
                <c:ptCount val="2"/>
                <c:pt idx="0" formatCode="General">
                  <c:v>0</c:v>
                </c:pt>
                <c:pt idx="1">
                  <c:v>27.733999999999995</c:v>
                </c:pt>
              </c:numCache>
            </c:numRef>
          </c:yVal>
          <c:smooth val="1"/>
          <c:extLst>
            <c:ext xmlns:c16="http://schemas.microsoft.com/office/drawing/2014/chart" uri="{C3380CC4-5D6E-409C-BE32-E72D297353CC}">
              <c16:uniqueId val="{00000110-F900-4243-8888-E2CCF32BDD82}"/>
            </c:ext>
          </c:extLst>
        </c:ser>
        <c:ser>
          <c:idx val="228"/>
          <c:order val="228"/>
          <c:tx>
            <c:v>Locate CFA</c:v>
          </c:tx>
          <c:spPr>
            <a:ln>
              <a:noFill/>
            </a:ln>
          </c:spPr>
          <c:marker>
            <c:symbol val="square"/>
            <c:size val="8"/>
            <c:spPr>
              <a:ln>
                <a:noFill/>
              </a:ln>
            </c:spPr>
          </c:marker>
          <c:dPt>
            <c:idx val="0"/>
            <c:marker>
              <c:symbol val="square"/>
              <c:size val="2"/>
            </c:marker>
            <c:bubble3D val="0"/>
            <c:extLst>
              <c:ext xmlns:c16="http://schemas.microsoft.com/office/drawing/2014/chart" uri="{C3380CC4-5D6E-409C-BE32-E72D297353CC}">
                <c16:uniqueId val="{00000111-F900-4243-8888-E2CCF32BDD82}"/>
              </c:ext>
            </c:extLst>
          </c:dPt>
          <c:dPt>
            <c:idx val="1"/>
            <c:marker>
              <c:symbol val="picture"/>
              <c:spPr>
                <a:blipFill dpi="0" rotWithShape="1">
                  <a:blip xmlns:r="http://schemas.openxmlformats.org/officeDocument/2006/relationships" r:embed="rId5">
                    <a:alphaModFix amt="72000"/>
                  </a:blip>
                  <a:srcRect/>
                  <a:stretch>
                    <a:fillRect/>
                  </a:stretch>
                </a:blipFill>
                <a:ln>
                  <a:noFill/>
                </a:ln>
              </c:spPr>
            </c:marker>
            <c:bubble3D val="0"/>
            <c:extLst>
              <c:ext xmlns:c16="http://schemas.microsoft.com/office/drawing/2014/chart" uri="{C3380CC4-5D6E-409C-BE32-E72D297353CC}">
                <c16:uniqueId val="{00000112-F900-4243-8888-E2CCF32BDD82}"/>
              </c:ext>
            </c:extLst>
          </c:dPt>
          <c:xVal>
            <c:numRef>
              <c:f>Solution!$CC$69:$CC$70</c:f>
              <c:numCache>
                <c:formatCode>General</c:formatCode>
                <c:ptCount val="2"/>
                <c:pt idx="0">
                  <c:v>0</c:v>
                </c:pt>
                <c:pt idx="1">
                  <c:v>0</c:v>
                </c:pt>
              </c:numCache>
            </c:numRef>
          </c:xVal>
          <c:yVal>
            <c:numRef>
              <c:f>Solution!$CD$69:$CD$70</c:f>
              <c:numCache>
                <c:formatCode>General</c:formatCode>
                <c:ptCount val="2"/>
                <c:pt idx="0">
                  <c:v>0</c:v>
                </c:pt>
                <c:pt idx="1">
                  <c:v>-19.434560000000001</c:v>
                </c:pt>
              </c:numCache>
            </c:numRef>
          </c:yVal>
          <c:smooth val="1"/>
          <c:extLst>
            <c:ext xmlns:c16="http://schemas.microsoft.com/office/drawing/2014/chart" uri="{C3380CC4-5D6E-409C-BE32-E72D297353CC}">
              <c16:uniqueId val="{00000113-F900-4243-8888-E2CCF32BDD82}"/>
            </c:ext>
          </c:extLst>
        </c:ser>
        <c:ser>
          <c:idx val="229"/>
          <c:order val="229"/>
          <c:tx>
            <c:v>Plot Back Perimeter Surface</c:v>
          </c:tx>
          <c:spPr>
            <a:ln w="50800">
              <a:solidFill>
                <a:schemeClr val="tx1"/>
              </a:solidFill>
            </a:ln>
          </c:spPr>
          <c:marker>
            <c:symbol val="diamond"/>
            <c:size val="5"/>
            <c:spPr>
              <a:ln>
                <a:solidFill>
                  <a:schemeClr val="tx1"/>
                </a:solidFill>
              </a:ln>
            </c:spPr>
          </c:marker>
          <c:xVal>
            <c:numRef>
              <c:f>Solution!$CB$76:$CB$86</c:f>
              <c:numCache>
                <c:formatCode>0.0</c:formatCode>
                <c:ptCount val="11"/>
                <c:pt idx="0">
                  <c:v>-13.2</c:v>
                </c:pt>
                <c:pt idx="1">
                  <c:v>-14.32</c:v>
                </c:pt>
                <c:pt idx="2">
                  <c:v>-13.2</c:v>
                </c:pt>
                <c:pt idx="3">
                  <c:v>-13.2</c:v>
                </c:pt>
                <c:pt idx="4">
                  <c:v>-13.2</c:v>
                </c:pt>
                <c:pt idx="5">
                  <c:v>0</c:v>
                </c:pt>
                <c:pt idx="6">
                  <c:v>13.2</c:v>
                </c:pt>
                <c:pt idx="7">
                  <c:v>13.2</c:v>
                </c:pt>
                <c:pt idx="8">
                  <c:v>13.2</c:v>
                </c:pt>
                <c:pt idx="9">
                  <c:v>14.32</c:v>
                </c:pt>
                <c:pt idx="10">
                  <c:v>13.2</c:v>
                </c:pt>
              </c:numCache>
            </c:numRef>
          </c:xVal>
          <c:yVal>
            <c:numRef>
              <c:f>Solution!$CC$76:$CC$86</c:f>
              <c:numCache>
                <c:formatCode>0.0</c:formatCode>
                <c:ptCount val="11"/>
                <c:pt idx="0">
                  <c:v>-17.491104</c:v>
                </c:pt>
                <c:pt idx="1">
                  <c:v>-9.7172800000000006</c:v>
                </c:pt>
                <c:pt idx="2">
                  <c:v>0</c:v>
                </c:pt>
                <c:pt idx="3">
                  <c:v>26.25</c:v>
                </c:pt>
                <c:pt idx="4">
                  <c:v>52.5</c:v>
                </c:pt>
                <c:pt idx="5">
                  <c:v>52.5</c:v>
                </c:pt>
                <c:pt idx="6">
                  <c:v>52.5</c:v>
                </c:pt>
                <c:pt idx="7">
                  <c:v>26.25</c:v>
                </c:pt>
                <c:pt idx="8">
                  <c:v>0</c:v>
                </c:pt>
                <c:pt idx="9">
                  <c:v>-9.7172800000000006</c:v>
                </c:pt>
                <c:pt idx="10">
                  <c:v>-17.491104</c:v>
                </c:pt>
              </c:numCache>
            </c:numRef>
          </c:yVal>
          <c:smooth val="1"/>
          <c:extLst>
            <c:ext xmlns:c16="http://schemas.microsoft.com/office/drawing/2014/chart" uri="{C3380CC4-5D6E-409C-BE32-E72D297353CC}">
              <c16:uniqueId val="{00000114-F900-4243-8888-E2CCF32BDD82}"/>
            </c:ext>
          </c:extLst>
        </c:ser>
        <c:ser>
          <c:idx val="230"/>
          <c:order val="230"/>
          <c:tx>
            <c:v>Show Water Fall Perimeter</c:v>
          </c:tx>
          <c:spPr>
            <a:ln w="50800">
              <a:solidFill>
                <a:schemeClr val="tx1"/>
              </a:solidFill>
            </a:ln>
          </c:spPr>
          <c:marker>
            <c:symbol val="diamond"/>
            <c:size val="5"/>
            <c:spPr>
              <a:ln>
                <a:solidFill>
                  <a:schemeClr val="tx1"/>
                </a:solidFill>
              </a:ln>
            </c:spPr>
          </c:marker>
          <c:xVal>
            <c:numRef>
              <c:f>Solution!$CB$88:$CB$90</c:f>
              <c:numCache>
                <c:formatCode>0.0</c:formatCode>
                <c:ptCount val="3"/>
                <c:pt idx="0">
                  <c:v>13.2</c:v>
                </c:pt>
                <c:pt idx="1">
                  <c:v>0</c:v>
                </c:pt>
                <c:pt idx="2">
                  <c:v>-13.2</c:v>
                </c:pt>
              </c:numCache>
            </c:numRef>
          </c:xVal>
          <c:yVal>
            <c:numRef>
              <c:f>Solution!$CC$88:$CC$90</c:f>
              <c:numCache>
                <c:formatCode>0.0</c:formatCode>
                <c:ptCount val="3"/>
                <c:pt idx="0">
                  <c:v>-17.491104</c:v>
                </c:pt>
                <c:pt idx="1">
                  <c:v>-19.434560000000001</c:v>
                </c:pt>
                <c:pt idx="2">
                  <c:v>-17.491104</c:v>
                </c:pt>
              </c:numCache>
            </c:numRef>
          </c:yVal>
          <c:smooth val="1"/>
          <c:extLst>
            <c:ext xmlns:c16="http://schemas.microsoft.com/office/drawing/2014/chart" uri="{C3380CC4-5D6E-409C-BE32-E72D297353CC}">
              <c16:uniqueId val="{00000115-F900-4243-8888-E2CCF32BDD82}"/>
            </c:ext>
          </c:extLst>
        </c:ser>
        <c:ser>
          <c:idx val="231"/>
          <c:order val="231"/>
          <c:tx>
            <c:v>R129 Shield Min Left</c:v>
          </c:tx>
          <c:spPr>
            <a:ln w="44450">
              <a:solidFill>
                <a:srgbClr val="0070C0"/>
              </a:solidFill>
            </a:ln>
          </c:spPr>
          <c:xVal>
            <c:numRef>
              <c:f>'R129 Annex 18 Data'!$D$44:$D$45</c:f>
              <c:numCache>
                <c:formatCode>General</c:formatCode>
                <c:ptCount val="2"/>
                <c:pt idx="0">
                  <c:v>0</c:v>
                </c:pt>
                <c:pt idx="1">
                  <c:v>0</c:v>
                </c:pt>
              </c:numCache>
            </c:numRef>
          </c:xVal>
          <c:yVal>
            <c:numRef>
              <c:f>'R129 Annex 18 Data'!$G$44:$G$45</c:f>
              <c:numCache>
                <c:formatCode>General</c:formatCode>
                <c:ptCount val="2"/>
                <c:pt idx="0">
                  <c:v>0</c:v>
                </c:pt>
                <c:pt idx="1">
                  <c:v>0</c:v>
                </c:pt>
              </c:numCache>
            </c:numRef>
          </c:yVal>
          <c:smooth val="1"/>
          <c:extLst>
            <c:ext xmlns:c16="http://schemas.microsoft.com/office/drawing/2014/chart" uri="{C3380CC4-5D6E-409C-BE32-E72D297353CC}">
              <c16:uniqueId val="{00000116-F900-4243-8888-E2CCF32BDD82}"/>
            </c:ext>
          </c:extLst>
        </c:ser>
        <c:ser>
          <c:idx val="232"/>
          <c:order val="232"/>
          <c:tx>
            <c:v>R129 Shield Min Inside</c:v>
          </c:tx>
          <c:spPr>
            <a:ln w="44450">
              <a:solidFill>
                <a:srgbClr val="0070C0"/>
              </a:solidFill>
            </a:ln>
          </c:spPr>
          <c:marker>
            <c:symbol val="none"/>
          </c:marker>
          <c:xVal>
            <c:numRef>
              <c:f>'R129 Annex 18 Data'!$D$45:$D$46</c:f>
              <c:numCache>
                <c:formatCode>General</c:formatCode>
                <c:ptCount val="2"/>
                <c:pt idx="0">
                  <c:v>0</c:v>
                </c:pt>
                <c:pt idx="1">
                  <c:v>0</c:v>
                </c:pt>
              </c:numCache>
            </c:numRef>
          </c:xVal>
          <c:yVal>
            <c:numRef>
              <c:f>'R129 Annex 18 Data'!$G$45:$G$46</c:f>
              <c:numCache>
                <c:formatCode>General</c:formatCode>
                <c:ptCount val="2"/>
                <c:pt idx="0">
                  <c:v>0</c:v>
                </c:pt>
                <c:pt idx="1">
                  <c:v>0</c:v>
                </c:pt>
              </c:numCache>
            </c:numRef>
          </c:yVal>
          <c:smooth val="1"/>
          <c:extLst>
            <c:ext xmlns:c16="http://schemas.microsoft.com/office/drawing/2014/chart" uri="{C3380CC4-5D6E-409C-BE32-E72D297353CC}">
              <c16:uniqueId val="{00000117-F900-4243-8888-E2CCF32BDD82}"/>
            </c:ext>
          </c:extLst>
        </c:ser>
        <c:ser>
          <c:idx val="233"/>
          <c:order val="233"/>
          <c:tx>
            <c:v>R129 Shield Min Right</c:v>
          </c:tx>
          <c:spPr>
            <a:ln w="44450">
              <a:solidFill>
                <a:srgbClr val="0070C0"/>
              </a:solidFill>
            </a:ln>
          </c:spPr>
          <c:dPt>
            <c:idx val="1"/>
            <c:marker>
              <c:symbol val="none"/>
            </c:marker>
            <c:bubble3D val="0"/>
            <c:extLst>
              <c:ext xmlns:c16="http://schemas.microsoft.com/office/drawing/2014/chart" uri="{C3380CC4-5D6E-409C-BE32-E72D297353CC}">
                <c16:uniqueId val="{00000118-F900-4243-8888-E2CCF32BDD82}"/>
              </c:ext>
            </c:extLst>
          </c:dPt>
          <c:xVal>
            <c:numRef>
              <c:f>'R129 Annex 18 Data'!$D$46:$D$47</c:f>
              <c:numCache>
                <c:formatCode>General</c:formatCode>
                <c:ptCount val="2"/>
                <c:pt idx="0">
                  <c:v>0</c:v>
                </c:pt>
                <c:pt idx="1">
                  <c:v>0</c:v>
                </c:pt>
              </c:numCache>
            </c:numRef>
          </c:xVal>
          <c:yVal>
            <c:numRef>
              <c:f>'R129 Annex 18 Data'!$G$46:$G$47</c:f>
              <c:numCache>
                <c:formatCode>General</c:formatCode>
                <c:ptCount val="2"/>
                <c:pt idx="0">
                  <c:v>0</c:v>
                </c:pt>
                <c:pt idx="1">
                  <c:v>0</c:v>
                </c:pt>
              </c:numCache>
            </c:numRef>
          </c:yVal>
          <c:smooth val="1"/>
          <c:extLst>
            <c:ext xmlns:c16="http://schemas.microsoft.com/office/drawing/2014/chart" uri="{C3380CC4-5D6E-409C-BE32-E72D297353CC}">
              <c16:uniqueId val="{00000119-F900-4243-8888-E2CCF32BDD82}"/>
            </c:ext>
          </c:extLst>
        </c:ser>
        <c:ser>
          <c:idx val="234"/>
          <c:order val="234"/>
          <c:tx>
            <c:v>R129 Shield Min Top</c:v>
          </c:tx>
          <c:spPr>
            <a:ln w="44450">
              <a:solidFill>
                <a:srgbClr val="0070C0"/>
              </a:solidFill>
            </a:ln>
          </c:spPr>
          <c:marker>
            <c:symbol val="none"/>
          </c:marker>
          <c:xVal>
            <c:numRef>
              <c:f>'R129 Annex 18 Data'!$D$47:$D$48</c:f>
              <c:numCache>
                <c:formatCode>General</c:formatCode>
                <c:ptCount val="2"/>
                <c:pt idx="0">
                  <c:v>0</c:v>
                </c:pt>
                <c:pt idx="1">
                  <c:v>0</c:v>
                </c:pt>
              </c:numCache>
            </c:numRef>
          </c:xVal>
          <c:yVal>
            <c:numRef>
              <c:f>'R129 Annex 18 Data'!$G$47:$G$48</c:f>
              <c:numCache>
                <c:formatCode>General</c:formatCode>
                <c:ptCount val="2"/>
                <c:pt idx="0">
                  <c:v>0</c:v>
                </c:pt>
                <c:pt idx="1">
                  <c:v>0</c:v>
                </c:pt>
              </c:numCache>
            </c:numRef>
          </c:yVal>
          <c:smooth val="1"/>
          <c:extLst>
            <c:ext xmlns:c16="http://schemas.microsoft.com/office/drawing/2014/chart" uri="{C3380CC4-5D6E-409C-BE32-E72D297353CC}">
              <c16:uniqueId val="{0000011A-F900-4243-8888-E2CCF32BDD82}"/>
            </c:ext>
          </c:extLst>
        </c:ser>
        <c:ser>
          <c:idx val="235"/>
          <c:order val="235"/>
          <c:tx>
            <c:v>R129 Shield Max Left</c:v>
          </c:tx>
          <c:spPr>
            <a:ln w="44450">
              <a:solidFill>
                <a:srgbClr val="0070C0"/>
              </a:solidFill>
            </a:ln>
          </c:spPr>
          <c:marker>
            <c:symbol val="none"/>
          </c:marker>
          <c:xVal>
            <c:numRef>
              <c:f>'R129 Annex 18 Data'!$D$51:$D$52</c:f>
              <c:numCache>
                <c:formatCode>General</c:formatCode>
                <c:ptCount val="2"/>
                <c:pt idx="0">
                  <c:v>0</c:v>
                </c:pt>
                <c:pt idx="1">
                  <c:v>0</c:v>
                </c:pt>
              </c:numCache>
            </c:numRef>
          </c:xVal>
          <c:yVal>
            <c:numRef>
              <c:f>'R129 Annex 18 Data'!$G$51:$G$52</c:f>
              <c:numCache>
                <c:formatCode>General</c:formatCode>
                <c:ptCount val="2"/>
                <c:pt idx="0">
                  <c:v>0</c:v>
                </c:pt>
                <c:pt idx="1">
                  <c:v>0</c:v>
                </c:pt>
              </c:numCache>
            </c:numRef>
          </c:yVal>
          <c:smooth val="1"/>
          <c:extLst>
            <c:ext xmlns:c16="http://schemas.microsoft.com/office/drawing/2014/chart" uri="{C3380CC4-5D6E-409C-BE32-E72D297353CC}">
              <c16:uniqueId val="{0000011B-F900-4243-8888-E2CCF32BDD82}"/>
            </c:ext>
          </c:extLst>
        </c:ser>
        <c:ser>
          <c:idx val="236"/>
          <c:order val="236"/>
          <c:tx>
            <c:v>R129 Shield Max Inside</c:v>
          </c:tx>
          <c:spPr>
            <a:ln w="44450">
              <a:solidFill>
                <a:srgbClr val="0070C0"/>
              </a:solidFill>
            </a:ln>
          </c:spPr>
          <c:marker>
            <c:symbol val="none"/>
          </c:marker>
          <c:xVal>
            <c:numRef>
              <c:f>'R129 Annex 18 Data'!$D$52:$D$53</c:f>
              <c:numCache>
                <c:formatCode>General</c:formatCode>
                <c:ptCount val="2"/>
                <c:pt idx="0">
                  <c:v>0</c:v>
                </c:pt>
                <c:pt idx="1">
                  <c:v>0</c:v>
                </c:pt>
              </c:numCache>
            </c:numRef>
          </c:xVal>
          <c:yVal>
            <c:numRef>
              <c:f>'R129 Annex 18 Data'!$G$52:$G$53</c:f>
              <c:numCache>
                <c:formatCode>General</c:formatCode>
                <c:ptCount val="2"/>
                <c:pt idx="0">
                  <c:v>0</c:v>
                </c:pt>
                <c:pt idx="1">
                  <c:v>0</c:v>
                </c:pt>
              </c:numCache>
            </c:numRef>
          </c:yVal>
          <c:smooth val="1"/>
          <c:extLst>
            <c:ext xmlns:c16="http://schemas.microsoft.com/office/drawing/2014/chart" uri="{C3380CC4-5D6E-409C-BE32-E72D297353CC}">
              <c16:uniqueId val="{0000011C-F900-4243-8888-E2CCF32BDD82}"/>
            </c:ext>
          </c:extLst>
        </c:ser>
        <c:ser>
          <c:idx val="237"/>
          <c:order val="237"/>
          <c:tx>
            <c:v>R129 Shield Max Right</c:v>
          </c:tx>
          <c:spPr>
            <a:ln w="44450">
              <a:solidFill>
                <a:srgbClr val="0070C0"/>
              </a:solidFill>
            </a:ln>
          </c:spPr>
          <c:marker>
            <c:symbol val="none"/>
          </c:marker>
          <c:xVal>
            <c:numRef>
              <c:f>'R129 Annex 18 Data'!$D$53:$D$54</c:f>
              <c:numCache>
                <c:formatCode>General</c:formatCode>
                <c:ptCount val="2"/>
                <c:pt idx="0">
                  <c:v>0</c:v>
                </c:pt>
                <c:pt idx="1">
                  <c:v>0</c:v>
                </c:pt>
              </c:numCache>
            </c:numRef>
          </c:xVal>
          <c:yVal>
            <c:numRef>
              <c:f>'R129 Annex 18 Data'!$G$53:$G$54</c:f>
              <c:numCache>
                <c:formatCode>General</c:formatCode>
                <c:ptCount val="2"/>
                <c:pt idx="0">
                  <c:v>0</c:v>
                </c:pt>
                <c:pt idx="1">
                  <c:v>0</c:v>
                </c:pt>
              </c:numCache>
            </c:numRef>
          </c:yVal>
          <c:smooth val="1"/>
          <c:extLst>
            <c:ext xmlns:c16="http://schemas.microsoft.com/office/drawing/2014/chart" uri="{C3380CC4-5D6E-409C-BE32-E72D297353CC}">
              <c16:uniqueId val="{0000011D-F900-4243-8888-E2CCF32BDD82}"/>
            </c:ext>
          </c:extLst>
        </c:ser>
        <c:ser>
          <c:idx val="238"/>
          <c:order val="238"/>
          <c:tx>
            <c:v>R129 Shield Max Top</c:v>
          </c:tx>
          <c:spPr>
            <a:ln w="44450">
              <a:solidFill>
                <a:srgbClr val="0070C0"/>
              </a:solidFill>
            </a:ln>
          </c:spPr>
          <c:marker>
            <c:symbol val="none"/>
          </c:marker>
          <c:xVal>
            <c:numRef>
              <c:f>'R129 Annex 18 Data'!$D$54:$D$55</c:f>
              <c:numCache>
                <c:formatCode>General</c:formatCode>
                <c:ptCount val="2"/>
                <c:pt idx="0">
                  <c:v>0</c:v>
                </c:pt>
                <c:pt idx="1">
                  <c:v>0</c:v>
                </c:pt>
              </c:numCache>
            </c:numRef>
          </c:xVal>
          <c:yVal>
            <c:numRef>
              <c:f>'R129 Annex 18 Data'!$G$54:$G$55</c:f>
              <c:numCache>
                <c:formatCode>General</c:formatCode>
                <c:ptCount val="2"/>
                <c:pt idx="0">
                  <c:v>0</c:v>
                </c:pt>
                <c:pt idx="1">
                  <c:v>0</c:v>
                </c:pt>
              </c:numCache>
            </c:numRef>
          </c:yVal>
          <c:smooth val="1"/>
          <c:extLst>
            <c:ext xmlns:c16="http://schemas.microsoft.com/office/drawing/2014/chart" uri="{C3380CC4-5D6E-409C-BE32-E72D297353CC}">
              <c16:uniqueId val="{0000011E-F900-4243-8888-E2CCF32BDD82}"/>
            </c:ext>
          </c:extLst>
        </c:ser>
        <c:ser>
          <c:idx val="239"/>
          <c:order val="239"/>
          <c:tx>
            <c:v>Back Pad Thickness</c:v>
          </c:tx>
          <c:spPr>
            <a:ln w="53975">
              <a:solidFill>
                <a:schemeClr val="bg1">
                  <a:lumMod val="50000"/>
                </a:schemeClr>
              </a:solidFill>
            </a:ln>
          </c:spPr>
          <c:marker>
            <c:symbol val="none"/>
          </c:marker>
          <c:xVal>
            <c:numRef>
              <c:f>Solution!$CB$93:$CB$97</c:f>
              <c:numCache>
                <c:formatCode>General</c:formatCode>
                <c:ptCount val="5"/>
                <c:pt idx="0">
                  <c:v>-11.2</c:v>
                </c:pt>
                <c:pt idx="1">
                  <c:v>-11.2</c:v>
                </c:pt>
                <c:pt idx="2" formatCode="0">
                  <c:v>11.2</c:v>
                </c:pt>
                <c:pt idx="3" formatCode="0">
                  <c:v>11.2</c:v>
                </c:pt>
                <c:pt idx="4">
                  <c:v>-11.2</c:v>
                </c:pt>
              </c:numCache>
            </c:numRef>
          </c:xVal>
          <c:yVal>
            <c:numRef>
              <c:f>Solution!$CC$93:$CC$97</c:f>
              <c:numCache>
                <c:formatCode>General</c:formatCode>
                <c:ptCount val="5"/>
                <c:pt idx="0">
                  <c:v>0</c:v>
                </c:pt>
                <c:pt idx="1">
                  <c:v>-2</c:v>
                </c:pt>
                <c:pt idx="2">
                  <c:v>-2</c:v>
                </c:pt>
                <c:pt idx="3">
                  <c:v>0</c:v>
                </c:pt>
                <c:pt idx="4">
                  <c:v>0</c:v>
                </c:pt>
              </c:numCache>
            </c:numRef>
          </c:yVal>
          <c:smooth val="1"/>
          <c:extLst>
            <c:ext xmlns:c16="http://schemas.microsoft.com/office/drawing/2014/chart" uri="{C3380CC4-5D6E-409C-BE32-E72D297353CC}">
              <c16:uniqueId val="{0000011F-F900-4243-8888-E2CCF32BDD82}"/>
            </c:ext>
          </c:extLst>
        </c:ser>
        <c:ser>
          <c:idx val="240"/>
          <c:order val="240"/>
          <c:tx>
            <c:v>Seat Pad Thickness</c:v>
          </c:tx>
          <c:spPr>
            <a:ln w="50800">
              <a:solidFill>
                <a:schemeClr val="bg2">
                  <a:lumMod val="50000"/>
                </a:schemeClr>
              </a:solidFill>
            </a:ln>
          </c:spPr>
          <c:xVal>
            <c:numRef>
              <c:f>Solution!$CB$99:$CB$103</c:f>
              <c:numCache>
                <c:formatCode>General</c:formatCode>
                <c:ptCount val="5"/>
                <c:pt idx="0">
                  <c:v>-11.2</c:v>
                </c:pt>
                <c:pt idx="1">
                  <c:v>-11.2</c:v>
                </c:pt>
                <c:pt idx="2" formatCode="0">
                  <c:v>11.2</c:v>
                </c:pt>
                <c:pt idx="3" formatCode="0">
                  <c:v>11.2</c:v>
                </c:pt>
                <c:pt idx="4">
                  <c:v>-11.2</c:v>
                </c:pt>
              </c:numCache>
            </c:numRef>
          </c:xVal>
          <c:yVal>
            <c:numRef>
              <c:f>Solution!$CC$99:$CC$103</c:f>
              <c:numCache>
                <c:formatCode>General</c:formatCode>
                <c:ptCount val="5"/>
                <c:pt idx="0">
                  <c:v>0</c:v>
                </c:pt>
                <c:pt idx="1">
                  <c:v>2</c:v>
                </c:pt>
                <c:pt idx="2">
                  <c:v>2</c:v>
                </c:pt>
                <c:pt idx="3">
                  <c:v>0</c:v>
                </c:pt>
                <c:pt idx="4">
                  <c:v>0</c:v>
                </c:pt>
              </c:numCache>
            </c:numRef>
          </c:yVal>
          <c:smooth val="1"/>
          <c:extLst>
            <c:ext xmlns:c16="http://schemas.microsoft.com/office/drawing/2014/chart" uri="{C3380CC4-5D6E-409C-BE32-E72D297353CC}">
              <c16:uniqueId val="{00000120-F900-4243-8888-E2CCF32BDD82}"/>
            </c:ext>
          </c:extLst>
        </c:ser>
        <c:ser>
          <c:idx val="241"/>
          <c:order val="241"/>
          <c:tx>
            <c:v>Plot Side Pad Thickness</c:v>
          </c:tx>
          <c:spPr>
            <a:ln w="44450">
              <a:solidFill>
                <a:schemeClr val="bg2">
                  <a:lumMod val="50000"/>
                </a:schemeClr>
              </a:solidFill>
            </a:ln>
          </c:spPr>
          <c:xVal>
            <c:numRef>
              <c:f>Solution!$CK$76:$CK$86</c:f>
              <c:numCache>
                <c:formatCode>0.0</c:formatCode>
                <c:ptCount val="11"/>
                <c:pt idx="0">
                  <c:v>-11.2</c:v>
                </c:pt>
                <c:pt idx="1">
                  <c:v>-12.32</c:v>
                </c:pt>
                <c:pt idx="2">
                  <c:v>-11.2</c:v>
                </c:pt>
                <c:pt idx="3">
                  <c:v>-11.2</c:v>
                </c:pt>
                <c:pt idx="4">
                  <c:v>-11.2</c:v>
                </c:pt>
                <c:pt idx="5">
                  <c:v>0</c:v>
                </c:pt>
                <c:pt idx="6">
                  <c:v>11.2</c:v>
                </c:pt>
                <c:pt idx="7">
                  <c:v>11.2</c:v>
                </c:pt>
                <c:pt idx="8">
                  <c:v>11.2</c:v>
                </c:pt>
                <c:pt idx="9">
                  <c:v>12.32</c:v>
                </c:pt>
                <c:pt idx="10">
                  <c:v>11.2</c:v>
                </c:pt>
              </c:numCache>
            </c:numRef>
          </c:xVal>
          <c:yVal>
            <c:numRef>
              <c:f>Solution!$CL$76:$CL$86</c:f>
              <c:numCache>
                <c:formatCode>0.0</c:formatCode>
                <c:ptCount val="11"/>
                <c:pt idx="0">
                  <c:v>-17.491104</c:v>
                </c:pt>
                <c:pt idx="1">
                  <c:v>-9.7172800000000006</c:v>
                </c:pt>
                <c:pt idx="2">
                  <c:v>0</c:v>
                </c:pt>
                <c:pt idx="3">
                  <c:v>26.25</c:v>
                </c:pt>
                <c:pt idx="4">
                  <c:v>52.5</c:v>
                </c:pt>
                <c:pt idx="5">
                  <c:v>52.5</c:v>
                </c:pt>
                <c:pt idx="6">
                  <c:v>52.5</c:v>
                </c:pt>
                <c:pt idx="7">
                  <c:v>26.25</c:v>
                </c:pt>
                <c:pt idx="8">
                  <c:v>0</c:v>
                </c:pt>
                <c:pt idx="9">
                  <c:v>-9.7172800000000006</c:v>
                </c:pt>
                <c:pt idx="10">
                  <c:v>-17.491104</c:v>
                </c:pt>
              </c:numCache>
            </c:numRef>
          </c:yVal>
          <c:smooth val="1"/>
          <c:extLst>
            <c:ext xmlns:c16="http://schemas.microsoft.com/office/drawing/2014/chart" uri="{C3380CC4-5D6E-409C-BE32-E72D297353CC}">
              <c16:uniqueId val="{00000121-F900-4243-8888-E2CCF32BDD82}"/>
            </c:ext>
          </c:extLst>
        </c:ser>
        <c:dLbls>
          <c:showLegendKey val="0"/>
          <c:showVal val="0"/>
          <c:showCatName val="0"/>
          <c:showSerName val="0"/>
          <c:showPercent val="0"/>
          <c:showBubbleSize val="0"/>
        </c:dLbls>
        <c:axId val="405218568"/>
        <c:axId val="405218960"/>
      </c:scatterChart>
      <c:valAx>
        <c:axId val="405218568"/>
        <c:scaling>
          <c:orientation val="minMax"/>
          <c:max val="30"/>
          <c:min val="-30"/>
        </c:scaling>
        <c:delete val="0"/>
        <c:axPos val="b"/>
        <c:majorGridlines>
          <c:spPr>
            <a:ln w="9525" cap="flat" cmpd="sng" algn="ctr">
              <a:solidFill>
                <a:schemeClr val="tx1">
                  <a:lumMod val="50000"/>
                  <a:lumOff val="50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crossAx val="405218960"/>
        <c:crosses val="autoZero"/>
        <c:crossBetween val="midCat"/>
        <c:majorUnit val="5"/>
      </c:valAx>
      <c:valAx>
        <c:axId val="405218960"/>
        <c:scaling>
          <c:orientation val="minMax"/>
          <c:max val="85"/>
          <c:min val="-50"/>
        </c:scaling>
        <c:delete val="0"/>
        <c:axPos val="l"/>
        <c:majorGridlines>
          <c:spPr>
            <a:ln w="9525" cap="flat" cmpd="sng" algn="ctr">
              <a:solidFill>
                <a:schemeClr val="tx1">
                  <a:lumMod val="50000"/>
                  <a:lumOff val="50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crossAx val="405218568"/>
        <c:crosses val="autoZero"/>
        <c:crossBetween val="midCat"/>
        <c:maj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1135495073538504E-2"/>
          <c:y val="1.1328529128754207E-2"/>
          <c:w val="0.93651285408653562"/>
          <c:h val="0.97734294174249159"/>
        </c:manualLayout>
      </c:layout>
      <c:scatterChart>
        <c:scatterStyle val="smoothMarker"/>
        <c:varyColors val="0"/>
        <c:ser>
          <c:idx val="9"/>
          <c:order val="0"/>
          <c:tx>
            <c:v>US ATD CAMI-Newborn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1.3229556551210884E-2"/>
                  <c:y val="2.8200389284564208E-2"/>
                </c:manualLayout>
              </c:layout>
              <c:numFmt formatCode="#&quot;&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0821958620489198"/>
                      <c:h val="2.7540579064904411E-2"/>
                    </c:manualLayout>
                  </c15:layout>
                </c:ext>
                <c:ext xmlns:c16="http://schemas.microsoft.com/office/drawing/2014/chart" uri="{C3380CC4-5D6E-409C-BE32-E72D297353CC}">
                  <c16:uniqueId val="{00000000-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Solution!$AN$26:$AN$29</c:f>
              <c:numCache>
                <c:formatCode>0.0</c:formatCode>
                <c:ptCount val="4"/>
                <c:pt idx="0">
                  <c:v>-6</c:v>
                </c:pt>
                <c:pt idx="1">
                  <c:v>-5.5200000000000005</c:v>
                </c:pt>
                <c:pt idx="2">
                  <c:v>-2.5760000000000005</c:v>
                </c:pt>
                <c:pt idx="3">
                  <c:v>0</c:v>
                </c:pt>
              </c:numCache>
            </c:numRef>
          </c:xVal>
          <c:yVal>
            <c:numRef>
              <c:f>Solution!$AO$26:$AO$29</c:f>
              <c:numCache>
                <c:formatCode>0.0</c:formatCode>
                <c:ptCount val="4"/>
                <c:pt idx="0">
                  <c:v>-2</c:v>
                </c:pt>
                <c:pt idx="1">
                  <c:v>-5.2200000000000006</c:v>
                </c:pt>
                <c:pt idx="2">
                  <c:v>-8.4400000000000013</c:v>
                </c:pt>
                <c:pt idx="3">
                  <c:v>-9</c:v>
                </c:pt>
              </c:numCache>
            </c:numRef>
          </c:yVal>
          <c:smooth val="1"/>
          <c:extLst>
            <c:ext xmlns:c16="http://schemas.microsoft.com/office/drawing/2014/chart" uri="{C3380CC4-5D6E-409C-BE32-E72D297353CC}">
              <c16:uniqueId val="{00000001-02BD-4FCC-A03D-625C0E4D2895}"/>
            </c:ext>
          </c:extLst>
        </c:ser>
        <c:ser>
          <c:idx val="10"/>
          <c:order val="1"/>
          <c:tx>
            <c:v>US ATD CAMI-6mo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4.5039450456342993E-2"/>
                  <c:y val="2.6373010432140003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prstDash val="sysDash"/>
                      <a:round/>
                    </a:ln>
                    <a:effectLst/>
                  </c:spPr>
                </c15:leaderLines>
              </c:ext>
            </c:extLst>
          </c:dLbls>
          <c:xVal>
            <c:numRef>
              <c:f>Solution!$AN$33:$AN$36</c:f>
              <c:numCache>
                <c:formatCode>0.0</c:formatCode>
                <c:ptCount val="4"/>
                <c:pt idx="0">
                  <c:v>-7.5</c:v>
                </c:pt>
                <c:pt idx="1">
                  <c:v>-6.9</c:v>
                </c:pt>
                <c:pt idx="2">
                  <c:v>-4.0480000000000009</c:v>
                </c:pt>
                <c:pt idx="3">
                  <c:v>0</c:v>
                </c:pt>
              </c:numCache>
            </c:numRef>
          </c:xVal>
          <c:yVal>
            <c:numRef>
              <c:f>Solution!$AO$33:$AO$36</c:f>
              <c:numCache>
                <c:formatCode>0.0</c:formatCode>
                <c:ptCount val="4"/>
                <c:pt idx="0">
                  <c:v>-2</c:v>
                </c:pt>
                <c:pt idx="1">
                  <c:v>-7.0600000000000005</c:v>
                </c:pt>
                <c:pt idx="2">
                  <c:v>-12.120000000000001</c:v>
                </c:pt>
                <c:pt idx="3">
                  <c:v>-13</c:v>
                </c:pt>
              </c:numCache>
            </c:numRef>
          </c:yVal>
          <c:smooth val="1"/>
          <c:extLst>
            <c:ext xmlns:c16="http://schemas.microsoft.com/office/drawing/2014/chart" uri="{C3380CC4-5D6E-409C-BE32-E72D297353CC}">
              <c16:uniqueId val="{00000003-02BD-4FCC-A03D-625C0E4D2895}"/>
            </c:ext>
          </c:extLst>
        </c:ser>
        <c:ser>
          <c:idx val="11"/>
          <c:order val="2"/>
          <c:tx>
            <c:v>EU ATD Q0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8138747884940772E-2"/>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Solution!$AN$42:$AN$45</c:f>
              <c:numCache>
                <c:formatCode>0.0</c:formatCode>
                <c:ptCount val="4"/>
                <c:pt idx="0">
                  <c:v>0</c:v>
                </c:pt>
                <c:pt idx="1">
                  <c:v>0</c:v>
                </c:pt>
                <c:pt idx="2">
                  <c:v>0</c:v>
                </c:pt>
                <c:pt idx="3">
                  <c:v>0</c:v>
                </c:pt>
              </c:numCache>
            </c:numRef>
          </c:xVal>
          <c:yVal>
            <c:numRef>
              <c:f>Solution!$AO$42:$AO$45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5-02BD-4FCC-A03D-625C0E4D2895}"/>
            </c:ext>
          </c:extLst>
        </c:ser>
        <c:ser>
          <c:idx val="12"/>
          <c:order val="3"/>
          <c:tx>
            <c:v>EU ATD Q1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9678510998307953E-2"/>
                  <c:y val="1.21268656716417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02BD-4FCC-A03D-625C0E4D28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Solution!$AN$49:$AN$52</c:f>
              <c:numCache>
                <c:formatCode>0.0</c:formatCode>
                <c:ptCount val="4"/>
                <c:pt idx="0">
                  <c:v>0</c:v>
                </c:pt>
                <c:pt idx="1">
                  <c:v>0</c:v>
                </c:pt>
                <c:pt idx="2">
                  <c:v>0</c:v>
                </c:pt>
                <c:pt idx="3">
                  <c:v>0</c:v>
                </c:pt>
              </c:numCache>
            </c:numRef>
          </c:xVal>
          <c:yVal>
            <c:numRef>
              <c:f>Solution!$AO$49:$AO$52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7-02BD-4FCC-A03D-625C0E4D2895}"/>
            </c:ext>
          </c:extLst>
        </c:ser>
        <c:ser>
          <c:idx val="13"/>
          <c:order val="4"/>
          <c:tx>
            <c:v>US ATD CRABI 12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30148879863007882"/>
                  <c:y val="2.104576352745567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Solution!$AN$54:$AN$57</c:f>
              <c:numCache>
                <c:formatCode>0.0</c:formatCode>
                <c:ptCount val="4"/>
                <c:pt idx="0">
                  <c:v>-8.5</c:v>
                </c:pt>
                <c:pt idx="1">
                  <c:v>-7.82</c:v>
                </c:pt>
                <c:pt idx="2">
                  <c:v>-4.1915200000000006</c:v>
                </c:pt>
                <c:pt idx="3">
                  <c:v>0</c:v>
                </c:pt>
              </c:numCache>
            </c:numRef>
          </c:xVal>
          <c:yVal>
            <c:numRef>
              <c:f>Solution!$AO$54:$AO$57</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9-02BD-4FCC-A03D-625C0E4D2895}"/>
            </c:ext>
          </c:extLst>
        </c:ser>
        <c:ser>
          <c:idx val="14"/>
          <c:order val="5"/>
          <c:tx>
            <c:v>EU ATD Q1.5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9830795262267222E-2"/>
                  <c:y val="-2.33208955223881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Solution!$AN$63:$AN$66</c:f>
              <c:numCache>
                <c:formatCode>0.0</c:formatCode>
                <c:ptCount val="4"/>
                <c:pt idx="0">
                  <c:v>0</c:v>
                </c:pt>
                <c:pt idx="1">
                  <c:v>0</c:v>
                </c:pt>
                <c:pt idx="2">
                  <c:v>0</c:v>
                </c:pt>
                <c:pt idx="3">
                  <c:v>0</c:v>
                </c:pt>
              </c:numCache>
            </c:numRef>
          </c:xVal>
          <c:yVal>
            <c:numRef>
              <c:f>Solution!$AO$63:$AO$66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B-02BD-4FCC-A03D-625C0E4D2895}"/>
            </c:ext>
          </c:extLst>
        </c:ser>
        <c:ser>
          <c:idx val="15"/>
          <c:order val="6"/>
          <c:tx>
            <c:v>US ATD CRABI 18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25920962675843545"/>
                  <c:y val="-8.8020901152094828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Solution!$AN$68:$AN$71</c:f>
              <c:numCache>
                <c:formatCode>0.0</c:formatCode>
                <c:ptCount val="4"/>
                <c:pt idx="0">
                  <c:v>-8.5</c:v>
                </c:pt>
                <c:pt idx="1">
                  <c:v>-7.82</c:v>
                </c:pt>
                <c:pt idx="2">
                  <c:v>-4.1915200000000006</c:v>
                </c:pt>
                <c:pt idx="3">
                  <c:v>0</c:v>
                </c:pt>
              </c:numCache>
            </c:numRef>
          </c:xVal>
          <c:yVal>
            <c:numRef>
              <c:f>Solution!$AO$68:$AO$71</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D-02BD-4FCC-A03D-625C0E4D2895}"/>
            </c:ext>
          </c:extLst>
        </c:ser>
        <c:ser>
          <c:idx val="16"/>
          <c:order val="7"/>
          <c:tx>
            <c:v>EU ATD Q3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1218274111675121E-2"/>
                  <c:y val="-9.3283582089553601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Solution!$AN$77:$AN$80</c:f>
              <c:numCache>
                <c:formatCode>0.0</c:formatCode>
                <c:ptCount val="4"/>
                <c:pt idx="0">
                  <c:v>0</c:v>
                </c:pt>
                <c:pt idx="1">
                  <c:v>0</c:v>
                </c:pt>
                <c:pt idx="2">
                  <c:v>0</c:v>
                </c:pt>
                <c:pt idx="3">
                  <c:v>0</c:v>
                </c:pt>
              </c:numCache>
            </c:numRef>
          </c:xVal>
          <c:yVal>
            <c:numRef>
              <c:f>Solution!$AO$77:$AO$80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F-02BD-4FCC-A03D-625C0E4D2895}"/>
            </c:ext>
          </c:extLst>
        </c:ser>
        <c:ser>
          <c:idx val="17"/>
          <c:order val="8"/>
          <c:tx>
            <c:v>US ATD HIII-3yr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4890016920473773"/>
                  <c:y val="1.8656716417909079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Solution!$AN$82:$AN$85</c:f>
              <c:numCache>
                <c:formatCode>0.0</c:formatCode>
                <c:ptCount val="4"/>
                <c:pt idx="0">
                  <c:v>0</c:v>
                </c:pt>
                <c:pt idx="1">
                  <c:v>0</c:v>
                </c:pt>
                <c:pt idx="2">
                  <c:v>0</c:v>
                </c:pt>
                <c:pt idx="3">
                  <c:v>0</c:v>
                </c:pt>
              </c:numCache>
            </c:numRef>
          </c:xVal>
          <c:yVal>
            <c:numRef>
              <c:f>Solution!$AO$82:$AO$85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1-02BD-4FCC-A03D-625C0E4D2895}"/>
            </c:ext>
          </c:extLst>
        </c:ser>
        <c:ser>
          <c:idx val="18"/>
          <c:order val="9"/>
          <c:tx>
            <c:v>EU ATD Q6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6.4297800338409469E-2"/>
                  <c:y val="-2.798507462686567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Solution!$AN$91:$AN$94</c:f>
              <c:numCache>
                <c:formatCode>0.0</c:formatCode>
                <c:ptCount val="4"/>
                <c:pt idx="0">
                  <c:v>0</c:v>
                </c:pt>
                <c:pt idx="1">
                  <c:v>0</c:v>
                </c:pt>
                <c:pt idx="2">
                  <c:v>0</c:v>
                </c:pt>
                <c:pt idx="3">
                  <c:v>0</c:v>
                </c:pt>
              </c:numCache>
            </c:numRef>
          </c:xVal>
          <c:yVal>
            <c:numRef>
              <c:f>Solution!$AO$91:$AO$94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3-02BD-4FCC-A03D-625C0E4D2895}"/>
            </c:ext>
          </c:extLst>
        </c:ser>
        <c:ser>
          <c:idx val="19"/>
          <c:order val="10"/>
          <c:tx>
            <c:v>US ATD HIII-6yr Hip</c:v>
          </c:tx>
          <c:spPr>
            <a:ln w="19050" cap="rnd">
              <a:solidFill>
                <a:srgbClr val="FF0000"/>
              </a:solidFill>
              <a:round/>
            </a:ln>
            <a:effectLst/>
          </c:spPr>
          <c:marker>
            <c:symbol val="circle"/>
            <c:size val="2"/>
            <c:spPr>
              <a:solidFill>
                <a:srgbClr val="FF0000"/>
              </a:solidFill>
              <a:ln w="9525">
                <a:solidFill>
                  <a:srgbClr val="FF0000"/>
                </a:solidFill>
              </a:ln>
              <a:effectLst/>
            </c:spPr>
          </c:marker>
          <c:xVal>
            <c:numRef>
              <c:f>Solution!$AN$96:$AN$99</c:f>
              <c:numCache>
                <c:formatCode>0.0</c:formatCode>
                <c:ptCount val="4"/>
                <c:pt idx="0">
                  <c:v>0</c:v>
                </c:pt>
                <c:pt idx="1">
                  <c:v>0</c:v>
                </c:pt>
                <c:pt idx="2">
                  <c:v>0</c:v>
                </c:pt>
                <c:pt idx="3">
                  <c:v>0</c:v>
                </c:pt>
              </c:numCache>
            </c:numRef>
          </c:xVal>
          <c:yVal>
            <c:numRef>
              <c:f>Solution!$AO$96:$AO$99</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4-02BD-4FCC-A03D-625C0E4D2895}"/>
            </c:ext>
          </c:extLst>
        </c:ser>
        <c:ser>
          <c:idx val="20"/>
          <c:order val="11"/>
          <c:tx>
            <c:v>US ATD HIII-6yr wtd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381993548492579"/>
                  <c:y val="3.9944681982476736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Solution!$AN$103:$AN$106</c:f>
              <c:numCache>
                <c:formatCode>0.0</c:formatCode>
                <c:ptCount val="4"/>
                <c:pt idx="0">
                  <c:v>0</c:v>
                </c:pt>
                <c:pt idx="1">
                  <c:v>0</c:v>
                </c:pt>
                <c:pt idx="2">
                  <c:v>0</c:v>
                </c:pt>
                <c:pt idx="3">
                  <c:v>0</c:v>
                </c:pt>
              </c:numCache>
            </c:numRef>
          </c:xVal>
          <c:yVal>
            <c:numRef>
              <c:f>Solution!$AO$103:$AO$106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6-02BD-4FCC-A03D-625C0E4D2895}"/>
            </c:ext>
          </c:extLst>
        </c:ser>
        <c:ser>
          <c:idx val="21"/>
          <c:order val="12"/>
          <c:tx>
            <c:v>US ATD HIII-10yr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550214757565868"/>
                  <c:y val="7.8941579852154339E-4"/>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Solution!$AN$110:$AN$113</c:f>
              <c:numCache>
                <c:formatCode>0.0</c:formatCode>
                <c:ptCount val="4"/>
                <c:pt idx="0">
                  <c:v>0</c:v>
                </c:pt>
                <c:pt idx="1">
                  <c:v>0</c:v>
                </c:pt>
                <c:pt idx="2">
                  <c:v>0</c:v>
                </c:pt>
                <c:pt idx="3">
                  <c:v>0</c:v>
                </c:pt>
              </c:numCache>
            </c:numRef>
          </c:xVal>
          <c:yVal>
            <c:numRef>
              <c:f>Solution!$AO$110:$AO$114</c:f>
              <c:numCache>
                <c:formatCode>0.0</c:formatCode>
                <c:ptCount val="5"/>
                <c:pt idx="0">
                  <c:v>-2</c:v>
                </c:pt>
                <c:pt idx="1">
                  <c:v>-2</c:v>
                </c:pt>
                <c:pt idx="2">
                  <c:v>-2</c:v>
                </c:pt>
                <c:pt idx="3">
                  <c:v>-2</c:v>
                </c:pt>
              </c:numCache>
            </c:numRef>
          </c:yVal>
          <c:smooth val="1"/>
          <c:extLst>
            <c:ext xmlns:c16="http://schemas.microsoft.com/office/drawing/2014/chart" uri="{C3380CC4-5D6E-409C-BE32-E72D297353CC}">
              <c16:uniqueId val="{00000018-02BD-4FCC-A03D-625C0E4D2895}"/>
            </c:ext>
          </c:extLst>
        </c:ser>
        <c:ser>
          <c:idx val="22"/>
          <c:order val="13"/>
          <c:tx>
            <c:v>EU ATD Q10.5 Hip</c:v>
          </c:tx>
          <c:spPr>
            <a:ln w="19050" cap="rnd">
              <a:solidFill>
                <a:schemeClr val="accent5">
                  <a:lumMod val="80000"/>
                </a:schemeClr>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Solution!$AN$119:$AN$122</c:f>
              <c:numCache>
                <c:formatCode>0.0</c:formatCode>
                <c:ptCount val="4"/>
                <c:pt idx="0">
                  <c:v>0</c:v>
                </c:pt>
                <c:pt idx="1">
                  <c:v>0</c:v>
                </c:pt>
                <c:pt idx="2">
                  <c:v>0</c:v>
                </c:pt>
                <c:pt idx="3">
                  <c:v>0</c:v>
                </c:pt>
              </c:numCache>
            </c:numRef>
          </c:xVal>
          <c:yVal>
            <c:numRef>
              <c:f>Solution!$AO$119:$AO$122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A-02BD-4FCC-A03D-625C0E4D2895}"/>
            </c:ext>
          </c:extLst>
        </c:ser>
        <c:ser>
          <c:idx val="23"/>
          <c:order val="14"/>
          <c:tx>
            <c:v>Row 12 Left</c:v>
          </c:tx>
          <c:spPr>
            <a:ln w="50800" cap="rnd">
              <a:solidFill>
                <a:schemeClr val="tx1"/>
              </a:solidFill>
              <a:round/>
            </a:ln>
            <a:effectLst/>
          </c:spPr>
          <c:marker>
            <c:symbol val="circle"/>
            <c:size val="5"/>
            <c:spPr>
              <a:noFill/>
              <a:ln w="9525">
                <a:noFill/>
              </a:ln>
              <a:effectLst/>
            </c:spPr>
          </c:marker>
          <c:xVal>
            <c:numRef>
              <c:f>Solution!$AU$3:$AU$4</c:f>
              <c:numCache>
                <c:formatCode>0.0</c:formatCode>
                <c:ptCount val="2"/>
                <c:pt idx="0">
                  <c:v>0</c:v>
                </c:pt>
                <c:pt idx="1">
                  <c:v>0</c:v>
                </c:pt>
              </c:numCache>
            </c:numRef>
          </c:xVal>
          <c:yVal>
            <c:numRef>
              <c:f>Solution!$AV$3:$AV$4</c:f>
              <c:numCache>
                <c:formatCode>0.0</c:formatCode>
                <c:ptCount val="2"/>
                <c:pt idx="0">
                  <c:v>0</c:v>
                </c:pt>
                <c:pt idx="1">
                  <c:v>0</c:v>
                </c:pt>
              </c:numCache>
            </c:numRef>
          </c:yVal>
          <c:smooth val="1"/>
          <c:extLst>
            <c:ext xmlns:c16="http://schemas.microsoft.com/office/drawing/2014/chart" uri="{C3380CC4-5D6E-409C-BE32-E72D297353CC}">
              <c16:uniqueId val="{0000001B-02BD-4FCC-A03D-625C0E4D2895}"/>
            </c:ext>
          </c:extLst>
        </c:ser>
        <c:ser>
          <c:idx val="24"/>
          <c:order val="15"/>
          <c:tx>
            <c:v>Row 12 Right</c:v>
          </c:tx>
          <c:spPr>
            <a:ln w="50800" cap="rnd">
              <a:solidFill>
                <a:schemeClr val="tx1"/>
              </a:solidFill>
              <a:round/>
            </a:ln>
            <a:effectLst/>
          </c:spPr>
          <c:marker>
            <c:symbol val="circle"/>
            <c:size val="2"/>
            <c:spPr>
              <a:noFill/>
              <a:ln w="9525">
                <a:noFill/>
              </a:ln>
              <a:effectLst/>
            </c:spPr>
          </c:marker>
          <c:xVal>
            <c:numRef>
              <c:f>Solution!$BA$3:$BA$4</c:f>
              <c:numCache>
                <c:formatCode>0.0</c:formatCode>
                <c:ptCount val="2"/>
                <c:pt idx="0">
                  <c:v>0</c:v>
                </c:pt>
                <c:pt idx="1">
                  <c:v>0</c:v>
                </c:pt>
              </c:numCache>
            </c:numRef>
          </c:xVal>
          <c:yVal>
            <c:numRef>
              <c:f>Solution!$BB$3:$BB$4</c:f>
              <c:numCache>
                <c:formatCode>0.0</c:formatCode>
                <c:ptCount val="2"/>
                <c:pt idx="0">
                  <c:v>0</c:v>
                </c:pt>
                <c:pt idx="1">
                  <c:v>0</c:v>
                </c:pt>
              </c:numCache>
            </c:numRef>
          </c:yVal>
          <c:smooth val="1"/>
          <c:extLst>
            <c:ext xmlns:c16="http://schemas.microsoft.com/office/drawing/2014/chart" uri="{C3380CC4-5D6E-409C-BE32-E72D297353CC}">
              <c16:uniqueId val="{0000001C-02BD-4FCC-A03D-625C0E4D2895}"/>
            </c:ext>
          </c:extLst>
        </c:ser>
        <c:ser>
          <c:idx val="25"/>
          <c:order val="16"/>
          <c:tx>
            <c:v>Row 11 Left</c:v>
          </c:tx>
          <c:spPr>
            <a:ln w="50800" cap="rnd">
              <a:solidFill>
                <a:schemeClr val="tx1"/>
              </a:solidFill>
              <a:round/>
            </a:ln>
            <a:effectLst/>
          </c:spPr>
          <c:marker>
            <c:symbol val="circle"/>
            <c:size val="5"/>
            <c:spPr>
              <a:noFill/>
              <a:ln w="9525">
                <a:noFill/>
              </a:ln>
              <a:effectLst/>
            </c:spPr>
          </c:marker>
          <c:xVal>
            <c:numRef>
              <c:f>Solution!$AU$5:$AU$6</c:f>
              <c:numCache>
                <c:formatCode>0.0</c:formatCode>
                <c:ptCount val="2"/>
                <c:pt idx="0">
                  <c:v>0</c:v>
                </c:pt>
                <c:pt idx="1">
                  <c:v>0</c:v>
                </c:pt>
              </c:numCache>
            </c:numRef>
          </c:xVal>
          <c:yVal>
            <c:numRef>
              <c:f>Solution!$AV$5:$AV$6</c:f>
              <c:numCache>
                <c:formatCode>0.0</c:formatCode>
                <c:ptCount val="2"/>
                <c:pt idx="0">
                  <c:v>0</c:v>
                </c:pt>
                <c:pt idx="1">
                  <c:v>0</c:v>
                </c:pt>
              </c:numCache>
            </c:numRef>
          </c:yVal>
          <c:smooth val="1"/>
          <c:extLst>
            <c:ext xmlns:c16="http://schemas.microsoft.com/office/drawing/2014/chart" uri="{C3380CC4-5D6E-409C-BE32-E72D297353CC}">
              <c16:uniqueId val="{0000001D-02BD-4FCC-A03D-625C0E4D2895}"/>
            </c:ext>
          </c:extLst>
        </c:ser>
        <c:ser>
          <c:idx val="26"/>
          <c:order val="17"/>
          <c:tx>
            <c:v>Row 11 Right</c:v>
          </c:tx>
          <c:spPr>
            <a:ln w="50800" cap="rnd">
              <a:solidFill>
                <a:schemeClr val="tx1"/>
              </a:solidFill>
              <a:round/>
            </a:ln>
            <a:effectLst/>
          </c:spPr>
          <c:marker>
            <c:symbol val="circle"/>
            <c:size val="5"/>
            <c:spPr>
              <a:noFill/>
              <a:ln w="9525">
                <a:noFill/>
              </a:ln>
              <a:effectLst/>
            </c:spPr>
          </c:marker>
          <c:xVal>
            <c:numRef>
              <c:f>Solution!$BA$5:$BA$6</c:f>
              <c:numCache>
                <c:formatCode>0.0</c:formatCode>
                <c:ptCount val="2"/>
                <c:pt idx="0">
                  <c:v>0</c:v>
                </c:pt>
                <c:pt idx="1">
                  <c:v>0</c:v>
                </c:pt>
              </c:numCache>
            </c:numRef>
          </c:xVal>
          <c:yVal>
            <c:numRef>
              <c:f>Solution!$BB$5:$BB$6</c:f>
              <c:numCache>
                <c:formatCode>0.0</c:formatCode>
                <c:ptCount val="2"/>
                <c:pt idx="0">
                  <c:v>0</c:v>
                </c:pt>
                <c:pt idx="1">
                  <c:v>0</c:v>
                </c:pt>
              </c:numCache>
            </c:numRef>
          </c:yVal>
          <c:smooth val="1"/>
          <c:extLst>
            <c:ext xmlns:c16="http://schemas.microsoft.com/office/drawing/2014/chart" uri="{C3380CC4-5D6E-409C-BE32-E72D297353CC}">
              <c16:uniqueId val="{0000001E-02BD-4FCC-A03D-625C0E4D2895}"/>
            </c:ext>
          </c:extLst>
        </c:ser>
        <c:ser>
          <c:idx val="27"/>
          <c:order val="18"/>
          <c:tx>
            <c:v>Row 10 Left</c:v>
          </c:tx>
          <c:spPr>
            <a:ln w="50800" cap="rnd">
              <a:solidFill>
                <a:schemeClr val="tx1"/>
              </a:solidFill>
              <a:round/>
            </a:ln>
            <a:effectLst/>
          </c:spPr>
          <c:marker>
            <c:symbol val="circle"/>
            <c:size val="5"/>
            <c:spPr>
              <a:noFill/>
              <a:ln w="9525">
                <a:noFill/>
              </a:ln>
              <a:effectLst/>
            </c:spPr>
          </c:marker>
          <c:xVal>
            <c:numRef>
              <c:f>Solution!$AU$7:$AU$8</c:f>
              <c:numCache>
                <c:formatCode>0.0</c:formatCode>
                <c:ptCount val="2"/>
                <c:pt idx="0">
                  <c:v>0</c:v>
                </c:pt>
                <c:pt idx="1">
                  <c:v>0</c:v>
                </c:pt>
              </c:numCache>
            </c:numRef>
          </c:xVal>
          <c:yVal>
            <c:numRef>
              <c:f>Solution!$AV$7:$AV$8</c:f>
              <c:numCache>
                <c:formatCode>0.0</c:formatCode>
                <c:ptCount val="2"/>
                <c:pt idx="0">
                  <c:v>0</c:v>
                </c:pt>
                <c:pt idx="1">
                  <c:v>0</c:v>
                </c:pt>
              </c:numCache>
            </c:numRef>
          </c:yVal>
          <c:smooth val="1"/>
          <c:extLst>
            <c:ext xmlns:c16="http://schemas.microsoft.com/office/drawing/2014/chart" uri="{C3380CC4-5D6E-409C-BE32-E72D297353CC}">
              <c16:uniqueId val="{0000001F-02BD-4FCC-A03D-625C0E4D2895}"/>
            </c:ext>
          </c:extLst>
        </c:ser>
        <c:ser>
          <c:idx val="28"/>
          <c:order val="19"/>
          <c:tx>
            <c:v>Row 10 Right</c:v>
          </c:tx>
          <c:spPr>
            <a:ln w="50800" cap="rnd">
              <a:solidFill>
                <a:schemeClr val="tx1"/>
              </a:solidFill>
              <a:round/>
            </a:ln>
            <a:effectLst/>
          </c:spPr>
          <c:marker>
            <c:symbol val="circle"/>
            <c:size val="5"/>
            <c:spPr>
              <a:noFill/>
              <a:ln w="9525">
                <a:noFill/>
              </a:ln>
              <a:effectLst/>
            </c:spPr>
          </c:marker>
          <c:xVal>
            <c:numRef>
              <c:f>Solution!$BA$7:$BA$8</c:f>
              <c:numCache>
                <c:formatCode>0.0</c:formatCode>
                <c:ptCount val="2"/>
                <c:pt idx="0">
                  <c:v>0</c:v>
                </c:pt>
                <c:pt idx="1">
                  <c:v>0</c:v>
                </c:pt>
              </c:numCache>
            </c:numRef>
          </c:xVal>
          <c:yVal>
            <c:numRef>
              <c:f>Solution!$BB$7:$BB$8</c:f>
              <c:numCache>
                <c:formatCode>0.0</c:formatCode>
                <c:ptCount val="2"/>
                <c:pt idx="0">
                  <c:v>0</c:v>
                </c:pt>
                <c:pt idx="1">
                  <c:v>0</c:v>
                </c:pt>
              </c:numCache>
            </c:numRef>
          </c:yVal>
          <c:smooth val="1"/>
          <c:extLst>
            <c:ext xmlns:c16="http://schemas.microsoft.com/office/drawing/2014/chart" uri="{C3380CC4-5D6E-409C-BE32-E72D297353CC}">
              <c16:uniqueId val="{00000020-02BD-4FCC-A03D-625C0E4D2895}"/>
            </c:ext>
          </c:extLst>
        </c:ser>
        <c:ser>
          <c:idx val="29"/>
          <c:order val="20"/>
          <c:tx>
            <c:v>Row 9 Left</c:v>
          </c:tx>
          <c:spPr>
            <a:ln w="50800" cap="rnd">
              <a:solidFill>
                <a:schemeClr val="tx1"/>
              </a:solidFill>
              <a:round/>
            </a:ln>
            <a:effectLst/>
          </c:spPr>
          <c:marker>
            <c:symbol val="circle"/>
            <c:size val="5"/>
            <c:spPr>
              <a:noFill/>
              <a:ln w="9525">
                <a:noFill/>
              </a:ln>
              <a:effectLst/>
            </c:spPr>
          </c:marker>
          <c:xVal>
            <c:numRef>
              <c:f>Solution!$AU$9:$AU$10</c:f>
              <c:numCache>
                <c:formatCode>0.0</c:formatCode>
                <c:ptCount val="2"/>
                <c:pt idx="0">
                  <c:v>0</c:v>
                </c:pt>
                <c:pt idx="1">
                  <c:v>0</c:v>
                </c:pt>
              </c:numCache>
            </c:numRef>
          </c:xVal>
          <c:yVal>
            <c:numRef>
              <c:f>Solution!$AV$9:$AV$10</c:f>
              <c:numCache>
                <c:formatCode>0.0</c:formatCode>
                <c:ptCount val="2"/>
                <c:pt idx="0">
                  <c:v>0</c:v>
                </c:pt>
                <c:pt idx="1">
                  <c:v>0</c:v>
                </c:pt>
              </c:numCache>
            </c:numRef>
          </c:yVal>
          <c:smooth val="1"/>
          <c:extLst>
            <c:ext xmlns:c16="http://schemas.microsoft.com/office/drawing/2014/chart" uri="{C3380CC4-5D6E-409C-BE32-E72D297353CC}">
              <c16:uniqueId val="{00000021-02BD-4FCC-A03D-625C0E4D2895}"/>
            </c:ext>
          </c:extLst>
        </c:ser>
        <c:ser>
          <c:idx val="30"/>
          <c:order val="21"/>
          <c:tx>
            <c:v>Row 9 Right</c:v>
          </c:tx>
          <c:spPr>
            <a:ln w="50800" cap="rnd">
              <a:solidFill>
                <a:schemeClr val="tx1"/>
              </a:solidFill>
              <a:round/>
            </a:ln>
            <a:effectLst/>
          </c:spPr>
          <c:marker>
            <c:symbol val="circle"/>
            <c:size val="5"/>
            <c:spPr>
              <a:noFill/>
              <a:ln w="9525">
                <a:noFill/>
              </a:ln>
              <a:effectLst/>
            </c:spPr>
          </c:marker>
          <c:xVal>
            <c:numRef>
              <c:f>Solution!$BA$9:$BA$10</c:f>
              <c:numCache>
                <c:formatCode>0.0</c:formatCode>
                <c:ptCount val="2"/>
                <c:pt idx="0">
                  <c:v>0</c:v>
                </c:pt>
                <c:pt idx="1">
                  <c:v>0</c:v>
                </c:pt>
              </c:numCache>
            </c:numRef>
          </c:xVal>
          <c:yVal>
            <c:numRef>
              <c:f>Solution!$BB$9:$BB$10</c:f>
              <c:numCache>
                <c:formatCode>0.0</c:formatCode>
                <c:ptCount val="2"/>
                <c:pt idx="0">
                  <c:v>0</c:v>
                </c:pt>
                <c:pt idx="1">
                  <c:v>0</c:v>
                </c:pt>
              </c:numCache>
            </c:numRef>
          </c:yVal>
          <c:smooth val="1"/>
          <c:extLst>
            <c:ext xmlns:c16="http://schemas.microsoft.com/office/drawing/2014/chart" uri="{C3380CC4-5D6E-409C-BE32-E72D297353CC}">
              <c16:uniqueId val="{00000022-02BD-4FCC-A03D-625C0E4D2895}"/>
            </c:ext>
          </c:extLst>
        </c:ser>
        <c:ser>
          <c:idx val="31"/>
          <c:order val="22"/>
          <c:tx>
            <c:v>Row 8 Left</c:v>
          </c:tx>
          <c:spPr>
            <a:ln w="50800" cap="rnd">
              <a:solidFill>
                <a:schemeClr val="tx1"/>
              </a:solidFill>
              <a:round/>
            </a:ln>
            <a:effectLst/>
          </c:spPr>
          <c:marker>
            <c:symbol val="circle"/>
            <c:size val="5"/>
            <c:spPr>
              <a:noFill/>
              <a:ln w="9525">
                <a:noFill/>
              </a:ln>
              <a:effectLst/>
            </c:spPr>
          </c:marker>
          <c:xVal>
            <c:numRef>
              <c:f>Solution!$AU$11:$AU$12</c:f>
              <c:numCache>
                <c:formatCode>0.0</c:formatCode>
                <c:ptCount val="2"/>
                <c:pt idx="0">
                  <c:v>0</c:v>
                </c:pt>
                <c:pt idx="1">
                  <c:v>0</c:v>
                </c:pt>
              </c:numCache>
            </c:numRef>
          </c:xVal>
          <c:yVal>
            <c:numRef>
              <c:f>Solution!$AV$11:$AV$12</c:f>
              <c:numCache>
                <c:formatCode>0.0</c:formatCode>
                <c:ptCount val="2"/>
                <c:pt idx="0">
                  <c:v>0</c:v>
                </c:pt>
                <c:pt idx="1">
                  <c:v>0</c:v>
                </c:pt>
              </c:numCache>
            </c:numRef>
          </c:yVal>
          <c:smooth val="1"/>
          <c:extLst>
            <c:ext xmlns:c16="http://schemas.microsoft.com/office/drawing/2014/chart" uri="{C3380CC4-5D6E-409C-BE32-E72D297353CC}">
              <c16:uniqueId val="{00000023-02BD-4FCC-A03D-625C0E4D2895}"/>
            </c:ext>
          </c:extLst>
        </c:ser>
        <c:ser>
          <c:idx val="32"/>
          <c:order val="23"/>
          <c:tx>
            <c:v>Row 8 Right</c:v>
          </c:tx>
          <c:spPr>
            <a:ln w="50800" cap="rnd">
              <a:solidFill>
                <a:schemeClr val="tx1"/>
              </a:solidFill>
              <a:round/>
            </a:ln>
            <a:effectLst/>
          </c:spPr>
          <c:marker>
            <c:symbol val="circle"/>
            <c:size val="5"/>
            <c:spPr>
              <a:noFill/>
              <a:ln w="9525">
                <a:noFill/>
              </a:ln>
              <a:effectLst/>
            </c:spPr>
          </c:marker>
          <c:xVal>
            <c:numRef>
              <c:f>Solution!$BA$11:$BA$12</c:f>
              <c:numCache>
                <c:formatCode>0.0</c:formatCode>
                <c:ptCount val="2"/>
                <c:pt idx="0">
                  <c:v>0</c:v>
                </c:pt>
                <c:pt idx="1">
                  <c:v>0</c:v>
                </c:pt>
              </c:numCache>
            </c:numRef>
          </c:xVal>
          <c:yVal>
            <c:numRef>
              <c:f>Solution!$BB$11:$BB$12</c:f>
              <c:numCache>
                <c:formatCode>0.0</c:formatCode>
                <c:ptCount val="2"/>
                <c:pt idx="0">
                  <c:v>0</c:v>
                </c:pt>
                <c:pt idx="1">
                  <c:v>0</c:v>
                </c:pt>
              </c:numCache>
            </c:numRef>
          </c:yVal>
          <c:smooth val="1"/>
          <c:extLst>
            <c:ext xmlns:c16="http://schemas.microsoft.com/office/drawing/2014/chart" uri="{C3380CC4-5D6E-409C-BE32-E72D297353CC}">
              <c16:uniqueId val="{00000024-02BD-4FCC-A03D-625C0E4D2895}"/>
            </c:ext>
          </c:extLst>
        </c:ser>
        <c:ser>
          <c:idx val="33"/>
          <c:order val="24"/>
          <c:tx>
            <c:v>Row 7 Left</c:v>
          </c:tx>
          <c:spPr>
            <a:ln w="50800" cap="rnd">
              <a:solidFill>
                <a:schemeClr val="tx1"/>
              </a:solidFill>
              <a:round/>
            </a:ln>
            <a:effectLst/>
          </c:spPr>
          <c:marker>
            <c:symbol val="circle"/>
            <c:size val="5"/>
            <c:spPr>
              <a:noFill/>
              <a:ln w="9525">
                <a:noFill/>
              </a:ln>
              <a:effectLst/>
            </c:spPr>
          </c:marker>
          <c:xVal>
            <c:numRef>
              <c:f>Solution!$AU$13:$AU$14</c:f>
              <c:numCache>
                <c:formatCode>0.0</c:formatCode>
                <c:ptCount val="2"/>
                <c:pt idx="0">
                  <c:v>0</c:v>
                </c:pt>
                <c:pt idx="1">
                  <c:v>0</c:v>
                </c:pt>
              </c:numCache>
            </c:numRef>
          </c:xVal>
          <c:yVal>
            <c:numRef>
              <c:f>Solution!$AV$13:$AV$14</c:f>
              <c:numCache>
                <c:formatCode>0.0</c:formatCode>
                <c:ptCount val="2"/>
                <c:pt idx="0">
                  <c:v>0</c:v>
                </c:pt>
                <c:pt idx="1">
                  <c:v>0</c:v>
                </c:pt>
              </c:numCache>
            </c:numRef>
          </c:yVal>
          <c:smooth val="1"/>
          <c:extLst>
            <c:ext xmlns:c16="http://schemas.microsoft.com/office/drawing/2014/chart" uri="{C3380CC4-5D6E-409C-BE32-E72D297353CC}">
              <c16:uniqueId val="{00000025-02BD-4FCC-A03D-625C0E4D2895}"/>
            </c:ext>
          </c:extLst>
        </c:ser>
        <c:ser>
          <c:idx val="34"/>
          <c:order val="25"/>
          <c:tx>
            <c:v>Row 7 Right</c:v>
          </c:tx>
          <c:spPr>
            <a:ln w="50800" cap="rnd">
              <a:solidFill>
                <a:schemeClr val="tx1"/>
              </a:solidFill>
              <a:round/>
            </a:ln>
            <a:effectLst/>
          </c:spPr>
          <c:marker>
            <c:symbol val="circle"/>
            <c:size val="5"/>
            <c:spPr>
              <a:noFill/>
              <a:ln w="9525">
                <a:noFill/>
              </a:ln>
              <a:effectLst/>
            </c:spPr>
          </c:marker>
          <c:xVal>
            <c:numRef>
              <c:f>Solution!$BA$13:$BA$14</c:f>
              <c:numCache>
                <c:formatCode>0.0</c:formatCode>
                <c:ptCount val="2"/>
                <c:pt idx="0">
                  <c:v>0</c:v>
                </c:pt>
                <c:pt idx="1">
                  <c:v>0</c:v>
                </c:pt>
              </c:numCache>
            </c:numRef>
          </c:xVal>
          <c:yVal>
            <c:numRef>
              <c:f>Solution!$BB$13:$BB$14</c:f>
              <c:numCache>
                <c:formatCode>0.0</c:formatCode>
                <c:ptCount val="2"/>
                <c:pt idx="0">
                  <c:v>0</c:v>
                </c:pt>
                <c:pt idx="1">
                  <c:v>0</c:v>
                </c:pt>
              </c:numCache>
            </c:numRef>
          </c:yVal>
          <c:smooth val="1"/>
          <c:extLst>
            <c:ext xmlns:c16="http://schemas.microsoft.com/office/drawing/2014/chart" uri="{C3380CC4-5D6E-409C-BE32-E72D297353CC}">
              <c16:uniqueId val="{00000026-02BD-4FCC-A03D-625C0E4D2895}"/>
            </c:ext>
          </c:extLst>
        </c:ser>
        <c:ser>
          <c:idx val="35"/>
          <c:order val="26"/>
          <c:tx>
            <c:v>Row 6 Left</c:v>
          </c:tx>
          <c:spPr>
            <a:ln w="25400" cap="rnd">
              <a:gradFill>
                <a:gsLst>
                  <a:gs pos="0">
                    <a:srgbClr val="FF0000"/>
                  </a:gs>
                  <a:gs pos="56000">
                    <a:srgbClr val="0070C0"/>
                  </a:gs>
                  <a:gs pos="100000">
                    <a:schemeClr val="accent1">
                      <a:lumMod val="30000"/>
                      <a:lumOff val="70000"/>
                    </a:schemeClr>
                  </a:gs>
                </a:gsLst>
                <a:lin ang="5400000" scaled="1"/>
              </a:gradFill>
              <a:round/>
            </a:ln>
            <a:effectLst/>
          </c:spPr>
          <c:marker>
            <c:symbol val="circle"/>
            <c:size val="5"/>
            <c:spPr>
              <a:noFill/>
              <a:ln w="9525">
                <a:noFill/>
              </a:ln>
              <a:effectLst/>
            </c:spPr>
          </c:marker>
          <c:dPt>
            <c:idx val="1"/>
            <c:bubble3D val="0"/>
            <c:spPr>
              <a:ln w="50800" cap="rnd">
                <a:solidFill>
                  <a:schemeClr val="tx1"/>
                </a:solidFill>
                <a:round/>
              </a:ln>
              <a:effectLst/>
            </c:spPr>
            <c:extLst>
              <c:ext xmlns:c16="http://schemas.microsoft.com/office/drawing/2014/chart" uri="{C3380CC4-5D6E-409C-BE32-E72D297353CC}">
                <c16:uniqueId val="{00000028-02BD-4FCC-A03D-625C0E4D2895}"/>
              </c:ext>
            </c:extLst>
          </c:dPt>
          <c:xVal>
            <c:numRef>
              <c:f>Solution!$AX$3:$AX$4</c:f>
              <c:numCache>
                <c:formatCode>0.0</c:formatCode>
                <c:ptCount val="2"/>
                <c:pt idx="0">
                  <c:v>0</c:v>
                </c:pt>
                <c:pt idx="1">
                  <c:v>0</c:v>
                </c:pt>
              </c:numCache>
            </c:numRef>
          </c:xVal>
          <c:yVal>
            <c:numRef>
              <c:f>Solution!$AY$3:$AY$4</c:f>
              <c:numCache>
                <c:formatCode>0.0</c:formatCode>
                <c:ptCount val="2"/>
                <c:pt idx="0">
                  <c:v>0</c:v>
                </c:pt>
                <c:pt idx="1">
                  <c:v>0</c:v>
                </c:pt>
              </c:numCache>
            </c:numRef>
          </c:yVal>
          <c:smooth val="1"/>
          <c:extLst>
            <c:ext xmlns:c16="http://schemas.microsoft.com/office/drawing/2014/chart" uri="{C3380CC4-5D6E-409C-BE32-E72D297353CC}">
              <c16:uniqueId val="{00000029-02BD-4FCC-A03D-625C0E4D2895}"/>
            </c:ext>
          </c:extLst>
        </c:ser>
        <c:ser>
          <c:idx val="36"/>
          <c:order val="27"/>
          <c:tx>
            <c:v>Row 6 Right</c:v>
          </c:tx>
          <c:spPr>
            <a:ln w="50800" cap="rnd">
              <a:solidFill>
                <a:schemeClr val="tx1"/>
              </a:solidFill>
              <a:round/>
            </a:ln>
            <a:effectLst/>
          </c:spPr>
          <c:marker>
            <c:symbol val="circle"/>
            <c:size val="5"/>
            <c:spPr>
              <a:noFill/>
              <a:ln w="9525">
                <a:noFill/>
              </a:ln>
              <a:effectLst/>
            </c:spPr>
          </c:marker>
          <c:xVal>
            <c:numRef>
              <c:f>Solution!$BD$3:$BD$4</c:f>
              <c:numCache>
                <c:formatCode>0.0</c:formatCode>
                <c:ptCount val="2"/>
                <c:pt idx="0">
                  <c:v>0</c:v>
                </c:pt>
                <c:pt idx="1">
                  <c:v>0</c:v>
                </c:pt>
              </c:numCache>
            </c:numRef>
          </c:xVal>
          <c:yVal>
            <c:numRef>
              <c:f>Solution!$BE$3:$BE$4</c:f>
              <c:numCache>
                <c:formatCode>0.0</c:formatCode>
                <c:ptCount val="2"/>
                <c:pt idx="0">
                  <c:v>0</c:v>
                </c:pt>
                <c:pt idx="1">
                  <c:v>0</c:v>
                </c:pt>
              </c:numCache>
            </c:numRef>
          </c:yVal>
          <c:smooth val="1"/>
          <c:extLst>
            <c:ext xmlns:c16="http://schemas.microsoft.com/office/drawing/2014/chart" uri="{C3380CC4-5D6E-409C-BE32-E72D297353CC}">
              <c16:uniqueId val="{0000002A-02BD-4FCC-A03D-625C0E4D2895}"/>
            </c:ext>
          </c:extLst>
        </c:ser>
        <c:ser>
          <c:idx val="37"/>
          <c:order val="28"/>
          <c:tx>
            <c:v>Row 5 Left</c:v>
          </c:tx>
          <c:spPr>
            <a:ln w="50800" cap="rnd">
              <a:solidFill>
                <a:schemeClr val="tx1"/>
              </a:solidFill>
              <a:round/>
            </a:ln>
            <a:effectLst/>
          </c:spPr>
          <c:marker>
            <c:symbol val="circle"/>
            <c:size val="5"/>
            <c:spPr>
              <a:noFill/>
              <a:ln w="9525">
                <a:noFill/>
              </a:ln>
              <a:effectLst/>
            </c:spPr>
          </c:marker>
          <c:xVal>
            <c:numRef>
              <c:f>Solution!$AX$5:$AX$6</c:f>
              <c:numCache>
                <c:formatCode>0.0</c:formatCode>
                <c:ptCount val="2"/>
                <c:pt idx="0">
                  <c:v>0</c:v>
                </c:pt>
                <c:pt idx="1">
                  <c:v>0</c:v>
                </c:pt>
              </c:numCache>
            </c:numRef>
          </c:xVal>
          <c:yVal>
            <c:numRef>
              <c:f>Solution!$AY$5:$AY$6</c:f>
              <c:numCache>
                <c:formatCode>0.0</c:formatCode>
                <c:ptCount val="2"/>
                <c:pt idx="0">
                  <c:v>0</c:v>
                </c:pt>
                <c:pt idx="1">
                  <c:v>0</c:v>
                </c:pt>
              </c:numCache>
            </c:numRef>
          </c:yVal>
          <c:smooth val="1"/>
          <c:extLst>
            <c:ext xmlns:c16="http://schemas.microsoft.com/office/drawing/2014/chart" uri="{C3380CC4-5D6E-409C-BE32-E72D297353CC}">
              <c16:uniqueId val="{0000002B-02BD-4FCC-A03D-625C0E4D2895}"/>
            </c:ext>
          </c:extLst>
        </c:ser>
        <c:ser>
          <c:idx val="38"/>
          <c:order val="29"/>
          <c:tx>
            <c:v>Row 5 Right</c:v>
          </c:tx>
          <c:spPr>
            <a:ln w="50800" cap="rnd">
              <a:solidFill>
                <a:schemeClr val="tx1"/>
              </a:solidFill>
              <a:round/>
            </a:ln>
            <a:effectLst/>
          </c:spPr>
          <c:marker>
            <c:symbol val="circle"/>
            <c:size val="5"/>
            <c:spPr>
              <a:noFill/>
              <a:ln w="9525">
                <a:noFill/>
              </a:ln>
              <a:effectLst/>
            </c:spPr>
          </c:marker>
          <c:xVal>
            <c:numRef>
              <c:f>Solution!$BD$5:$BD$6</c:f>
              <c:numCache>
                <c:formatCode>0.0</c:formatCode>
                <c:ptCount val="2"/>
                <c:pt idx="0">
                  <c:v>0</c:v>
                </c:pt>
                <c:pt idx="1">
                  <c:v>0</c:v>
                </c:pt>
              </c:numCache>
            </c:numRef>
          </c:xVal>
          <c:yVal>
            <c:numRef>
              <c:f>Solution!$BE$5:$BE$6</c:f>
              <c:numCache>
                <c:formatCode>0.0</c:formatCode>
                <c:ptCount val="2"/>
                <c:pt idx="0">
                  <c:v>0</c:v>
                </c:pt>
                <c:pt idx="1">
                  <c:v>0</c:v>
                </c:pt>
              </c:numCache>
            </c:numRef>
          </c:yVal>
          <c:smooth val="1"/>
          <c:extLst>
            <c:ext xmlns:c16="http://schemas.microsoft.com/office/drawing/2014/chart" uri="{C3380CC4-5D6E-409C-BE32-E72D297353CC}">
              <c16:uniqueId val="{0000002C-02BD-4FCC-A03D-625C0E4D2895}"/>
            </c:ext>
          </c:extLst>
        </c:ser>
        <c:ser>
          <c:idx val="39"/>
          <c:order val="30"/>
          <c:tx>
            <c:v>Row 4 Left</c:v>
          </c:tx>
          <c:spPr>
            <a:ln w="50800" cap="rnd">
              <a:solidFill>
                <a:schemeClr val="tx1"/>
              </a:solidFill>
              <a:round/>
            </a:ln>
            <a:effectLst/>
          </c:spPr>
          <c:marker>
            <c:symbol val="circle"/>
            <c:size val="5"/>
            <c:spPr>
              <a:noFill/>
              <a:ln w="9525">
                <a:noFill/>
              </a:ln>
              <a:effectLst/>
            </c:spPr>
          </c:marker>
          <c:xVal>
            <c:numRef>
              <c:f>Solution!$AX$7:$AX$8</c:f>
              <c:numCache>
                <c:formatCode>0.0</c:formatCode>
                <c:ptCount val="2"/>
                <c:pt idx="0">
                  <c:v>0</c:v>
                </c:pt>
                <c:pt idx="1">
                  <c:v>0</c:v>
                </c:pt>
              </c:numCache>
            </c:numRef>
          </c:xVal>
          <c:yVal>
            <c:numRef>
              <c:f>Solution!$AY$7:$AY$8</c:f>
              <c:numCache>
                <c:formatCode>0.0</c:formatCode>
                <c:ptCount val="2"/>
                <c:pt idx="0">
                  <c:v>0</c:v>
                </c:pt>
                <c:pt idx="1">
                  <c:v>0</c:v>
                </c:pt>
              </c:numCache>
            </c:numRef>
          </c:yVal>
          <c:smooth val="1"/>
          <c:extLst>
            <c:ext xmlns:c16="http://schemas.microsoft.com/office/drawing/2014/chart" uri="{C3380CC4-5D6E-409C-BE32-E72D297353CC}">
              <c16:uniqueId val="{0000002D-02BD-4FCC-A03D-625C0E4D2895}"/>
            </c:ext>
          </c:extLst>
        </c:ser>
        <c:ser>
          <c:idx val="40"/>
          <c:order val="31"/>
          <c:tx>
            <c:v>Row 4 Right</c:v>
          </c:tx>
          <c:spPr>
            <a:ln w="50800" cap="rnd">
              <a:solidFill>
                <a:schemeClr val="tx1"/>
              </a:solidFill>
              <a:round/>
            </a:ln>
            <a:effectLst/>
          </c:spPr>
          <c:marker>
            <c:symbol val="circle"/>
            <c:size val="5"/>
            <c:spPr>
              <a:noFill/>
              <a:ln w="9525">
                <a:noFill/>
              </a:ln>
              <a:effectLst/>
            </c:spPr>
          </c:marker>
          <c:xVal>
            <c:numRef>
              <c:f>Solution!$BD$7:$BD$8</c:f>
              <c:numCache>
                <c:formatCode>0.0</c:formatCode>
                <c:ptCount val="2"/>
                <c:pt idx="0">
                  <c:v>0</c:v>
                </c:pt>
                <c:pt idx="1">
                  <c:v>0</c:v>
                </c:pt>
              </c:numCache>
            </c:numRef>
          </c:xVal>
          <c:yVal>
            <c:numRef>
              <c:f>Solution!$BE$7:$BE$8</c:f>
              <c:numCache>
                <c:formatCode>0.0</c:formatCode>
                <c:ptCount val="2"/>
                <c:pt idx="0">
                  <c:v>0</c:v>
                </c:pt>
                <c:pt idx="1">
                  <c:v>0</c:v>
                </c:pt>
              </c:numCache>
            </c:numRef>
          </c:yVal>
          <c:smooth val="1"/>
          <c:extLst>
            <c:ext xmlns:c16="http://schemas.microsoft.com/office/drawing/2014/chart" uri="{C3380CC4-5D6E-409C-BE32-E72D297353CC}">
              <c16:uniqueId val="{0000002E-02BD-4FCC-A03D-625C0E4D2895}"/>
            </c:ext>
          </c:extLst>
        </c:ser>
        <c:ser>
          <c:idx val="41"/>
          <c:order val="32"/>
          <c:tx>
            <c:v>Row 3 Left</c:v>
          </c:tx>
          <c:spPr>
            <a:ln w="50800" cap="rnd">
              <a:solidFill>
                <a:schemeClr val="tx1"/>
              </a:solidFill>
              <a:round/>
            </a:ln>
            <a:effectLst/>
          </c:spPr>
          <c:marker>
            <c:symbol val="circle"/>
            <c:size val="5"/>
            <c:spPr>
              <a:noFill/>
              <a:ln w="9525">
                <a:noFill/>
              </a:ln>
              <a:effectLst/>
            </c:spPr>
          </c:marker>
          <c:xVal>
            <c:numRef>
              <c:f>Solution!$AX$9:$AX$10</c:f>
              <c:numCache>
                <c:formatCode>0.0</c:formatCode>
                <c:ptCount val="2"/>
                <c:pt idx="0">
                  <c:v>3.4289999999999998</c:v>
                </c:pt>
                <c:pt idx="1">
                  <c:v>7.2389999999999999</c:v>
                </c:pt>
              </c:numCache>
            </c:numRef>
          </c:xVal>
          <c:yVal>
            <c:numRef>
              <c:f>Solution!$AY$9:$AY$10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2F-02BD-4FCC-A03D-625C0E4D2895}"/>
            </c:ext>
          </c:extLst>
        </c:ser>
        <c:ser>
          <c:idx val="42"/>
          <c:order val="33"/>
          <c:tx>
            <c:v>Row 3 Right</c:v>
          </c:tx>
          <c:spPr>
            <a:ln w="50800" cap="rnd">
              <a:solidFill>
                <a:schemeClr val="tx1"/>
              </a:solidFill>
              <a:round/>
            </a:ln>
            <a:effectLst/>
          </c:spPr>
          <c:marker>
            <c:symbol val="circle"/>
            <c:size val="5"/>
            <c:spPr>
              <a:noFill/>
              <a:ln w="9525">
                <a:noFill/>
              </a:ln>
              <a:effectLst/>
            </c:spPr>
          </c:marker>
          <c:xVal>
            <c:numRef>
              <c:f>Solution!$BD$9:$BD$10</c:f>
              <c:numCache>
                <c:formatCode>0.0</c:formatCode>
                <c:ptCount val="2"/>
                <c:pt idx="0">
                  <c:v>-3.4289999999999998</c:v>
                </c:pt>
                <c:pt idx="1">
                  <c:v>-7.2389999999999999</c:v>
                </c:pt>
              </c:numCache>
            </c:numRef>
          </c:xVal>
          <c:yVal>
            <c:numRef>
              <c:f>Solution!$BE$9:$BE$10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30-02BD-4FCC-A03D-625C0E4D2895}"/>
            </c:ext>
          </c:extLst>
        </c:ser>
        <c:ser>
          <c:idx val="43"/>
          <c:order val="34"/>
          <c:tx>
            <c:v>Row 2 Left</c:v>
          </c:tx>
          <c:spPr>
            <a:ln w="50800" cap="rnd">
              <a:solidFill>
                <a:schemeClr val="tx1"/>
              </a:solidFill>
              <a:round/>
            </a:ln>
            <a:effectLst/>
          </c:spPr>
          <c:marker>
            <c:symbol val="circle"/>
            <c:size val="5"/>
            <c:spPr>
              <a:noFill/>
              <a:ln w="9525">
                <a:noFill/>
              </a:ln>
              <a:effectLst/>
            </c:spPr>
          </c:marker>
          <c:xVal>
            <c:numRef>
              <c:f>Solution!$AX$11:$AX$12</c:f>
              <c:numCache>
                <c:formatCode>0.0</c:formatCode>
                <c:ptCount val="2"/>
                <c:pt idx="0">
                  <c:v>2.9209999999999998</c:v>
                </c:pt>
                <c:pt idx="1">
                  <c:v>6.7309999999999999</c:v>
                </c:pt>
              </c:numCache>
            </c:numRef>
          </c:xVal>
          <c:yVal>
            <c:numRef>
              <c:f>Solution!$AY$11:$AY$12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1-02BD-4FCC-A03D-625C0E4D2895}"/>
            </c:ext>
          </c:extLst>
        </c:ser>
        <c:ser>
          <c:idx val="44"/>
          <c:order val="35"/>
          <c:tx>
            <c:v>Row 2 Right</c:v>
          </c:tx>
          <c:spPr>
            <a:ln w="50800" cap="rnd">
              <a:solidFill>
                <a:schemeClr val="tx1"/>
              </a:solidFill>
              <a:round/>
            </a:ln>
            <a:effectLst/>
          </c:spPr>
          <c:marker>
            <c:symbol val="circle"/>
            <c:size val="5"/>
            <c:spPr>
              <a:noFill/>
              <a:ln w="9525">
                <a:noFill/>
              </a:ln>
              <a:effectLst/>
            </c:spPr>
          </c:marker>
          <c:xVal>
            <c:numRef>
              <c:f>Solution!$BD$11:$BD$12</c:f>
              <c:numCache>
                <c:formatCode>0.0</c:formatCode>
                <c:ptCount val="2"/>
                <c:pt idx="0">
                  <c:v>-2.9209999999999998</c:v>
                </c:pt>
                <c:pt idx="1">
                  <c:v>-6.7309999999999999</c:v>
                </c:pt>
              </c:numCache>
            </c:numRef>
          </c:xVal>
          <c:yVal>
            <c:numRef>
              <c:f>Solution!$BE$11:$BE$12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2-02BD-4FCC-A03D-625C0E4D2895}"/>
            </c:ext>
          </c:extLst>
        </c:ser>
        <c:ser>
          <c:idx val="45"/>
          <c:order val="36"/>
          <c:tx>
            <c:v>Row 1 Left</c:v>
          </c:tx>
          <c:spPr>
            <a:ln w="50800" cap="rnd">
              <a:solidFill>
                <a:schemeClr val="tx1"/>
              </a:solidFill>
              <a:round/>
            </a:ln>
            <a:effectLst/>
          </c:spPr>
          <c:marker>
            <c:symbol val="circle"/>
            <c:size val="5"/>
            <c:spPr>
              <a:noFill/>
              <a:ln w="9525">
                <a:noFill/>
              </a:ln>
              <a:effectLst/>
            </c:spPr>
          </c:marker>
          <c:xVal>
            <c:numRef>
              <c:f>Solution!$AX$13:$AX$14</c:f>
              <c:numCache>
                <c:formatCode>0.0</c:formatCode>
                <c:ptCount val="2"/>
                <c:pt idx="0">
                  <c:v>2.4129999999999998</c:v>
                </c:pt>
                <c:pt idx="1">
                  <c:v>6.2229999999999999</c:v>
                </c:pt>
              </c:numCache>
            </c:numRef>
          </c:xVal>
          <c:yVal>
            <c:numRef>
              <c:f>Solution!$AY$13:$AY$14</c:f>
              <c:numCache>
                <c:formatCode>0.0</c:formatCode>
                <c:ptCount val="2"/>
                <c:pt idx="0">
                  <c:v>23.59</c:v>
                </c:pt>
                <c:pt idx="1">
                  <c:v>23.59</c:v>
                </c:pt>
              </c:numCache>
            </c:numRef>
          </c:yVal>
          <c:smooth val="1"/>
          <c:extLst>
            <c:ext xmlns:c16="http://schemas.microsoft.com/office/drawing/2014/chart" uri="{C3380CC4-5D6E-409C-BE32-E72D297353CC}">
              <c16:uniqueId val="{00000033-02BD-4FCC-A03D-625C0E4D2895}"/>
            </c:ext>
          </c:extLst>
        </c:ser>
        <c:ser>
          <c:idx val="46"/>
          <c:order val="37"/>
          <c:tx>
            <c:v>Row 1 Right</c:v>
          </c:tx>
          <c:spPr>
            <a:ln w="50800" cap="rnd">
              <a:solidFill>
                <a:schemeClr val="tx1"/>
              </a:solidFill>
              <a:round/>
            </a:ln>
            <a:effectLst/>
          </c:spPr>
          <c:marker>
            <c:symbol val="circle"/>
            <c:size val="5"/>
            <c:spPr>
              <a:noFill/>
              <a:ln w="9525">
                <a:noFill/>
              </a:ln>
              <a:effectLst/>
            </c:spPr>
          </c:marker>
          <c:xVal>
            <c:numRef>
              <c:f>Solution!$BD$13:$BD$14</c:f>
              <c:numCache>
                <c:formatCode>0.0</c:formatCode>
                <c:ptCount val="2"/>
                <c:pt idx="0">
                  <c:v>-2.4129999999999998</c:v>
                </c:pt>
                <c:pt idx="1">
                  <c:v>-6.2229999999999999</c:v>
                </c:pt>
              </c:numCache>
            </c:numRef>
          </c:xVal>
          <c:yVal>
            <c:numRef>
              <c:f>Solution!$BE$13:$BE$14</c:f>
              <c:numCache>
                <c:formatCode>0.0</c:formatCode>
                <c:ptCount val="2"/>
                <c:pt idx="0">
                  <c:v>23.59</c:v>
                </c:pt>
                <c:pt idx="1">
                  <c:v>23.59</c:v>
                </c:pt>
              </c:numCache>
            </c:numRef>
          </c:yVal>
          <c:smooth val="1"/>
          <c:extLst>
            <c:ext xmlns:c16="http://schemas.microsoft.com/office/drawing/2014/chart" uri="{C3380CC4-5D6E-409C-BE32-E72D297353CC}">
              <c16:uniqueId val="{00000034-02BD-4FCC-A03D-625C0E4D2895}"/>
            </c:ext>
          </c:extLst>
        </c:ser>
        <c:ser>
          <c:idx val="47"/>
          <c:order val="38"/>
          <c:tx>
            <c:v>Crotch 1</c:v>
          </c:tx>
          <c:spPr>
            <a:ln w="50800" cap="rnd">
              <a:solidFill>
                <a:schemeClr val="tx1"/>
              </a:solidFill>
              <a:round/>
            </a:ln>
            <a:effectLst/>
          </c:spPr>
          <c:marker>
            <c:symbol val="circle"/>
            <c:size val="5"/>
            <c:spPr>
              <a:noFill/>
              <a:ln w="9525">
                <a:noFill/>
              </a:ln>
              <a:effectLst/>
            </c:spPr>
          </c:marker>
          <c:xVal>
            <c:numRef>
              <c:f>Solution!$BA$26:$BA$27</c:f>
              <c:numCache>
                <c:formatCode>General</c:formatCode>
                <c:ptCount val="2"/>
                <c:pt idx="0">
                  <c:v>-1.9</c:v>
                </c:pt>
                <c:pt idx="1">
                  <c:v>1.9</c:v>
                </c:pt>
              </c:numCache>
            </c:numRef>
          </c:xVal>
          <c:yVal>
            <c:numRef>
              <c:f>Solution!$BB$26:$BB$27</c:f>
              <c:numCache>
                <c:formatCode>0.0</c:formatCode>
                <c:ptCount val="2"/>
                <c:pt idx="0">
                  <c:v>-13.641839999999998</c:v>
                </c:pt>
                <c:pt idx="1">
                  <c:v>-13.641839999999998</c:v>
                </c:pt>
              </c:numCache>
            </c:numRef>
          </c:yVal>
          <c:smooth val="1"/>
          <c:extLst>
            <c:ext xmlns:c16="http://schemas.microsoft.com/office/drawing/2014/chart" uri="{C3380CC4-5D6E-409C-BE32-E72D297353CC}">
              <c16:uniqueId val="{00000035-02BD-4FCC-A03D-625C0E4D2895}"/>
            </c:ext>
          </c:extLst>
        </c:ser>
        <c:ser>
          <c:idx val="48"/>
          <c:order val="39"/>
          <c:tx>
            <c:v>Crotch 2</c:v>
          </c:tx>
          <c:spPr>
            <a:ln w="47625" cap="rnd">
              <a:solidFill>
                <a:schemeClr val="tx1"/>
              </a:solidFill>
              <a:round/>
            </a:ln>
            <a:effectLst/>
          </c:spPr>
          <c:marker>
            <c:symbol val="circle"/>
            <c:size val="5"/>
            <c:spPr>
              <a:noFill/>
              <a:ln w="9525">
                <a:noFill/>
              </a:ln>
              <a:effectLst/>
            </c:spPr>
          </c:marker>
          <c:xVal>
            <c:numRef>
              <c:f>Solution!$BA$28:$BA$29</c:f>
              <c:numCache>
                <c:formatCode>General</c:formatCode>
                <c:ptCount val="2"/>
                <c:pt idx="0">
                  <c:v>0</c:v>
                </c:pt>
                <c:pt idx="1">
                  <c:v>0</c:v>
                </c:pt>
              </c:numCache>
            </c:numRef>
          </c:xVal>
          <c:yVal>
            <c:numRef>
              <c:f>Solution!$BB$28:$BB$29</c:f>
              <c:numCache>
                <c:formatCode>0.0</c:formatCode>
                <c:ptCount val="2"/>
                <c:pt idx="0">
                  <c:v>0</c:v>
                </c:pt>
                <c:pt idx="1">
                  <c:v>0</c:v>
                </c:pt>
              </c:numCache>
            </c:numRef>
          </c:yVal>
          <c:smooth val="1"/>
          <c:extLst>
            <c:ext xmlns:c16="http://schemas.microsoft.com/office/drawing/2014/chart" uri="{C3380CC4-5D6E-409C-BE32-E72D297353CC}">
              <c16:uniqueId val="{00000036-02BD-4FCC-A03D-625C0E4D2895}"/>
            </c:ext>
          </c:extLst>
        </c:ser>
        <c:ser>
          <c:idx val="49"/>
          <c:order val="40"/>
          <c:tx>
            <c:v>Crotch 3</c:v>
          </c:tx>
          <c:spPr>
            <a:ln w="50800" cap="rnd">
              <a:solidFill>
                <a:schemeClr val="tx1"/>
              </a:solidFill>
              <a:round/>
            </a:ln>
            <a:effectLst/>
          </c:spPr>
          <c:marker>
            <c:symbol val="circle"/>
            <c:size val="5"/>
            <c:spPr>
              <a:noFill/>
              <a:ln w="9525">
                <a:noFill/>
              </a:ln>
              <a:effectLst/>
            </c:spPr>
          </c:marker>
          <c:xVal>
            <c:numRef>
              <c:f>Solution!$BA$30:$BA$31</c:f>
              <c:numCache>
                <c:formatCode>General</c:formatCode>
                <c:ptCount val="2"/>
                <c:pt idx="0">
                  <c:v>0</c:v>
                </c:pt>
                <c:pt idx="1">
                  <c:v>0</c:v>
                </c:pt>
              </c:numCache>
            </c:numRef>
          </c:xVal>
          <c:yVal>
            <c:numRef>
              <c:f>Solution!$BB$30:$BB$31</c:f>
              <c:numCache>
                <c:formatCode>0.0</c:formatCode>
                <c:ptCount val="2"/>
                <c:pt idx="0">
                  <c:v>0</c:v>
                </c:pt>
                <c:pt idx="1">
                  <c:v>0</c:v>
                </c:pt>
              </c:numCache>
            </c:numRef>
          </c:yVal>
          <c:smooth val="1"/>
          <c:extLst>
            <c:ext xmlns:c16="http://schemas.microsoft.com/office/drawing/2014/chart" uri="{C3380CC4-5D6E-409C-BE32-E72D297353CC}">
              <c16:uniqueId val="{00000037-02BD-4FCC-A03D-625C0E4D2895}"/>
            </c:ext>
          </c:extLst>
        </c:ser>
        <c:ser>
          <c:idx val="50"/>
          <c:order val="41"/>
          <c:tx>
            <c:v>Crotch 4</c:v>
          </c:tx>
          <c:spPr>
            <a:ln w="50800" cap="rnd">
              <a:solidFill>
                <a:schemeClr val="tx1"/>
              </a:solidFill>
              <a:round/>
            </a:ln>
            <a:effectLst/>
          </c:spPr>
          <c:marker>
            <c:symbol val="circle"/>
            <c:size val="5"/>
            <c:spPr>
              <a:noFill/>
              <a:ln w="9525">
                <a:noFill/>
              </a:ln>
              <a:effectLst/>
            </c:spPr>
          </c:marker>
          <c:xVal>
            <c:numRef>
              <c:f>Solution!$BA$32:$BA$33</c:f>
              <c:numCache>
                <c:formatCode>General</c:formatCode>
                <c:ptCount val="2"/>
                <c:pt idx="0">
                  <c:v>0</c:v>
                </c:pt>
                <c:pt idx="1">
                  <c:v>0</c:v>
                </c:pt>
              </c:numCache>
            </c:numRef>
          </c:xVal>
          <c:yVal>
            <c:numRef>
              <c:f>Solution!$BB$32:$BB$33</c:f>
              <c:numCache>
                <c:formatCode>0.0</c:formatCode>
                <c:ptCount val="2"/>
                <c:pt idx="0">
                  <c:v>0</c:v>
                </c:pt>
                <c:pt idx="1">
                  <c:v>0</c:v>
                </c:pt>
              </c:numCache>
            </c:numRef>
          </c:yVal>
          <c:smooth val="1"/>
          <c:extLst>
            <c:ext xmlns:c16="http://schemas.microsoft.com/office/drawing/2014/chart" uri="{C3380CC4-5D6E-409C-BE32-E72D297353CC}">
              <c16:uniqueId val="{00000038-02BD-4FCC-A03D-625C0E4D2895}"/>
            </c:ext>
          </c:extLst>
        </c:ser>
        <c:ser>
          <c:idx val="51"/>
          <c:order val="42"/>
          <c:tx>
            <c:v>Hip Slot 1 Left</c:v>
          </c:tx>
          <c:spPr>
            <a:ln w="50800" cap="rnd">
              <a:solidFill>
                <a:schemeClr val="tx1"/>
              </a:solidFill>
              <a:round/>
            </a:ln>
            <a:effectLst/>
          </c:spPr>
          <c:marker>
            <c:symbol val="circle"/>
            <c:size val="5"/>
            <c:spPr>
              <a:noFill/>
              <a:ln w="9525">
                <a:noFill/>
              </a:ln>
              <a:effectLst/>
            </c:spPr>
          </c:marker>
          <c:xVal>
            <c:numRef>
              <c:f>Solution!$BA$36:$BA$37</c:f>
              <c:numCache>
                <c:formatCode>0.0</c:formatCode>
                <c:ptCount val="2"/>
                <c:pt idx="0">
                  <c:v>-6.7309999999999999</c:v>
                </c:pt>
                <c:pt idx="1">
                  <c:v>-6.7309999999999999</c:v>
                </c:pt>
              </c:numCache>
            </c:numRef>
          </c:xVal>
          <c:yVal>
            <c:numRef>
              <c:f>Solution!$BB$36:$BB$37</c:f>
              <c:numCache>
                <c:formatCode>0.0</c:formatCode>
                <c:ptCount val="2"/>
                <c:pt idx="0">
                  <c:v>0</c:v>
                </c:pt>
                <c:pt idx="1">
                  <c:v>-3.8</c:v>
                </c:pt>
              </c:numCache>
            </c:numRef>
          </c:yVal>
          <c:smooth val="1"/>
          <c:extLst>
            <c:ext xmlns:c16="http://schemas.microsoft.com/office/drawing/2014/chart" uri="{C3380CC4-5D6E-409C-BE32-E72D297353CC}">
              <c16:uniqueId val="{00000039-02BD-4FCC-A03D-625C0E4D2895}"/>
            </c:ext>
          </c:extLst>
        </c:ser>
        <c:ser>
          <c:idx val="52"/>
          <c:order val="43"/>
          <c:tx>
            <c:v>Hip Slot 1 Right</c:v>
          </c:tx>
          <c:spPr>
            <a:ln w="50800" cap="rnd">
              <a:solidFill>
                <a:schemeClr val="tx1"/>
              </a:solidFill>
              <a:round/>
            </a:ln>
            <a:effectLst/>
          </c:spPr>
          <c:marker>
            <c:symbol val="circle"/>
            <c:size val="5"/>
            <c:spPr>
              <a:noFill/>
              <a:ln w="9525">
                <a:noFill/>
              </a:ln>
              <a:effectLst/>
            </c:spPr>
          </c:marker>
          <c:xVal>
            <c:numRef>
              <c:f>Solution!$BD$36:$BD$37</c:f>
              <c:numCache>
                <c:formatCode>0.0</c:formatCode>
                <c:ptCount val="2"/>
                <c:pt idx="0">
                  <c:v>6.7309999999999999</c:v>
                </c:pt>
                <c:pt idx="1">
                  <c:v>6.7309999999999999</c:v>
                </c:pt>
              </c:numCache>
            </c:numRef>
          </c:xVal>
          <c:yVal>
            <c:numRef>
              <c:f>Solution!$BE$36:$BE$37</c:f>
              <c:numCache>
                <c:formatCode>0.0</c:formatCode>
                <c:ptCount val="2"/>
                <c:pt idx="0">
                  <c:v>0</c:v>
                </c:pt>
                <c:pt idx="1">
                  <c:v>-3.8</c:v>
                </c:pt>
              </c:numCache>
            </c:numRef>
          </c:yVal>
          <c:smooth val="1"/>
          <c:extLst>
            <c:ext xmlns:c16="http://schemas.microsoft.com/office/drawing/2014/chart" uri="{C3380CC4-5D6E-409C-BE32-E72D297353CC}">
              <c16:uniqueId val="{0000003A-02BD-4FCC-A03D-625C0E4D2895}"/>
            </c:ext>
          </c:extLst>
        </c:ser>
        <c:ser>
          <c:idx val="53"/>
          <c:order val="44"/>
          <c:tx>
            <c:v>Hip Slot 2 Left</c:v>
          </c:tx>
          <c:spPr>
            <a:ln w="50800" cap="rnd">
              <a:solidFill>
                <a:schemeClr val="tx1"/>
              </a:solidFill>
              <a:round/>
            </a:ln>
            <a:effectLst/>
          </c:spPr>
          <c:marker>
            <c:symbol val="circle"/>
            <c:size val="5"/>
            <c:spPr>
              <a:noFill/>
              <a:ln w="9525">
                <a:noFill/>
              </a:ln>
              <a:effectLst/>
            </c:spPr>
          </c:marker>
          <c:xVal>
            <c:numRef>
              <c:f>Solution!$BA$38:$BA$39</c:f>
              <c:numCache>
                <c:formatCode>0.0</c:formatCode>
                <c:ptCount val="2"/>
                <c:pt idx="0">
                  <c:v>0</c:v>
                </c:pt>
                <c:pt idx="1">
                  <c:v>0</c:v>
                </c:pt>
              </c:numCache>
            </c:numRef>
          </c:xVal>
          <c:yVal>
            <c:numRef>
              <c:f>Solution!$BB$38:$BB$39</c:f>
              <c:numCache>
                <c:formatCode>0.0</c:formatCode>
                <c:ptCount val="2"/>
                <c:pt idx="0">
                  <c:v>0</c:v>
                </c:pt>
                <c:pt idx="1">
                  <c:v>0</c:v>
                </c:pt>
              </c:numCache>
            </c:numRef>
          </c:yVal>
          <c:smooth val="1"/>
          <c:extLst>
            <c:ext xmlns:c16="http://schemas.microsoft.com/office/drawing/2014/chart" uri="{C3380CC4-5D6E-409C-BE32-E72D297353CC}">
              <c16:uniqueId val="{0000003B-02BD-4FCC-A03D-625C0E4D2895}"/>
            </c:ext>
          </c:extLst>
        </c:ser>
        <c:ser>
          <c:idx val="54"/>
          <c:order val="45"/>
          <c:tx>
            <c:v>Hip Slot 2 Right</c:v>
          </c:tx>
          <c:spPr>
            <a:ln w="50800" cap="rnd">
              <a:solidFill>
                <a:schemeClr val="tx1"/>
              </a:solidFill>
              <a:round/>
            </a:ln>
            <a:effectLst/>
          </c:spPr>
          <c:marker>
            <c:symbol val="circle"/>
            <c:size val="5"/>
            <c:spPr>
              <a:noFill/>
              <a:ln w="9525">
                <a:noFill/>
              </a:ln>
              <a:effectLst/>
            </c:spPr>
          </c:marker>
          <c:xVal>
            <c:numRef>
              <c:f>Solution!$BD$38:$BD$39</c:f>
              <c:numCache>
                <c:formatCode>0.0</c:formatCode>
                <c:ptCount val="2"/>
                <c:pt idx="0">
                  <c:v>0</c:v>
                </c:pt>
                <c:pt idx="1">
                  <c:v>0</c:v>
                </c:pt>
              </c:numCache>
            </c:numRef>
          </c:xVal>
          <c:yVal>
            <c:numRef>
              <c:f>Solution!$BE$38:$BE$39</c:f>
              <c:numCache>
                <c:formatCode>0.0</c:formatCode>
                <c:ptCount val="2"/>
                <c:pt idx="0">
                  <c:v>0</c:v>
                </c:pt>
                <c:pt idx="1">
                  <c:v>0</c:v>
                </c:pt>
              </c:numCache>
            </c:numRef>
          </c:yVal>
          <c:smooth val="1"/>
          <c:extLst>
            <c:ext xmlns:c16="http://schemas.microsoft.com/office/drawing/2014/chart" uri="{C3380CC4-5D6E-409C-BE32-E72D297353CC}">
              <c16:uniqueId val="{0000003C-02BD-4FCC-A03D-625C0E4D2895}"/>
            </c:ext>
          </c:extLst>
        </c:ser>
        <c:ser>
          <c:idx val="55"/>
          <c:order val="46"/>
          <c:tx>
            <c:v>Hip Slot 3 Left</c:v>
          </c:tx>
          <c:spPr>
            <a:ln w="50800" cap="rnd">
              <a:solidFill>
                <a:schemeClr val="tx1"/>
              </a:solidFill>
              <a:round/>
            </a:ln>
            <a:effectLst/>
          </c:spPr>
          <c:marker>
            <c:symbol val="circle"/>
            <c:size val="5"/>
            <c:spPr>
              <a:noFill/>
              <a:ln w="9525">
                <a:noFill/>
              </a:ln>
              <a:effectLst/>
            </c:spPr>
          </c:marker>
          <c:xVal>
            <c:numRef>
              <c:f>Solution!$BA$40:$BA$41</c:f>
              <c:numCache>
                <c:formatCode>0.0</c:formatCode>
                <c:ptCount val="2"/>
                <c:pt idx="0">
                  <c:v>0</c:v>
                </c:pt>
                <c:pt idx="1">
                  <c:v>0</c:v>
                </c:pt>
              </c:numCache>
            </c:numRef>
          </c:xVal>
          <c:yVal>
            <c:numRef>
              <c:f>Solution!$BB$40:$BB$41</c:f>
              <c:numCache>
                <c:formatCode>0.0</c:formatCode>
                <c:ptCount val="2"/>
                <c:pt idx="0">
                  <c:v>0</c:v>
                </c:pt>
                <c:pt idx="1">
                  <c:v>0</c:v>
                </c:pt>
              </c:numCache>
            </c:numRef>
          </c:yVal>
          <c:smooth val="1"/>
          <c:extLst>
            <c:ext xmlns:c16="http://schemas.microsoft.com/office/drawing/2014/chart" uri="{C3380CC4-5D6E-409C-BE32-E72D297353CC}">
              <c16:uniqueId val="{0000003D-02BD-4FCC-A03D-625C0E4D2895}"/>
            </c:ext>
          </c:extLst>
        </c:ser>
        <c:ser>
          <c:idx val="56"/>
          <c:order val="47"/>
          <c:tx>
            <c:v>Hip Slot 3 Right</c:v>
          </c:tx>
          <c:spPr>
            <a:ln w="50800" cap="rnd">
              <a:solidFill>
                <a:schemeClr val="tx1"/>
              </a:solidFill>
              <a:round/>
            </a:ln>
            <a:effectLst/>
          </c:spPr>
          <c:marker>
            <c:symbol val="circle"/>
            <c:size val="5"/>
            <c:spPr>
              <a:noFill/>
              <a:ln w="9525">
                <a:noFill/>
              </a:ln>
              <a:effectLst/>
            </c:spPr>
          </c:marker>
          <c:xVal>
            <c:numRef>
              <c:f>Solution!$BD$40:$BD$41</c:f>
              <c:numCache>
                <c:formatCode>0.0</c:formatCode>
                <c:ptCount val="2"/>
                <c:pt idx="0">
                  <c:v>0</c:v>
                </c:pt>
                <c:pt idx="1">
                  <c:v>0</c:v>
                </c:pt>
              </c:numCache>
            </c:numRef>
          </c:xVal>
          <c:yVal>
            <c:numRef>
              <c:f>Solution!$BE$40:$BE$41</c:f>
              <c:numCache>
                <c:formatCode>0.0</c:formatCode>
                <c:ptCount val="2"/>
                <c:pt idx="0">
                  <c:v>0</c:v>
                </c:pt>
                <c:pt idx="1">
                  <c:v>0</c:v>
                </c:pt>
              </c:numCache>
            </c:numRef>
          </c:yVal>
          <c:smooth val="1"/>
          <c:extLst>
            <c:ext xmlns:c16="http://schemas.microsoft.com/office/drawing/2014/chart" uri="{C3380CC4-5D6E-409C-BE32-E72D297353CC}">
              <c16:uniqueId val="{0000003E-02BD-4FCC-A03D-625C0E4D2895}"/>
            </c:ext>
          </c:extLst>
        </c:ser>
        <c:ser>
          <c:idx val="69"/>
          <c:order val="48"/>
          <c:tx>
            <c:v>Hip Slot 4 Left</c:v>
          </c:tx>
          <c:spPr>
            <a:ln w="50800" cap="rnd">
              <a:solidFill>
                <a:schemeClr val="tx1"/>
              </a:solidFill>
              <a:round/>
            </a:ln>
            <a:effectLst/>
          </c:spPr>
          <c:marker>
            <c:symbol val="circle"/>
            <c:size val="5"/>
            <c:spPr>
              <a:noFill/>
              <a:ln w="9525">
                <a:noFill/>
              </a:ln>
              <a:effectLst/>
            </c:spPr>
          </c:marker>
          <c:xVal>
            <c:numRef>
              <c:f>Solution!$BD$42:$BD$43</c:f>
              <c:numCache>
                <c:formatCode>0.0</c:formatCode>
                <c:ptCount val="2"/>
                <c:pt idx="0">
                  <c:v>0</c:v>
                </c:pt>
                <c:pt idx="1">
                  <c:v>0</c:v>
                </c:pt>
              </c:numCache>
            </c:numRef>
          </c:xVal>
          <c:yVal>
            <c:numRef>
              <c:f>Solution!$BE$42:$BE$43</c:f>
              <c:numCache>
                <c:formatCode>0.0</c:formatCode>
                <c:ptCount val="2"/>
                <c:pt idx="0">
                  <c:v>0</c:v>
                </c:pt>
                <c:pt idx="1">
                  <c:v>0</c:v>
                </c:pt>
              </c:numCache>
            </c:numRef>
          </c:yVal>
          <c:smooth val="1"/>
          <c:extLst>
            <c:ext xmlns:c16="http://schemas.microsoft.com/office/drawing/2014/chart" uri="{C3380CC4-5D6E-409C-BE32-E72D297353CC}">
              <c16:uniqueId val="{0000003F-02BD-4FCC-A03D-625C0E4D2895}"/>
            </c:ext>
          </c:extLst>
        </c:ser>
        <c:ser>
          <c:idx val="70"/>
          <c:order val="49"/>
          <c:tx>
            <c:v>Hip Slot 4 Right</c:v>
          </c:tx>
          <c:spPr>
            <a:ln w="47625" cap="rnd">
              <a:solidFill>
                <a:schemeClr val="tx1"/>
              </a:solidFill>
              <a:round/>
            </a:ln>
            <a:effectLst/>
          </c:spPr>
          <c:marker>
            <c:symbol val="circle"/>
            <c:size val="5"/>
            <c:spPr>
              <a:noFill/>
              <a:ln w="9525">
                <a:noFill/>
              </a:ln>
              <a:effectLst/>
            </c:spPr>
          </c:marker>
          <c:xVal>
            <c:numRef>
              <c:f>Solution!$BA$42:$BA$43</c:f>
              <c:numCache>
                <c:formatCode>0.0</c:formatCode>
                <c:ptCount val="2"/>
                <c:pt idx="0">
                  <c:v>0</c:v>
                </c:pt>
                <c:pt idx="1">
                  <c:v>0</c:v>
                </c:pt>
              </c:numCache>
            </c:numRef>
          </c:xVal>
          <c:yVal>
            <c:numRef>
              <c:f>Solution!$BB$42:$BB$43</c:f>
              <c:numCache>
                <c:formatCode>0.0</c:formatCode>
                <c:ptCount val="2"/>
                <c:pt idx="0">
                  <c:v>0</c:v>
                </c:pt>
                <c:pt idx="1">
                  <c:v>0</c:v>
                </c:pt>
              </c:numCache>
            </c:numRef>
          </c:yVal>
          <c:smooth val="1"/>
          <c:extLst>
            <c:ext xmlns:c16="http://schemas.microsoft.com/office/drawing/2014/chart" uri="{C3380CC4-5D6E-409C-BE32-E72D297353CC}">
              <c16:uniqueId val="{00000040-02BD-4FCC-A03D-625C0E4D2895}"/>
            </c:ext>
          </c:extLst>
        </c:ser>
        <c:ser>
          <c:idx val="57"/>
          <c:order val="50"/>
          <c:tx>
            <c:v>Neck Ave Right</c:v>
          </c:tx>
          <c:spPr>
            <a:ln w="0" cap="rnd">
              <a:noFill/>
              <a:round/>
            </a:ln>
            <a:effectLst/>
          </c:spPr>
          <c:marker>
            <c:symbol val="circle"/>
            <c:size val="5"/>
            <c:spPr>
              <a:solidFill>
                <a:srgbClr val="00B050"/>
              </a:solidFill>
              <a:ln w="9525">
                <a:solidFill>
                  <a:schemeClr val="tx1"/>
                </a:solidFill>
              </a:ln>
              <a:effectLst/>
            </c:spPr>
          </c:marker>
          <c:xVal>
            <c:numRef>
              <c:f>'Big Data'!$CB$3:$CB$45</c:f>
              <c:numCache>
                <c:formatCode>0.0</c:formatCode>
                <c:ptCount val="43"/>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1-02BD-4FCC-A03D-625C0E4D2895}"/>
            </c:ext>
          </c:extLst>
        </c:ser>
        <c:ser>
          <c:idx val="58"/>
          <c:order val="51"/>
          <c:tx>
            <c:v>Neck Ave Left</c:v>
          </c:tx>
          <c:spPr>
            <a:ln w="0" cap="rnd">
              <a:noFill/>
              <a:round/>
            </a:ln>
            <a:effectLst/>
          </c:spPr>
          <c:marker>
            <c:symbol val="circle"/>
            <c:size val="5"/>
            <c:spPr>
              <a:solidFill>
                <a:srgbClr val="00B050"/>
              </a:solidFill>
              <a:ln w="9525">
                <a:solidFill>
                  <a:schemeClr val="tx1"/>
                </a:solidFill>
              </a:ln>
              <a:effectLst/>
            </c:spPr>
          </c:marker>
          <c:xVal>
            <c:numRef>
              <c:f>'Big Data'!$CF$3:$CF$45</c:f>
              <c:numCache>
                <c:formatCode>0.0</c:formatCode>
                <c:ptCount val="43"/>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2-02BD-4FCC-A03D-625C0E4D2895}"/>
            </c:ext>
          </c:extLst>
        </c:ser>
        <c:ser>
          <c:idx val="59"/>
          <c:order val="52"/>
          <c:tx>
            <c:v>Neck 5th Left</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Data'!$CE$3:$CE$45</c:f>
              <c:numCache>
                <c:formatCode>0.0</c:formatCode>
                <c:ptCount val="43"/>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3-02BD-4FCC-A03D-625C0E4D2895}"/>
            </c:ext>
          </c:extLst>
        </c:ser>
        <c:ser>
          <c:idx val="60"/>
          <c:order val="53"/>
          <c:tx>
            <c:v>Neck 5th Right</c:v>
          </c:tx>
          <c:spPr>
            <a:ln w="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Data'!$CA$3:$CA$45</c:f>
              <c:numCache>
                <c:formatCode>0.0</c:formatCode>
                <c:ptCount val="43"/>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4-02BD-4FCC-A03D-625C0E4D2895}"/>
            </c:ext>
          </c:extLst>
        </c:ser>
        <c:ser>
          <c:idx val="61"/>
          <c:order val="54"/>
          <c:tx>
            <c:v>Neck 95th Left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Data'!$CG$3:$CG$45</c:f>
              <c:numCache>
                <c:formatCode>0.0</c:formatCode>
                <c:ptCount val="43"/>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5-02BD-4FCC-A03D-625C0E4D2895}"/>
            </c:ext>
          </c:extLst>
        </c:ser>
        <c:ser>
          <c:idx val="62"/>
          <c:order val="55"/>
          <c:tx>
            <c:v>Neck 95th Right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Data'!$CC$3:$CC$45</c:f>
              <c:numCache>
                <c:formatCode>0.0</c:formatCode>
                <c:ptCount val="43"/>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46-02BD-4FCC-A03D-625C0E4D2895}"/>
            </c:ext>
          </c:extLst>
        </c:ser>
        <c:ser>
          <c:idx val="67"/>
          <c:order val="56"/>
          <c:tx>
            <c:v>R129 Annex 18 95th Shoulder Breadth Left</c:v>
          </c:tx>
          <c:spPr>
            <a:ln w="50800" cap="rnd">
              <a:solidFill>
                <a:srgbClr val="0070C0"/>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'R129 Annex 18 Data'!$L$3:$L$25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7-02BD-4FCC-A03D-625C0E4D2895}"/>
            </c:ext>
          </c:extLst>
        </c:ser>
        <c:ser>
          <c:idx val="68"/>
          <c:order val="57"/>
          <c:tx>
            <c:v>R129 Annex 18 95th Shoulder Breadth Right</c:v>
          </c:tx>
          <c:spPr>
            <a:ln w="50800" cap="rnd">
              <a:solidFill>
                <a:srgbClr val="0070C0"/>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'R129 Annex 18 Data'!$M$3:$M$25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8-02BD-4FCC-A03D-625C0E4D2895}"/>
            </c:ext>
          </c:extLst>
        </c:ser>
        <c:ser>
          <c:idx val="71"/>
          <c:order val="58"/>
          <c:tx>
            <c:v>EU ATD Q10.5 Shoulder Left</c:v>
          </c:tx>
          <c:spPr>
            <a:ln w="19050" cap="rnd">
              <a:solidFill>
                <a:srgbClr val="0070C0"/>
              </a:solidFill>
              <a:round/>
            </a:ln>
            <a:effectLst/>
          </c:spPr>
          <c:marker>
            <c:symbol val="circle"/>
            <c:size val="2"/>
            <c:spPr>
              <a:solidFill>
                <a:schemeClr val="accent6">
                  <a:lumMod val="80000"/>
                  <a:lumOff val="20000"/>
                </a:schemeClr>
              </a:solidFill>
              <a:ln w="9525">
                <a:solidFill>
                  <a:srgbClr val="0070C0"/>
                </a:solidFill>
              </a:ln>
              <a:effectLst/>
            </c:spPr>
          </c:marker>
          <c:dLbls>
            <c:dLbl>
              <c:idx val="2"/>
              <c:layout>
                <c:manualLayout>
                  <c:x val="-1.6920473773266893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9-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Solution!$AU$118:$AU$120</c:f>
              <c:numCache>
                <c:formatCode>0.0</c:formatCode>
                <c:ptCount val="3"/>
                <c:pt idx="0">
                  <c:v>0</c:v>
                </c:pt>
                <c:pt idx="1">
                  <c:v>0</c:v>
                </c:pt>
                <c:pt idx="2">
                  <c:v>0</c:v>
                </c:pt>
              </c:numCache>
            </c:numRef>
          </c:xVal>
          <c:yVal>
            <c:numRef>
              <c:f>Solution!$AV$118:$AV$120</c:f>
              <c:numCache>
                <c:formatCode>0.0</c:formatCode>
                <c:ptCount val="3"/>
                <c:pt idx="0">
                  <c:v>0</c:v>
                </c:pt>
                <c:pt idx="1">
                  <c:v>0</c:v>
                </c:pt>
                <c:pt idx="2">
                  <c:v>0</c:v>
                </c:pt>
              </c:numCache>
            </c:numRef>
          </c:yVal>
          <c:smooth val="1"/>
          <c:extLst>
            <c:ext xmlns:c16="http://schemas.microsoft.com/office/drawing/2014/chart" uri="{C3380CC4-5D6E-409C-BE32-E72D297353CC}">
              <c16:uniqueId val="{0000004A-02BD-4FCC-A03D-625C0E4D2895}"/>
            </c:ext>
          </c:extLst>
        </c:ser>
        <c:ser>
          <c:idx val="74"/>
          <c:order val="59"/>
          <c:tx>
            <c:v>US ATD HIII-10yr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299284543746752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B-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Solution!$AX$111:$AX$113</c:f>
              <c:numCache>
                <c:formatCode>General</c:formatCode>
                <c:ptCount val="3"/>
                <c:pt idx="0">
                  <c:v>0</c:v>
                </c:pt>
                <c:pt idx="1">
                  <c:v>0</c:v>
                </c:pt>
                <c:pt idx="2">
                  <c:v>0</c:v>
                </c:pt>
              </c:numCache>
            </c:numRef>
          </c:xVal>
          <c:yVal>
            <c:numRef>
              <c:f>Solution!$AY$111:$AY$113</c:f>
              <c:numCache>
                <c:formatCode>0.0</c:formatCode>
                <c:ptCount val="3"/>
                <c:pt idx="0">
                  <c:v>0</c:v>
                </c:pt>
                <c:pt idx="1">
                  <c:v>0</c:v>
                </c:pt>
                <c:pt idx="2">
                  <c:v>0</c:v>
                </c:pt>
              </c:numCache>
            </c:numRef>
          </c:yVal>
          <c:smooth val="1"/>
          <c:extLst>
            <c:ext xmlns:c16="http://schemas.microsoft.com/office/drawing/2014/chart" uri="{C3380CC4-5D6E-409C-BE32-E72D297353CC}">
              <c16:uniqueId val="{0000004C-02BD-4FCC-A03D-625C0E4D2895}"/>
            </c:ext>
          </c:extLst>
        </c:ser>
        <c:ser>
          <c:idx val="76"/>
          <c:order val="60"/>
          <c:tx>
            <c:v>US ATD CAMI-Newborn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D-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Solution!$AX$27:$AX$29</c:f>
              <c:numCache>
                <c:formatCode>General</c:formatCode>
                <c:ptCount val="3"/>
                <c:pt idx="0">
                  <c:v>-6.4418181818181814</c:v>
                </c:pt>
                <c:pt idx="1">
                  <c:v>-8.493927272727273</c:v>
                </c:pt>
                <c:pt idx="2">
                  <c:v>-9</c:v>
                </c:pt>
              </c:numCache>
            </c:numRef>
          </c:xVal>
          <c:yVal>
            <c:numRef>
              <c:f>Solution!$AY$27:$AY$29</c:f>
              <c:numCache>
                <c:formatCode>0.0</c:formatCode>
                <c:ptCount val="3"/>
                <c:pt idx="0">
                  <c:v>26.7</c:v>
                </c:pt>
                <c:pt idx="1">
                  <c:v>26.060454545454544</c:v>
                </c:pt>
                <c:pt idx="2">
                  <c:v>24.141818181818181</c:v>
                </c:pt>
              </c:numCache>
            </c:numRef>
          </c:yVal>
          <c:smooth val="1"/>
          <c:extLst>
            <c:ext xmlns:c16="http://schemas.microsoft.com/office/drawing/2014/chart" uri="{C3380CC4-5D6E-409C-BE32-E72D297353CC}">
              <c16:uniqueId val="{0000004E-02BD-4FCC-A03D-625C0E4D2895}"/>
            </c:ext>
          </c:extLst>
        </c:ser>
        <c:ser>
          <c:idx val="78"/>
          <c:order val="61"/>
          <c:tx>
            <c:v>US ATD CAMI-6mo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F-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Solution!$AX$34:$AX$36</c:f>
              <c:numCache>
                <c:formatCode>General</c:formatCode>
                <c:ptCount val="3"/>
                <c:pt idx="0">
                  <c:v>-6.6736363636363638</c:v>
                </c:pt>
                <c:pt idx="1">
                  <c:v>-9.087863636363636</c:v>
                </c:pt>
                <c:pt idx="2">
                  <c:v>-9.5</c:v>
                </c:pt>
              </c:numCache>
            </c:numRef>
          </c:xVal>
          <c:yVal>
            <c:numRef>
              <c:f>Solution!$AY$34:$AY$36</c:f>
              <c:numCache>
                <c:formatCode>0.0</c:formatCode>
                <c:ptCount val="3"/>
                <c:pt idx="0">
                  <c:v>29</c:v>
                </c:pt>
                <c:pt idx="1">
                  <c:v>28.293409090909091</c:v>
                </c:pt>
                <c:pt idx="2">
                  <c:v>26.173636363636362</c:v>
                </c:pt>
              </c:numCache>
            </c:numRef>
          </c:yVal>
          <c:smooth val="1"/>
          <c:extLst>
            <c:ext xmlns:c16="http://schemas.microsoft.com/office/drawing/2014/chart" uri="{C3380CC4-5D6E-409C-BE32-E72D297353CC}">
              <c16:uniqueId val="{00000050-02BD-4FCC-A03D-625C0E4D2895}"/>
            </c:ext>
          </c:extLst>
        </c:ser>
        <c:ser>
          <c:idx val="80"/>
          <c:order val="62"/>
          <c:tx>
            <c:v>US ATD HIII-6yr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4641285956006769"/>
                  <c:y val="3.731343283582089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1-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Solution!$AX$97:$AX$99</c:f>
              <c:numCache>
                <c:formatCode>General</c:formatCode>
                <c:ptCount val="3"/>
                <c:pt idx="0">
                  <c:v>0</c:v>
                </c:pt>
                <c:pt idx="1">
                  <c:v>0</c:v>
                </c:pt>
                <c:pt idx="2">
                  <c:v>0</c:v>
                </c:pt>
              </c:numCache>
            </c:numRef>
          </c:xVal>
          <c:yVal>
            <c:numRef>
              <c:f>Solution!$AY$97:$AY$99</c:f>
              <c:numCache>
                <c:formatCode>0.0</c:formatCode>
                <c:ptCount val="3"/>
                <c:pt idx="0">
                  <c:v>0</c:v>
                </c:pt>
                <c:pt idx="1">
                  <c:v>0</c:v>
                </c:pt>
                <c:pt idx="2">
                  <c:v>0</c:v>
                </c:pt>
              </c:numCache>
            </c:numRef>
          </c:yVal>
          <c:smooth val="1"/>
          <c:extLst>
            <c:ext xmlns:c16="http://schemas.microsoft.com/office/drawing/2014/chart" uri="{C3380CC4-5D6E-409C-BE32-E72D297353CC}">
              <c16:uniqueId val="{00000052-02BD-4FCC-A03D-625C0E4D2895}"/>
            </c:ext>
          </c:extLst>
        </c:ser>
        <c:ser>
          <c:idx val="82"/>
          <c:order val="63"/>
          <c:tx>
            <c:v>US ATD HIII-6yr wtd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7892548329935914"/>
                  <c:y val="-4.664179104477611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3-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Solution!$AX$104:$AX$106</c:f>
              <c:numCache>
                <c:formatCode>General</c:formatCode>
                <c:ptCount val="3"/>
                <c:pt idx="0">
                  <c:v>0</c:v>
                </c:pt>
                <c:pt idx="1">
                  <c:v>0</c:v>
                </c:pt>
                <c:pt idx="2">
                  <c:v>0</c:v>
                </c:pt>
              </c:numCache>
            </c:numRef>
          </c:xVal>
          <c:yVal>
            <c:numRef>
              <c:f>Solution!$AY$104:$AY$106</c:f>
              <c:numCache>
                <c:formatCode>0.0</c:formatCode>
                <c:ptCount val="3"/>
                <c:pt idx="0">
                  <c:v>0</c:v>
                </c:pt>
                <c:pt idx="1">
                  <c:v>0</c:v>
                </c:pt>
                <c:pt idx="2">
                  <c:v>0</c:v>
                </c:pt>
              </c:numCache>
            </c:numRef>
          </c:yVal>
          <c:smooth val="1"/>
          <c:extLst>
            <c:ext xmlns:c16="http://schemas.microsoft.com/office/drawing/2014/chart" uri="{C3380CC4-5D6E-409C-BE32-E72D297353CC}">
              <c16:uniqueId val="{00000054-02BD-4FCC-A03D-625C0E4D2895}"/>
            </c:ext>
          </c:extLst>
        </c:ser>
        <c:ser>
          <c:idx val="83"/>
          <c:order val="64"/>
          <c:tx>
            <c:v>EU ATD Q6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5-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Solution!$AU$90:$AU$92</c:f>
              <c:numCache>
                <c:formatCode>0.0</c:formatCode>
                <c:ptCount val="3"/>
                <c:pt idx="0">
                  <c:v>0</c:v>
                </c:pt>
                <c:pt idx="1">
                  <c:v>0</c:v>
                </c:pt>
                <c:pt idx="2">
                  <c:v>0</c:v>
                </c:pt>
              </c:numCache>
            </c:numRef>
          </c:xVal>
          <c:yVal>
            <c:numRef>
              <c:f>Solution!$AV$90:$AV$92</c:f>
              <c:numCache>
                <c:formatCode>0.0</c:formatCode>
                <c:ptCount val="3"/>
                <c:pt idx="0">
                  <c:v>0</c:v>
                </c:pt>
                <c:pt idx="1">
                  <c:v>0</c:v>
                </c:pt>
                <c:pt idx="2">
                  <c:v>0</c:v>
                </c:pt>
              </c:numCache>
            </c:numRef>
          </c:yVal>
          <c:smooth val="1"/>
          <c:extLst>
            <c:ext xmlns:c16="http://schemas.microsoft.com/office/drawing/2014/chart" uri="{C3380CC4-5D6E-409C-BE32-E72D297353CC}">
              <c16:uniqueId val="{00000056-02BD-4FCC-A03D-625C0E4D2895}"/>
            </c:ext>
          </c:extLst>
        </c:ser>
        <c:ser>
          <c:idx val="86"/>
          <c:order val="65"/>
          <c:tx>
            <c:v>US ATD HIII-3yr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7-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Solution!$AX$83:$AX$85</c:f>
              <c:numCache>
                <c:formatCode>General</c:formatCode>
                <c:ptCount val="3"/>
                <c:pt idx="0">
                  <c:v>0</c:v>
                </c:pt>
                <c:pt idx="1">
                  <c:v>0</c:v>
                </c:pt>
                <c:pt idx="2">
                  <c:v>0</c:v>
                </c:pt>
              </c:numCache>
            </c:numRef>
          </c:xVal>
          <c:yVal>
            <c:numRef>
              <c:f>Solution!$AY$83:$AY$85</c:f>
              <c:numCache>
                <c:formatCode>0.0</c:formatCode>
                <c:ptCount val="3"/>
                <c:pt idx="0">
                  <c:v>0</c:v>
                </c:pt>
                <c:pt idx="1">
                  <c:v>0</c:v>
                </c:pt>
                <c:pt idx="2">
                  <c:v>0</c:v>
                </c:pt>
              </c:numCache>
            </c:numRef>
          </c:yVal>
          <c:smooth val="1"/>
          <c:extLst>
            <c:ext xmlns:c16="http://schemas.microsoft.com/office/drawing/2014/chart" uri="{C3380CC4-5D6E-409C-BE32-E72D297353CC}">
              <c16:uniqueId val="{00000058-02BD-4FCC-A03D-625C0E4D2895}"/>
            </c:ext>
          </c:extLst>
        </c:ser>
        <c:ser>
          <c:idx val="87"/>
          <c:order val="66"/>
          <c:tx>
            <c:v>EU ATD Q0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3536379018612646E-2"/>
                  <c:y val="1.119402985074626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9-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Solution!$AU$41:$AU$43</c:f>
              <c:numCache>
                <c:formatCode>0.0</c:formatCode>
                <c:ptCount val="3"/>
                <c:pt idx="0">
                  <c:v>0</c:v>
                </c:pt>
                <c:pt idx="1">
                  <c:v>0</c:v>
                </c:pt>
                <c:pt idx="2">
                  <c:v>0</c:v>
                </c:pt>
              </c:numCache>
            </c:numRef>
          </c:xVal>
          <c:yVal>
            <c:numRef>
              <c:f>Solution!$AV$41:$AV$43</c:f>
              <c:numCache>
                <c:formatCode>0.0</c:formatCode>
                <c:ptCount val="3"/>
                <c:pt idx="0">
                  <c:v>0</c:v>
                </c:pt>
                <c:pt idx="1">
                  <c:v>0</c:v>
                </c:pt>
                <c:pt idx="2">
                  <c:v>0</c:v>
                </c:pt>
              </c:numCache>
            </c:numRef>
          </c:yVal>
          <c:smooth val="1"/>
          <c:extLst>
            <c:ext xmlns:c16="http://schemas.microsoft.com/office/drawing/2014/chart" uri="{C3380CC4-5D6E-409C-BE32-E72D297353CC}">
              <c16:uniqueId val="{0000005A-02BD-4FCC-A03D-625C0E4D2895}"/>
            </c:ext>
          </c:extLst>
        </c:ser>
        <c:ser>
          <c:idx val="89"/>
          <c:order val="67"/>
          <c:tx>
            <c:v>EU ATD Q1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8612521150592216E-2"/>
                  <c:y val="1.212686567164172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B-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Solution!$AU$48:$AU$50</c:f>
              <c:numCache>
                <c:formatCode>0.0</c:formatCode>
                <c:ptCount val="3"/>
                <c:pt idx="0">
                  <c:v>0</c:v>
                </c:pt>
                <c:pt idx="1">
                  <c:v>0</c:v>
                </c:pt>
                <c:pt idx="2">
                  <c:v>0</c:v>
                </c:pt>
              </c:numCache>
            </c:numRef>
          </c:xVal>
          <c:yVal>
            <c:numRef>
              <c:f>Solution!$AV$48:$AV$50</c:f>
              <c:numCache>
                <c:formatCode>0.0</c:formatCode>
                <c:ptCount val="3"/>
                <c:pt idx="0">
                  <c:v>0</c:v>
                </c:pt>
                <c:pt idx="1">
                  <c:v>0</c:v>
                </c:pt>
                <c:pt idx="2">
                  <c:v>0</c:v>
                </c:pt>
              </c:numCache>
            </c:numRef>
          </c:yVal>
          <c:smooth val="1"/>
          <c:extLst>
            <c:ext xmlns:c16="http://schemas.microsoft.com/office/drawing/2014/chart" uri="{C3380CC4-5D6E-409C-BE32-E72D297353CC}">
              <c16:uniqueId val="{0000005C-02BD-4FCC-A03D-625C0E4D2895}"/>
            </c:ext>
          </c:extLst>
        </c:ser>
        <c:ser>
          <c:idx val="91"/>
          <c:order val="68"/>
          <c:tx>
            <c:v>UE ATD Q3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D-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Solution!$AU$76:$AU$78</c:f>
              <c:numCache>
                <c:formatCode>0.0</c:formatCode>
                <c:ptCount val="3"/>
                <c:pt idx="0">
                  <c:v>0</c:v>
                </c:pt>
                <c:pt idx="1">
                  <c:v>0</c:v>
                </c:pt>
                <c:pt idx="2">
                  <c:v>0</c:v>
                </c:pt>
              </c:numCache>
            </c:numRef>
          </c:xVal>
          <c:yVal>
            <c:numRef>
              <c:f>Solution!$AV$76:$AV$78</c:f>
              <c:numCache>
                <c:formatCode>0.0</c:formatCode>
                <c:ptCount val="3"/>
                <c:pt idx="0">
                  <c:v>0</c:v>
                </c:pt>
                <c:pt idx="1">
                  <c:v>0</c:v>
                </c:pt>
                <c:pt idx="2">
                  <c:v>0</c:v>
                </c:pt>
              </c:numCache>
            </c:numRef>
          </c:yVal>
          <c:smooth val="1"/>
          <c:extLst>
            <c:ext xmlns:c16="http://schemas.microsoft.com/office/drawing/2014/chart" uri="{C3380CC4-5D6E-409C-BE32-E72D297353CC}">
              <c16:uniqueId val="{0000005E-02BD-4FCC-A03D-625C0E4D2895}"/>
            </c:ext>
          </c:extLst>
        </c:ser>
        <c:ser>
          <c:idx val="94"/>
          <c:order val="69"/>
          <c:tx>
            <c:v>US ATD CRABI 18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F-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Solution!$AX$69:$AX$71</c:f>
              <c:numCache>
                <c:formatCode>General</c:formatCode>
                <c:ptCount val="3"/>
                <c:pt idx="0">
                  <c:v>-7.1372727272727277</c:v>
                </c:pt>
                <c:pt idx="1">
                  <c:v>-10.727304545454544</c:v>
                </c:pt>
                <c:pt idx="2">
                  <c:v>-11.2</c:v>
                </c:pt>
              </c:numCache>
            </c:numRef>
          </c:xVal>
          <c:yVal>
            <c:numRef>
              <c:f>Solution!$AY$69:$AY$71</c:f>
              <c:numCache>
                <c:formatCode>0.0</c:formatCode>
                <c:ptCount val="3"/>
                <c:pt idx="0">
                  <c:v>34.5</c:v>
                </c:pt>
                <c:pt idx="1">
                  <c:v>33.484318181818182</c:v>
                </c:pt>
                <c:pt idx="2">
                  <c:v>30.437272727272727</c:v>
                </c:pt>
              </c:numCache>
            </c:numRef>
          </c:yVal>
          <c:smooth val="1"/>
          <c:extLst>
            <c:ext xmlns:c16="http://schemas.microsoft.com/office/drawing/2014/chart" uri="{C3380CC4-5D6E-409C-BE32-E72D297353CC}">
              <c16:uniqueId val="{00000060-02BD-4FCC-A03D-625C0E4D2895}"/>
            </c:ext>
          </c:extLst>
        </c:ser>
        <c:ser>
          <c:idx val="95"/>
          <c:order val="70"/>
          <c:tx>
            <c:v>EU ATD Q1.5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4602368866328256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1-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Solution!$AU$62:$AU$64</c:f>
              <c:numCache>
                <c:formatCode>0.0</c:formatCode>
                <c:ptCount val="3"/>
                <c:pt idx="0">
                  <c:v>0</c:v>
                </c:pt>
                <c:pt idx="1">
                  <c:v>0</c:v>
                </c:pt>
                <c:pt idx="2">
                  <c:v>0</c:v>
                </c:pt>
              </c:numCache>
            </c:numRef>
          </c:xVal>
          <c:yVal>
            <c:numRef>
              <c:f>Solution!$AV$62:$AV$64</c:f>
              <c:numCache>
                <c:formatCode>0.0</c:formatCode>
                <c:ptCount val="3"/>
                <c:pt idx="0">
                  <c:v>0</c:v>
                </c:pt>
                <c:pt idx="1">
                  <c:v>0</c:v>
                </c:pt>
                <c:pt idx="2">
                  <c:v>0</c:v>
                </c:pt>
              </c:numCache>
            </c:numRef>
          </c:yVal>
          <c:smooth val="1"/>
          <c:extLst>
            <c:ext xmlns:c16="http://schemas.microsoft.com/office/drawing/2014/chart" uri="{C3380CC4-5D6E-409C-BE32-E72D297353CC}">
              <c16:uniqueId val="{00000062-02BD-4FCC-A03D-625C0E4D2895}"/>
            </c:ext>
          </c:extLst>
        </c:ser>
        <c:ser>
          <c:idx val="98"/>
          <c:order val="71"/>
          <c:tx>
            <c:v>US ATD CRABI 12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3-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Solution!$AX$55:$AX$57</c:f>
              <c:numCache>
                <c:formatCode>General</c:formatCode>
                <c:ptCount val="3"/>
                <c:pt idx="0">
                  <c:v>-6.9054545454545462</c:v>
                </c:pt>
                <c:pt idx="1">
                  <c:v>-10.182163636363635</c:v>
                </c:pt>
                <c:pt idx="2">
                  <c:v>-10.65</c:v>
                </c:pt>
              </c:numCache>
            </c:numRef>
          </c:xVal>
          <c:yVal>
            <c:numRef>
              <c:f>Solution!$AY$55:$AY$57</c:f>
              <c:numCache>
                <c:formatCode>0.0</c:formatCode>
                <c:ptCount val="3"/>
                <c:pt idx="0">
                  <c:v>32.700000000000003</c:v>
                </c:pt>
                <c:pt idx="1">
                  <c:v>31.763863636363638</c:v>
                </c:pt>
                <c:pt idx="2">
                  <c:v>28.95545454545455</c:v>
                </c:pt>
              </c:numCache>
            </c:numRef>
          </c:yVal>
          <c:smooth val="1"/>
          <c:extLst>
            <c:ext xmlns:c16="http://schemas.microsoft.com/office/drawing/2014/chart" uri="{C3380CC4-5D6E-409C-BE32-E72D297353CC}">
              <c16:uniqueId val="{00000064-02BD-4FCC-A03D-625C0E4D2895}"/>
            </c:ext>
          </c:extLst>
        </c:ser>
        <c:ser>
          <c:idx val="99"/>
          <c:order val="72"/>
          <c:tx>
            <c:v>Seated 5th</c:v>
          </c:tx>
          <c:spPr>
            <a:ln w="0" cap="rnd">
              <a:noFill/>
              <a:round/>
            </a:ln>
            <a:effectLst/>
          </c:spPr>
          <c:marker>
            <c:symbol val="dash"/>
            <c:size val="15"/>
            <c:spPr>
              <a:solidFill>
                <a:schemeClr val="accent5">
                  <a:lumMod val="60000"/>
                  <a:lumOff val="4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Data'!$K$3:$K$45</c:f>
              <c:numCache>
                <c:formatCode>0.0</c:formatCode>
                <c:ptCount val="43"/>
                <c:pt idx="0">
                  <c:v>33.75</c:v>
                </c:pt>
                <c:pt idx="1">
                  <c:v>40.353999999999999</c:v>
                </c:pt>
                <c:pt idx="2">
                  <c:v>45.433999999999997</c:v>
                </c:pt>
                <c:pt idx="3">
                  <c:v>47.973999999999997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5-02BD-4FCC-A03D-625C0E4D2895}"/>
            </c:ext>
          </c:extLst>
        </c:ser>
        <c:ser>
          <c:idx val="100"/>
          <c:order val="73"/>
          <c:tx>
            <c:v>Seated Mean</c:v>
          </c:tx>
          <c:spPr>
            <a:ln w="0" cap="rnd">
              <a:solidFill>
                <a:schemeClr val="bg1"/>
              </a:solidFill>
              <a:round/>
            </a:ln>
            <a:effectLst/>
          </c:spPr>
          <c:marker>
            <c:symbol val="dash"/>
            <c:size val="15"/>
            <c:spPr>
              <a:solidFill>
                <a:srgbClr val="00B050"/>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Data'!$L$3:$L$45</c:f>
              <c:numCache>
                <c:formatCode>0.0</c:formatCode>
                <c:ptCount val="43"/>
                <c:pt idx="0">
                  <c:v>39.845999999999997</c:v>
                </c:pt>
                <c:pt idx="1">
                  <c:v>45.942</c:v>
                </c:pt>
                <c:pt idx="2">
                  <c:v>50.006</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6-02BD-4FCC-A03D-625C0E4D2895}"/>
            </c:ext>
          </c:extLst>
        </c:ser>
        <c:ser>
          <c:idx val="101"/>
          <c:order val="74"/>
          <c:tx>
            <c:v>Seated 95th</c:v>
          </c:tx>
          <c:spPr>
            <a:ln w="0" cap="rnd">
              <a:noFill/>
              <a:round/>
            </a:ln>
            <a:effectLst/>
          </c:spPr>
          <c:marker>
            <c:symbol val="dash"/>
            <c:size val="15"/>
            <c:spPr>
              <a:solidFill>
                <a:schemeClr val="accent4">
                  <a:lumMod val="5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Data'!$M$3:$M$45</c:f>
              <c:numCache>
                <c:formatCode>0.0</c:formatCode>
                <c:ptCount val="43"/>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7-02BD-4FCC-A03D-625C0E4D2895}"/>
            </c:ext>
          </c:extLst>
        </c:ser>
        <c:ser>
          <c:idx val="0"/>
          <c:order val="75"/>
          <c:tx>
            <c:v>Crotch 5th Depth</c:v>
          </c:tx>
          <c:spPr>
            <a:ln w="19050" cap="rnd">
              <a:solidFill>
                <a:schemeClr val="accent1"/>
              </a:solidFill>
              <a:round/>
            </a:ln>
            <a:effectLst/>
          </c:spPr>
          <c:marker>
            <c:symbol val="circle"/>
            <c:size val="5"/>
            <c:spPr>
              <a:solidFill>
                <a:schemeClr val="accent5">
                  <a:lumMod val="60000"/>
                  <a:lumOff val="4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Data'!$AA$55:$AA$97</c:f>
              <c:numCache>
                <c:formatCode>0.00</c:formatCode>
                <c:ptCount val="43"/>
                <c:pt idx="0">
                  <c:v>-10.121395999999999</c:v>
                </c:pt>
                <c:pt idx="1">
                  <c:v>-10.90016</c:v>
                </c:pt>
                <c:pt idx="2">
                  <c:v>-11.419335999999999</c:v>
                </c:pt>
                <c:pt idx="3">
                  <c:v>-11.493504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8-02BD-4FCC-A03D-625C0E4D2895}"/>
            </c:ext>
          </c:extLst>
        </c:ser>
        <c:ser>
          <c:idx val="1"/>
          <c:order val="76"/>
          <c:tx>
            <c:v>Mean Crotch Depth</c:v>
          </c:tx>
          <c:spPr>
            <a:ln w="19050" cap="rnd">
              <a:solidFill>
                <a:schemeClr val="accent2"/>
              </a:solidFill>
              <a:round/>
            </a:ln>
            <a:effectLst/>
          </c:spPr>
          <c:marker>
            <c:symbol val="circle"/>
            <c:size val="5"/>
            <c:spPr>
              <a:solidFill>
                <a:srgbClr val="00B050"/>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Data'!$AB$55:$AB$97</c:f>
              <c:numCache>
                <c:formatCode>0.00</c:formatCode>
                <c:ptCount val="43"/>
                <c:pt idx="0">
                  <c:v>-11.64184</c:v>
                </c:pt>
                <c:pt idx="1">
                  <c:v>-12.383520000000001</c:v>
                </c:pt>
                <c:pt idx="2">
                  <c:v>-12.939780000000001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9-02BD-4FCC-A03D-625C0E4D2895}"/>
            </c:ext>
          </c:extLst>
        </c:ser>
        <c:ser>
          <c:idx val="2"/>
          <c:order val="77"/>
          <c:tx>
            <c:v>95th Crotch Depth</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Data'!$AC$55:$AC$97</c:f>
              <c:numCache>
                <c:formatCode>0.00</c:formatCode>
                <c:ptCount val="43"/>
                <c:pt idx="0">
                  <c:v>-13.162284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6A-02BD-4FCC-A03D-625C0E4D2895}"/>
            </c:ext>
          </c:extLst>
        </c:ser>
        <c:ser>
          <c:idx val="3"/>
          <c:order val="78"/>
          <c:tx>
            <c:v>Hip Width Left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Data'!$BO$3:$BO$45</c:f>
              <c:numCache>
                <c:formatCode>0.0</c:formatCode>
                <c:ptCount val="43"/>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B-02BD-4FCC-A03D-625C0E4D2895}"/>
            </c:ext>
          </c:extLst>
        </c:ser>
        <c:ser>
          <c:idx val="4"/>
          <c:order val="79"/>
          <c:tx>
            <c:v>Hip Width Right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'Big Data'!$BK$3:$BK$45</c:f>
              <c:numCache>
                <c:formatCode>0.0</c:formatCode>
                <c:ptCount val="43"/>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C-02BD-4FCC-A03D-625C0E4D2895}"/>
            </c:ext>
          </c:extLst>
        </c:ser>
        <c:ser>
          <c:idx val="5"/>
          <c:order val="80"/>
          <c:tx>
            <c:v>Hip Width Left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'Big Data'!$BP$3:$BP$45</c:f>
              <c:numCache>
                <c:formatCode>0.0</c:formatCode>
                <c:ptCount val="43"/>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D-02BD-4FCC-A03D-625C0E4D2895}"/>
            </c:ext>
          </c:extLst>
        </c:ser>
        <c:ser>
          <c:idx val="6"/>
          <c:order val="81"/>
          <c:tx>
            <c:v>Hip Width Right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'Big Data'!$BL$3:$BL$45</c:f>
              <c:numCache>
                <c:formatCode>0.0</c:formatCode>
                <c:ptCount val="43"/>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E-02BD-4FCC-A03D-625C0E4D2895}"/>
            </c:ext>
          </c:extLst>
        </c:ser>
        <c:ser>
          <c:idx val="7"/>
          <c:order val="82"/>
          <c:tx>
            <c:v>Hip Width Left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Data'!$BQ$3:$BQ$45</c:f>
              <c:numCache>
                <c:formatCode>0.0</c:formatCode>
                <c:ptCount val="43"/>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6F-02BD-4FCC-A03D-625C0E4D2895}"/>
            </c:ext>
          </c:extLst>
        </c:ser>
        <c:ser>
          <c:idx val="8"/>
          <c:order val="83"/>
          <c:tx>
            <c:v>Hip Width Right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Data'!$BM$3:$BM$45</c:f>
              <c:numCache>
                <c:formatCode>0.0</c:formatCode>
                <c:ptCount val="43"/>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Data'!$BN$3:$BN$45</c:f>
              <c:numCache>
                <c:formatCode>0.0</c:formatCode>
                <c:ptCount val="43"/>
              </c:numCache>
            </c:numRef>
          </c:yVal>
          <c:smooth val="1"/>
          <c:extLst>
            <c:ext xmlns:c16="http://schemas.microsoft.com/office/drawing/2014/chart" uri="{C3380CC4-5D6E-409C-BE32-E72D297353CC}">
              <c16:uniqueId val="{00000070-02BD-4FCC-A03D-625C0E4D2895}"/>
            </c:ext>
          </c:extLst>
        </c:ser>
        <c:ser>
          <c:idx val="64"/>
          <c:order val="84"/>
          <c:tx>
            <c:v>Biacromial Shoulder Breadth 5th Left</c:v>
          </c:tx>
          <c:spPr>
            <a:ln w="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Data'!$BW$3:$BW$45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1-02BD-4FCC-A03D-625C0E4D2895}"/>
            </c:ext>
          </c:extLst>
        </c:ser>
        <c:ser>
          <c:idx val="63"/>
          <c:order val="85"/>
          <c:tx>
            <c:v>Biacromial Shoulder Breadth 5th Right</c:v>
          </c:tx>
          <c:spPr>
            <a:ln w="19050" cap="rnd">
              <a:noFill/>
              <a:round/>
            </a:ln>
            <a:effectLst/>
          </c:spPr>
          <c:marker>
            <c:symbol val="circle"/>
            <c:size val="5"/>
            <c:spPr>
              <a:solidFill>
                <a:schemeClr val="accent5">
                  <a:lumMod val="60000"/>
                  <a:lumOff val="40000"/>
                </a:schemeClr>
              </a:solidFill>
              <a:ln w="9525">
                <a:solidFill>
                  <a:schemeClr val="tx1"/>
                </a:solidFill>
              </a:ln>
              <a:effectLst/>
            </c:spPr>
          </c:marker>
          <c:xVal>
            <c:numRef>
              <c:f>'Big Data'!$BS$3:$BS$45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Data'!$O$3:$O$45</c:f>
              <c:numCache>
                <c:formatCode>0.0</c:formatCode>
                <c:ptCount val="43"/>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2-02BD-4FCC-A03D-625C0E4D2895}"/>
            </c:ext>
          </c:extLst>
        </c:ser>
        <c:ser>
          <c:idx val="66"/>
          <c:order val="86"/>
          <c:tx>
            <c:v>Biacromial Shoulder Breadth Mean Left</c:v>
          </c:tx>
          <c:spPr>
            <a:ln w="0" cap="rnd">
              <a:noFill/>
              <a:round/>
            </a:ln>
            <a:effectLst/>
          </c:spPr>
          <c:marker>
            <c:symbol val="circle"/>
            <c:size val="5"/>
            <c:spPr>
              <a:solidFill>
                <a:srgbClr val="00B050"/>
              </a:solidFill>
              <a:ln w="9525">
                <a:solidFill>
                  <a:schemeClr val="tx1"/>
                </a:solidFill>
              </a:ln>
              <a:effectLst/>
            </c:spPr>
          </c:marker>
          <c:xVal>
            <c:numRef>
              <c:f>'Big Data'!$BX$3:$BX$45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3-02BD-4FCC-A03D-625C0E4D2895}"/>
            </c:ext>
          </c:extLst>
        </c:ser>
        <c:ser>
          <c:idx val="65"/>
          <c:order val="87"/>
          <c:tx>
            <c:v>Biacromial Shoulder Breadth Mean Right</c:v>
          </c:tx>
          <c:spPr>
            <a:ln w="0" cap="rnd">
              <a:noFill/>
              <a:round/>
            </a:ln>
            <a:effectLst/>
          </c:spPr>
          <c:marker>
            <c:symbol val="circle"/>
            <c:size val="5"/>
            <c:spPr>
              <a:solidFill>
                <a:srgbClr val="00B050"/>
              </a:solidFill>
              <a:ln w="9525">
                <a:solidFill>
                  <a:schemeClr val="tx1"/>
                </a:solidFill>
              </a:ln>
              <a:effectLst/>
            </c:spPr>
          </c:marker>
          <c:xVal>
            <c:numRef>
              <c:f>'Big Data'!$BT$3:$BT$45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Data'!$P$3:$P$45</c:f>
              <c:numCache>
                <c:formatCode>0.0</c:formatCode>
                <c:ptCount val="43"/>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4-02BD-4FCC-A03D-625C0E4D2895}"/>
            </c:ext>
          </c:extLst>
        </c:ser>
        <c:ser>
          <c:idx val="103"/>
          <c:order val="88"/>
          <c:tx>
            <c:v>Biacromial Shoulder Breadth 95th Left</c:v>
          </c:tx>
          <c:spPr>
            <a:ln w="0" cap="rnd">
              <a:noFill/>
              <a:round/>
            </a:ln>
            <a:effectLst/>
          </c:spPr>
          <c:marker>
            <c:symbol val="circle"/>
            <c:size val="5"/>
            <c:spPr>
              <a:solidFill>
                <a:schemeClr val="accent4">
                  <a:lumMod val="50000"/>
                </a:schemeClr>
              </a:solidFill>
              <a:ln w="9525">
                <a:solidFill>
                  <a:schemeClr val="tx1"/>
                </a:solidFill>
              </a:ln>
              <a:effectLst/>
            </c:spPr>
          </c:marker>
          <c:xVal>
            <c:numRef>
              <c:f>'Big Data'!$BY$3:$BY$45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5-02BD-4FCC-A03D-625C0E4D2895}"/>
            </c:ext>
          </c:extLst>
        </c:ser>
        <c:ser>
          <c:idx val="102"/>
          <c:order val="89"/>
          <c:tx>
            <c:v>Biacromial Shoulder Breadth 95th Right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'Big Data'!$BU$3:$BU$45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Data'!$Q$3:$Q$45</c:f>
              <c:numCache>
                <c:formatCode>0.0</c:formatCode>
                <c:ptCount val="43"/>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76-02BD-4FCC-A03D-625C0E4D2895}"/>
            </c:ext>
          </c:extLst>
        </c:ser>
        <c:ser>
          <c:idx val="104"/>
          <c:order val="90"/>
          <c:tx>
            <c:v>US ATD CAMI-Newborn Seated Height</c:v>
          </c:tx>
          <c:spPr>
            <a:ln w="19050" cap="rnd">
              <a:solidFill>
                <a:schemeClr val="accent3">
                  <a:lumMod val="50000"/>
                  <a:lumOff val="50000"/>
                </a:schemeClr>
              </a:solidFill>
              <a:round/>
            </a:ln>
            <a:effectLst/>
          </c:spPr>
          <c:marker>
            <c:symbol val="dash"/>
            <c:size val="15"/>
            <c:spPr>
              <a:solidFill>
                <a:srgbClr val="FF0000"/>
              </a:solidFill>
              <a:ln w="9525">
                <a:solidFill>
                  <a:schemeClr val="tx1"/>
                </a:solidFill>
              </a:ln>
              <a:effectLst/>
            </c:spPr>
          </c:marker>
          <c:dLbls>
            <c:dLbl>
              <c:idx val="0"/>
              <c:layout>
                <c:manualLayout>
                  <c:x val="-0.24305663629036514"/>
                  <c:y val="-1.1002179470285711E-3"/>
                </c:manualLayout>
              </c:layout>
              <c:numFmt formatCode="#&quot;&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9883680302192627"/>
                      <c:h val="2.3089025950831486E-2"/>
                    </c:manualLayout>
                  </c15:layout>
                </c:ext>
                <c:ext xmlns:c16="http://schemas.microsoft.com/office/drawing/2014/chart" uri="{C3380CC4-5D6E-409C-BE32-E72D297353CC}">
                  <c16:uniqueId val="{00000077-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Solution!$AH$20</c:f>
              <c:numCache>
                <c:formatCode>General</c:formatCode>
                <c:ptCount val="1"/>
                <c:pt idx="0">
                  <c:v>0</c:v>
                </c:pt>
              </c:numCache>
            </c:numRef>
          </c:xVal>
          <c:yVal>
            <c:numRef>
              <c:f>Solution!$AA$20</c:f>
              <c:numCache>
                <c:formatCode>0.0</c:formatCode>
                <c:ptCount val="1"/>
                <c:pt idx="0">
                  <c:v>36.299999999999997</c:v>
                </c:pt>
              </c:numCache>
            </c:numRef>
          </c:yVal>
          <c:smooth val="1"/>
          <c:extLst>
            <c:ext xmlns:c16="http://schemas.microsoft.com/office/drawing/2014/chart" uri="{C3380CC4-5D6E-409C-BE32-E72D297353CC}">
              <c16:uniqueId val="{00000078-02BD-4FCC-A03D-625C0E4D2895}"/>
            </c:ext>
          </c:extLst>
        </c:ser>
        <c:ser>
          <c:idx val="105"/>
          <c:order val="91"/>
          <c:tx>
            <c:v>US ATD CAMI-6mo Seated Height</c:v>
          </c:tx>
          <c:spPr>
            <a:ln w="19050" cap="rnd">
              <a:solidFill>
                <a:schemeClr val="accent4">
                  <a:lumMod val="50000"/>
                  <a:lumOff val="5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Solution!$AH$21</c:f>
              <c:numCache>
                <c:formatCode>General</c:formatCode>
                <c:ptCount val="1"/>
                <c:pt idx="0">
                  <c:v>0</c:v>
                </c:pt>
              </c:numCache>
            </c:numRef>
          </c:xVal>
          <c:yVal>
            <c:numRef>
              <c:f>Solution!$AA$21</c:f>
              <c:numCache>
                <c:formatCode>0.0</c:formatCode>
                <c:ptCount val="1"/>
                <c:pt idx="0">
                  <c:v>46.45</c:v>
                </c:pt>
              </c:numCache>
            </c:numRef>
          </c:yVal>
          <c:smooth val="1"/>
          <c:extLst>
            <c:ext xmlns:c16="http://schemas.microsoft.com/office/drawing/2014/chart" uri="{C3380CC4-5D6E-409C-BE32-E72D297353CC}">
              <c16:uniqueId val="{00000079-02BD-4FCC-A03D-625C0E4D2895}"/>
            </c:ext>
          </c:extLst>
        </c:ser>
        <c:ser>
          <c:idx val="106"/>
          <c:order val="92"/>
          <c:tx>
            <c:v>EU ATD Q0 Seated Height</c:v>
          </c:tx>
          <c:spPr>
            <a:ln w="19050" cap="rnd">
              <a:solidFill>
                <a:schemeClr val="accent5">
                  <a:lumMod val="50000"/>
                  <a:lumOff val="50000"/>
                </a:schemeClr>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Solution!$AH$22</c:f>
              <c:numCache>
                <c:formatCode>General</c:formatCode>
                <c:ptCount val="1"/>
                <c:pt idx="0">
                  <c:v>0</c:v>
                </c:pt>
              </c:numCache>
            </c:numRef>
          </c:xVal>
          <c:yVal>
            <c:numRef>
              <c:f>Solution!$AA$22</c:f>
              <c:numCache>
                <c:formatCode>0.0</c:formatCode>
                <c:ptCount val="1"/>
                <c:pt idx="0">
                  <c:v>0</c:v>
                </c:pt>
              </c:numCache>
            </c:numRef>
          </c:yVal>
          <c:smooth val="1"/>
          <c:extLst>
            <c:ext xmlns:c16="http://schemas.microsoft.com/office/drawing/2014/chart" uri="{C3380CC4-5D6E-409C-BE32-E72D297353CC}">
              <c16:uniqueId val="{0000007A-02BD-4FCC-A03D-625C0E4D2895}"/>
            </c:ext>
          </c:extLst>
        </c:ser>
        <c:ser>
          <c:idx val="107"/>
          <c:order val="93"/>
          <c:tx>
            <c:v>EU ATD Q1 Seated Height</c:v>
          </c:tx>
          <c:spPr>
            <a:ln w="19050" cap="rnd">
              <a:solidFill>
                <a:schemeClr val="accent6">
                  <a:lumMod val="50000"/>
                  <a:lumOff val="50000"/>
                </a:schemeClr>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Solution!$AH$23</c:f>
              <c:numCache>
                <c:formatCode>General</c:formatCode>
                <c:ptCount val="1"/>
                <c:pt idx="0">
                  <c:v>0</c:v>
                </c:pt>
              </c:numCache>
            </c:numRef>
          </c:xVal>
          <c:yVal>
            <c:numRef>
              <c:f>Solution!$AA$23</c:f>
              <c:numCache>
                <c:formatCode>0.0</c:formatCode>
                <c:ptCount val="1"/>
                <c:pt idx="0">
                  <c:v>0</c:v>
                </c:pt>
              </c:numCache>
            </c:numRef>
          </c:yVal>
          <c:smooth val="1"/>
          <c:extLst>
            <c:ext xmlns:c16="http://schemas.microsoft.com/office/drawing/2014/chart" uri="{C3380CC4-5D6E-409C-BE32-E72D297353CC}">
              <c16:uniqueId val="{0000007B-02BD-4FCC-A03D-625C0E4D2895}"/>
            </c:ext>
          </c:extLst>
        </c:ser>
        <c:ser>
          <c:idx val="108"/>
          <c:order val="94"/>
          <c:tx>
            <c:v>US ATD CRABI 12 Seated Height</c:v>
          </c:tx>
          <c:spPr>
            <a:ln w="19050" cap="rnd">
              <a:solidFill>
                <a:schemeClr val="accent1"/>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Solution!$AH$24</c:f>
              <c:numCache>
                <c:formatCode>General</c:formatCode>
                <c:ptCount val="1"/>
                <c:pt idx="0">
                  <c:v>0</c:v>
                </c:pt>
              </c:numCache>
            </c:numRef>
          </c:xVal>
          <c:yVal>
            <c:numRef>
              <c:f>Solution!$AA$24</c:f>
              <c:numCache>
                <c:formatCode>0.0</c:formatCode>
                <c:ptCount val="1"/>
                <c:pt idx="0">
                  <c:v>50</c:v>
                </c:pt>
              </c:numCache>
            </c:numRef>
          </c:yVal>
          <c:smooth val="1"/>
          <c:extLst>
            <c:ext xmlns:c16="http://schemas.microsoft.com/office/drawing/2014/chart" uri="{C3380CC4-5D6E-409C-BE32-E72D297353CC}">
              <c16:uniqueId val="{0000007C-02BD-4FCC-A03D-625C0E4D2895}"/>
            </c:ext>
          </c:extLst>
        </c:ser>
        <c:ser>
          <c:idx val="109"/>
          <c:order val="95"/>
          <c:tx>
            <c:v>EU ATD Q1.5 Seated Height</c:v>
          </c:tx>
          <c:spPr>
            <a:ln w="19050" cap="rnd">
              <a:solidFill>
                <a:schemeClr val="accent2"/>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Solution!$AH$25</c:f>
              <c:numCache>
                <c:formatCode>General</c:formatCode>
                <c:ptCount val="1"/>
                <c:pt idx="0">
                  <c:v>0</c:v>
                </c:pt>
              </c:numCache>
            </c:numRef>
          </c:xVal>
          <c:yVal>
            <c:numRef>
              <c:f>Solution!$AA$25</c:f>
              <c:numCache>
                <c:formatCode>0.0</c:formatCode>
                <c:ptCount val="1"/>
                <c:pt idx="0">
                  <c:v>0</c:v>
                </c:pt>
              </c:numCache>
            </c:numRef>
          </c:yVal>
          <c:smooth val="1"/>
          <c:extLst>
            <c:ext xmlns:c16="http://schemas.microsoft.com/office/drawing/2014/chart" uri="{C3380CC4-5D6E-409C-BE32-E72D297353CC}">
              <c16:uniqueId val="{0000007D-02BD-4FCC-A03D-625C0E4D2895}"/>
            </c:ext>
          </c:extLst>
        </c:ser>
        <c:ser>
          <c:idx val="110"/>
          <c:order val="96"/>
          <c:tx>
            <c:v>US ATD CRABI 18 Seated Height</c:v>
          </c:tx>
          <c:spPr>
            <a:ln w="19050" cap="rnd">
              <a:solidFill>
                <a:schemeClr val="accent3"/>
              </a:solidFill>
              <a:round/>
            </a:ln>
            <a:effectLst/>
          </c:spPr>
          <c:marker>
            <c:symbol val="dash"/>
            <c:size val="15"/>
            <c:spPr>
              <a:solidFill>
                <a:srgbClr val="FF0000"/>
              </a:solidFill>
              <a:ln w="9525">
                <a:solidFill>
                  <a:schemeClr val="tx1"/>
                </a:solid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Solution!$AH$26</c:f>
              <c:numCache>
                <c:formatCode>General</c:formatCode>
                <c:ptCount val="1"/>
                <c:pt idx="0">
                  <c:v>0</c:v>
                </c:pt>
              </c:numCache>
            </c:numRef>
          </c:xVal>
          <c:yVal>
            <c:numRef>
              <c:f>Solution!$AA$26</c:f>
              <c:numCache>
                <c:formatCode>0.0</c:formatCode>
                <c:ptCount val="1"/>
                <c:pt idx="0">
                  <c:v>52.5</c:v>
                </c:pt>
              </c:numCache>
            </c:numRef>
          </c:yVal>
          <c:smooth val="1"/>
          <c:extLst>
            <c:ext xmlns:c16="http://schemas.microsoft.com/office/drawing/2014/chart" uri="{C3380CC4-5D6E-409C-BE32-E72D297353CC}">
              <c16:uniqueId val="{0000007E-02BD-4FCC-A03D-625C0E4D2895}"/>
            </c:ext>
          </c:extLst>
        </c:ser>
        <c:ser>
          <c:idx val="111"/>
          <c:order val="97"/>
          <c:tx>
            <c:v>EU ATD Q3 Seated Height</c:v>
          </c:tx>
          <c:spPr>
            <a:ln w="19050" cap="rnd">
              <a:solidFill>
                <a:schemeClr val="accent4"/>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Solution!$AH$27</c:f>
              <c:numCache>
                <c:formatCode>General</c:formatCode>
                <c:ptCount val="1"/>
                <c:pt idx="0">
                  <c:v>0</c:v>
                </c:pt>
              </c:numCache>
            </c:numRef>
          </c:xVal>
          <c:yVal>
            <c:numRef>
              <c:f>Solution!$AA$27</c:f>
              <c:numCache>
                <c:formatCode>0.0</c:formatCode>
                <c:ptCount val="1"/>
                <c:pt idx="0">
                  <c:v>0</c:v>
                </c:pt>
              </c:numCache>
            </c:numRef>
          </c:yVal>
          <c:smooth val="1"/>
          <c:extLst>
            <c:ext xmlns:c16="http://schemas.microsoft.com/office/drawing/2014/chart" uri="{C3380CC4-5D6E-409C-BE32-E72D297353CC}">
              <c16:uniqueId val="{0000007F-02BD-4FCC-A03D-625C0E4D2895}"/>
            </c:ext>
          </c:extLst>
        </c:ser>
        <c:ser>
          <c:idx val="112"/>
          <c:order val="98"/>
          <c:tx>
            <c:v>US ATD HIII-3yr Seated Height</c:v>
          </c:tx>
          <c:spPr>
            <a:ln w="19050" cap="rnd">
              <a:solidFill>
                <a:schemeClr val="accent5"/>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Solution!$AH$28</c:f>
              <c:numCache>
                <c:formatCode>General</c:formatCode>
                <c:ptCount val="1"/>
                <c:pt idx="0">
                  <c:v>0</c:v>
                </c:pt>
              </c:numCache>
            </c:numRef>
          </c:xVal>
          <c:yVal>
            <c:numRef>
              <c:f>Solution!$AA$28</c:f>
              <c:numCache>
                <c:formatCode>0.0</c:formatCode>
                <c:ptCount val="1"/>
                <c:pt idx="0">
                  <c:v>0</c:v>
                </c:pt>
              </c:numCache>
            </c:numRef>
          </c:yVal>
          <c:smooth val="1"/>
          <c:extLst>
            <c:ext xmlns:c16="http://schemas.microsoft.com/office/drawing/2014/chart" uri="{C3380CC4-5D6E-409C-BE32-E72D297353CC}">
              <c16:uniqueId val="{00000080-02BD-4FCC-A03D-625C0E4D2895}"/>
            </c:ext>
          </c:extLst>
        </c:ser>
        <c:ser>
          <c:idx val="113"/>
          <c:order val="99"/>
          <c:tx>
            <c:v>EU ATD Q6 Seated Height</c:v>
          </c:tx>
          <c:spPr>
            <a:ln w="19050" cap="rnd">
              <a:no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Solution!$AH$29</c:f>
              <c:numCache>
                <c:formatCode>General</c:formatCode>
                <c:ptCount val="1"/>
                <c:pt idx="0">
                  <c:v>0</c:v>
                </c:pt>
              </c:numCache>
            </c:numRef>
          </c:xVal>
          <c:yVal>
            <c:numRef>
              <c:f>Solution!$AA$29</c:f>
              <c:numCache>
                <c:formatCode>0.0</c:formatCode>
                <c:ptCount val="1"/>
                <c:pt idx="0">
                  <c:v>0</c:v>
                </c:pt>
              </c:numCache>
            </c:numRef>
          </c:yVal>
          <c:smooth val="1"/>
          <c:extLst>
            <c:ext xmlns:c16="http://schemas.microsoft.com/office/drawing/2014/chart" uri="{C3380CC4-5D6E-409C-BE32-E72D297353CC}">
              <c16:uniqueId val="{00000081-02BD-4FCC-A03D-625C0E4D2895}"/>
            </c:ext>
          </c:extLst>
        </c:ser>
        <c:ser>
          <c:idx val="114"/>
          <c:order val="100"/>
          <c:tx>
            <c:v>US ATD HIII-6yr Seated Height</c:v>
          </c:tx>
          <c:spPr>
            <a:ln w="19050" cap="rnd">
              <a:no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Solution!$AH$30</c:f>
              <c:numCache>
                <c:formatCode>General</c:formatCode>
                <c:ptCount val="1"/>
                <c:pt idx="0">
                  <c:v>0</c:v>
                </c:pt>
              </c:numCache>
            </c:numRef>
          </c:xVal>
          <c:yVal>
            <c:numRef>
              <c:f>Solution!$AA$30</c:f>
              <c:numCache>
                <c:formatCode>0.0</c:formatCode>
                <c:ptCount val="1"/>
                <c:pt idx="0">
                  <c:v>0</c:v>
                </c:pt>
              </c:numCache>
            </c:numRef>
          </c:yVal>
          <c:smooth val="1"/>
          <c:extLst>
            <c:ext xmlns:c16="http://schemas.microsoft.com/office/drawing/2014/chart" uri="{C3380CC4-5D6E-409C-BE32-E72D297353CC}">
              <c16:uniqueId val="{00000082-02BD-4FCC-A03D-625C0E4D2895}"/>
            </c:ext>
          </c:extLst>
        </c:ser>
        <c:ser>
          <c:idx val="115"/>
          <c:order val="101"/>
          <c:tx>
            <c:v>US ATD HIII-6yr wtd Seated Height</c:v>
          </c:tx>
          <c:spPr>
            <a:ln w="19050" cap="rnd">
              <a:no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Solution!$AH$31</c:f>
              <c:numCache>
                <c:formatCode>General</c:formatCode>
                <c:ptCount val="1"/>
                <c:pt idx="0">
                  <c:v>0</c:v>
                </c:pt>
              </c:numCache>
            </c:numRef>
          </c:xVal>
          <c:yVal>
            <c:numRef>
              <c:f>Solution!$AA$31</c:f>
              <c:numCache>
                <c:formatCode>0.0</c:formatCode>
                <c:ptCount val="1"/>
                <c:pt idx="0">
                  <c:v>0</c:v>
                </c:pt>
              </c:numCache>
            </c:numRef>
          </c:yVal>
          <c:smooth val="1"/>
          <c:extLst>
            <c:ext xmlns:c16="http://schemas.microsoft.com/office/drawing/2014/chart" uri="{C3380CC4-5D6E-409C-BE32-E72D297353CC}">
              <c16:uniqueId val="{00000083-02BD-4FCC-A03D-625C0E4D2895}"/>
            </c:ext>
          </c:extLst>
        </c:ser>
        <c:ser>
          <c:idx val="116"/>
          <c:order val="102"/>
          <c:tx>
            <c:v>US ATD HIII-10yr Seated Height</c:v>
          </c:tx>
          <c:spPr>
            <a:ln w="19050" cap="rnd">
              <a:solidFill>
                <a:schemeClr val="accent3">
                  <a:lumMod val="60000"/>
                </a:schemeClr>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Solution!$AH$32</c:f>
              <c:numCache>
                <c:formatCode>General</c:formatCode>
                <c:ptCount val="1"/>
                <c:pt idx="0">
                  <c:v>0</c:v>
                </c:pt>
              </c:numCache>
            </c:numRef>
          </c:xVal>
          <c:yVal>
            <c:numRef>
              <c:f>Solution!$AA$32</c:f>
              <c:numCache>
                <c:formatCode>0.0</c:formatCode>
                <c:ptCount val="1"/>
                <c:pt idx="0">
                  <c:v>0</c:v>
                </c:pt>
              </c:numCache>
            </c:numRef>
          </c:yVal>
          <c:smooth val="1"/>
          <c:extLst>
            <c:ext xmlns:c16="http://schemas.microsoft.com/office/drawing/2014/chart" uri="{C3380CC4-5D6E-409C-BE32-E72D297353CC}">
              <c16:uniqueId val="{00000084-02BD-4FCC-A03D-625C0E4D2895}"/>
            </c:ext>
          </c:extLst>
        </c:ser>
        <c:ser>
          <c:idx val="117"/>
          <c:order val="103"/>
          <c:tx>
            <c:v>EU ATD Q10 Seated Height</c:v>
          </c:tx>
          <c:spPr>
            <a:ln w="19050" cap="rnd">
              <a:solidFill>
                <a:schemeClr val="accent4">
                  <a:lumMod val="60000"/>
                </a:schemeClr>
              </a:solidFill>
              <a:round/>
            </a:ln>
            <a:effectLst/>
          </c:spPr>
          <c:marker>
            <c:symbol val="dash"/>
            <c:size val="15"/>
            <c:spPr>
              <a:solidFill>
                <a:srgbClr val="0070C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Solution!$AH$33</c:f>
              <c:numCache>
                <c:formatCode>General</c:formatCode>
                <c:ptCount val="1"/>
                <c:pt idx="0">
                  <c:v>0</c:v>
                </c:pt>
              </c:numCache>
            </c:numRef>
          </c:xVal>
          <c:yVal>
            <c:numRef>
              <c:f>Solution!$AA$33</c:f>
              <c:numCache>
                <c:formatCode>0.0</c:formatCode>
                <c:ptCount val="1"/>
                <c:pt idx="0">
                  <c:v>0</c:v>
                </c:pt>
              </c:numCache>
            </c:numRef>
          </c:yVal>
          <c:smooth val="1"/>
          <c:extLst>
            <c:ext xmlns:c16="http://schemas.microsoft.com/office/drawing/2014/chart" uri="{C3380CC4-5D6E-409C-BE32-E72D297353CC}">
              <c16:uniqueId val="{00000085-02BD-4FCC-A03D-625C0E4D2895}"/>
            </c:ext>
          </c:extLst>
        </c:ser>
        <c:ser>
          <c:idx val="72"/>
          <c:order val="104"/>
          <c:tx>
            <c:v>US ATD Primi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6-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Solution!$AN$19:$AN$22</c:f>
              <c:numCache>
                <c:formatCode>0.0</c:formatCode>
                <c:ptCount val="4"/>
                <c:pt idx="0">
                  <c:v>-4.5</c:v>
                </c:pt>
                <c:pt idx="1">
                  <c:v>-4.1400000000000006</c:v>
                </c:pt>
                <c:pt idx="2">
                  <c:v>-1.6560000000000004</c:v>
                </c:pt>
                <c:pt idx="3">
                  <c:v>0</c:v>
                </c:pt>
              </c:numCache>
            </c:numRef>
          </c:xVal>
          <c:yVal>
            <c:numRef>
              <c:f>Solution!$AO$19:$AO$22</c:f>
              <c:numCache>
                <c:formatCode>0.0</c:formatCode>
                <c:ptCount val="4"/>
                <c:pt idx="0">
                  <c:v>-2</c:v>
                </c:pt>
                <c:pt idx="1">
                  <c:v>-4.07</c:v>
                </c:pt>
                <c:pt idx="2">
                  <c:v>-6.1400000000000006</c:v>
                </c:pt>
                <c:pt idx="3">
                  <c:v>-6.5</c:v>
                </c:pt>
              </c:numCache>
            </c:numRef>
          </c:yVal>
          <c:smooth val="1"/>
          <c:extLst>
            <c:ext xmlns:c16="http://schemas.microsoft.com/office/drawing/2014/chart" uri="{C3380CC4-5D6E-409C-BE32-E72D297353CC}">
              <c16:uniqueId val="{00000087-02BD-4FCC-A03D-625C0E4D2895}"/>
            </c:ext>
          </c:extLst>
        </c:ser>
        <c:ser>
          <c:idx val="73"/>
          <c:order val="105"/>
          <c:tx>
            <c:v>US ATD Primi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8-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Solution!$AX$20:$AX$22</c:f>
              <c:numCache>
                <c:formatCode>0.0</c:formatCode>
                <c:ptCount val="3"/>
                <c:pt idx="0">
                  <c:v>-6.4418181818181814</c:v>
                </c:pt>
                <c:pt idx="1">
                  <c:v>-7.4862545454545453</c:v>
                </c:pt>
                <c:pt idx="2">
                  <c:v>-7.5</c:v>
                </c:pt>
              </c:numCache>
            </c:numRef>
          </c:xVal>
          <c:yVal>
            <c:numRef>
              <c:f>Solution!$AY$20:$AY$22</c:f>
              <c:numCache>
                <c:formatCode>0.0</c:formatCode>
                <c:ptCount val="3"/>
                <c:pt idx="0">
                  <c:v>19</c:v>
                </c:pt>
                <c:pt idx="1">
                  <c:v>18.735454545454544</c:v>
                </c:pt>
                <c:pt idx="2">
                  <c:v>17.941818181818181</c:v>
                </c:pt>
              </c:numCache>
            </c:numRef>
          </c:yVal>
          <c:smooth val="1"/>
          <c:extLst>
            <c:ext xmlns:c16="http://schemas.microsoft.com/office/drawing/2014/chart" uri="{C3380CC4-5D6E-409C-BE32-E72D297353CC}">
              <c16:uniqueId val="{00000089-02BD-4FCC-A03D-625C0E4D2895}"/>
            </c:ext>
          </c:extLst>
        </c:ser>
        <c:ser>
          <c:idx val="75"/>
          <c:order val="106"/>
          <c:tx>
            <c:v>US ATD Primi Seated Height</c:v>
          </c:tx>
          <c:spPr>
            <a:ln w="19050" cap="rnd">
              <a:solidFill>
                <a:schemeClr val="accent4">
                  <a:lumMod val="80000"/>
                </a:schemeClr>
              </a:solidFill>
              <a:round/>
            </a:ln>
            <a:effectLst/>
          </c:spPr>
          <c:marker>
            <c:symbol val="dash"/>
            <c:size val="15"/>
            <c:spPr>
              <a:solidFill>
                <a:srgbClr val="FF0000"/>
              </a:solidFill>
              <a:ln w="9525">
                <a:solidFill>
                  <a:schemeClr val="tx1"/>
                </a:solidFill>
              </a:ln>
              <a:effectLst/>
            </c:spPr>
          </c:marker>
          <c:dLbls>
            <c:dLbl>
              <c:idx val="0"/>
              <c:layout>
                <c:manualLayout>
                  <c:x val="-5.791871510984991E-2"/>
                  <c:y val="3.35751116464918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8.7072758037225029E-2"/>
                      <c:h val="3.6366641203431659E-2"/>
                    </c:manualLayout>
                  </c15:layout>
                </c:ext>
                <c:ext xmlns:c16="http://schemas.microsoft.com/office/drawing/2014/chart" uri="{C3380CC4-5D6E-409C-BE32-E72D297353CC}">
                  <c16:uniqueId val="{0000008A-02BD-4FCC-A03D-625C0E4D28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Solution!$AH$19</c:f>
              <c:numCache>
                <c:formatCode>General</c:formatCode>
                <c:ptCount val="1"/>
                <c:pt idx="0">
                  <c:v>0</c:v>
                </c:pt>
              </c:numCache>
            </c:numRef>
          </c:xVal>
          <c:yVal>
            <c:numRef>
              <c:f>Solution!$AA$19</c:f>
              <c:numCache>
                <c:formatCode>General</c:formatCode>
                <c:ptCount val="1"/>
                <c:pt idx="0">
                  <c:v>29</c:v>
                </c:pt>
              </c:numCache>
            </c:numRef>
          </c:yVal>
          <c:smooth val="1"/>
          <c:extLst>
            <c:ext xmlns:c16="http://schemas.microsoft.com/office/drawing/2014/chart" uri="{C3380CC4-5D6E-409C-BE32-E72D297353CC}">
              <c16:uniqueId val="{0000008B-02BD-4FCC-A03D-625C0E4D2895}"/>
            </c:ext>
          </c:extLst>
        </c:ser>
        <c:ser>
          <c:idx val="77"/>
          <c:order val="107"/>
          <c:tx>
            <c:v>US ATD 5th Female Seated Height</c:v>
          </c:tx>
          <c:spPr>
            <a:ln w="19050" cap="rnd">
              <a:solidFill>
                <a:schemeClr val="accent6">
                  <a:lumMod val="80000"/>
                </a:schemeClr>
              </a:solidFill>
              <a:round/>
            </a:ln>
            <a:effectLst/>
          </c:spPr>
          <c:marker>
            <c:symbol val="dash"/>
            <c:size val="15"/>
            <c:spPr>
              <a:solidFill>
                <a:srgbClr val="FF0000"/>
              </a:solidFill>
              <a:ln w="9525">
                <a:solidFill>
                  <a:schemeClr val="tx1"/>
                </a:solidFill>
              </a:ln>
              <a:effectLst/>
            </c:spPr>
          </c:marker>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Solution!$AH$34</c:f>
              <c:numCache>
                <c:formatCode>General</c:formatCode>
                <c:ptCount val="1"/>
                <c:pt idx="0">
                  <c:v>0</c:v>
                </c:pt>
              </c:numCache>
            </c:numRef>
          </c:xVal>
          <c:yVal>
            <c:numRef>
              <c:f>Solution!$AA$34</c:f>
              <c:numCache>
                <c:formatCode>0.0</c:formatCode>
                <c:ptCount val="1"/>
                <c:pt idx="0">
                  <c:v>0</c:v>
                </c:pt>
              </c:numCache>
            </c:numRef>
          </c:yVal>
          <c:smooth val="1"/>
          <c:extLst>
            <c:ext xmlns:c16="http://schemas.microsoft.com/office/drawing/2014/chart" uri="{C3380CC4-5D6E-409C-BE32-E72D297353CC}">
              <c16:uniqueId val="{0000008C-02BD-4FCC-A03D-625C0E4D2895}"/>
            </c:ext>
          </c:extLst>
        </c:ser>
        <c:ser>
          <c:idx val="79"/>
          <c:order val="108"/>
          <c:tx>
            <c:v>US ATD 5th Female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3349666978927538"/>
                  <c:y val="1.650391896601778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D-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Solution!$AN$124:$AN$127</c:f>
              <c:numCache>
                <c:formatCode>0.0</c:formatCode>
                <c:ptCount val="4"/>
                <c:pt idx="0">
                  <c:v>0</c:v>
                </c:pt>
                <c:pt idx="1">
                  <c:v>0</c:v>
                </c:pt>
                <c:pt idx="2">
                  <c:v>0</c:v>
                </c:pt>
                <c:pt idx="3">
                  <c:v>0</c:v>
                </c:pt>
              </c:numCache>
            </c:numRef>
          </c:xVal>
          <c:yVal>
            <c:numRef>
              <c:f>Solution!$AO$124:$AO$127</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8E-02BD-4FCC-A03D-625C0E4D2895}"/>
            </c:ext>
          </c:extLst>
        </c:ser>
        <c:ser>
          <c:idx val="81"/>
          <c:order val="109"/>
          <c:tx>
            <c:v>US ATD 5th Femle Right Shoulder</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1265022886683214"/>
                  <c:y val="-3.080731540323323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F-02BD-4FCC-A03D-625C0E4D2895}"/>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Solution!$AX$125:$AX$127</c:f>
              <c:numCache>
                <c:formatCode>General</c:formatCode>
                <c:ptCount val="3"/>
                <c:pt idx="0">
                  <c:v>0</c:v>
                </c:pt>
                <c:pt idx="1">
                  <c:v>0</c:v>
                </c:pt>
                <c:pt idx="2">
                  <c:v>0</c:v>
                </c:pt>
              </c:numCache>
            </c:numRef>
          </c:xVal>
          <c:yVal>
            <c:numRef>
              <c:f>Solution!$AY$125:$AY$127</c:f>
              <c:numCache>
                <c:formatCode>0.0</c:formatCode>
                <c:ptCount val="3"/>
                <c:pt idx="0">
                  <c:v>0</c:v>
                </c:pt>
                <c:pt idx="1">
                  <c:v>0</c:v>
                </c:pt>
                <c:pt idx="2">
                  <c:v>0</c:v>
                </c:pt>
              </c:numCache>
            </c:numRef>
          </c:yVal>
          <c:smooth val="1"/>
          <c:extLst>
            <c:ext xmlns:c16="http://schemas.microsoft.com/office/drawing/2014/chart" uri="{C3380CC4-5D6E-409C-BE32-E72D297353CC}">
              <c16:uniqueId val="{00000090-02BD-4FCC-A03D-625C0E4D2895}"/>
            </c:ext>
          </c:extLst>
        </c:ser>
        <c:ser>
          <c:idx val="84"/>
          <c:order val="110"/>
          <c:tx>
            <c:v>IIHS SB Right Inside</c:v>
          </c:tx>
          <c:spPr>
            <a:ln w="19050" cap="rnd">
              <a:solidFill>
                <a:srgbClr val="FF0000"/>
              </a:solidFill>
              <a:round/>
            </a:ln>
            <a:effectLst/>
          </c:spPr>
          <c:marker>
            <c:symbol val="diamond"/>
            <c:size val="8"/>
            <c:spPr>
              <a:solidFill>
                <a:srgbClr val="FF0000"/>
              </a:solidFill>
              <a:ln w="9525">
                <a:solidFill>
                  <a:schemeClr val="tx1"/>
                </a:solidFill>
              </a:ln>
              <a:effectLst/>
            </c:spPr>
          </c:marker>
          <c:xVal>
            <c:numRef>
              <c:f>Solution!$AB$77:$AB$81</c:f>
              <c:numCache>
                <c:formatCode>0.0</c:formatCode>
                <c:ptCount val="5"/>
                <c:pt idx="0">
                  <c:v>0</c:v>
                </c:pt>
                <c:pt idx="1">
                  <c:v>0</c:v>
                </c:pt>
                <c:pt idx="2">
                  <c:v>0</c:v>
                </c:pt>
                <c:pt idx="3">
                  <c:v>0</c:v>
                </c:pt>
                <c:pt idx="4">
                  <c:v>0</c:v>
                </c:pt>
              </c:numCache>
            </c:numRef>
          </c:xVal>
          <c:yVal>
            <c:numRef>
              <c:f>Solution!$Z$77:$Z$81</c:f>
              <c:numCache>
                <c:formatCode>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91-02BD-4FCC-A03D-625C0E4D2895}"/>
            </c:ext>
          </c:extLst>
        </c:ser>
        <c:ser>
          <c:idx val="85"/>
          <c:order val="111"/>
          <c:tx>
            <c:v>IIHS SB Outside</c:v>
          </c:tx>
          <c:spPr>
            <a:ln w="19050" cap="rnd">
              <a:solidFill>
                <a:srgbClr val="FF0000"/>
              </a:solidFill>
              <a:round/>
            </a:ln>
            <a:effectLst/>
          </c:spPr>
          <c:marker>
            <c:symbol val="diamond"/>
            <c:size val="8"/>
            <c:spPr>
              <a:solidFill>
                <a:srgbClr val="FF0000"/>
              </a:solidFill>
              <a:ln w="9525">
                <a:solidFill>
                  <a:schemeClr val="tx1"/>
                </a:solidFill>
              </a:ln>
              <a:effectLst/>
            </c:spPr>
          </c:marker>
          <c:xVal>
            <c:numRef>
              <c:f>Solution!$AD$77:$AD$81</c:f>
              <c:numCache>
                <c:formatCode>0.0</c:formatCode>
                <c:ptCount val="5"/>
                <c:pt idx="0">
                  <c:v>0</c:v>
                </c:pt>
                <c:pt idx="1">
                  <c:v>0</c:v>
                </c:pt>
                <c:pt idx="2">
                  <c:v>0</c:v>
                </c:pt>
                <c:pt idx="3">
                  <c:v>0</c:v>
                </c:pt>
                <c:pt idx="4">
                  <c:v>0</c:v>
                </c:pt>
              </c:numCache>
            </c:numRef>
          </c:xVal>
          <c:yVal>
            <c:numRef>
              <c:f>Solution!$Z$77:$Z$81</c:f>
              <c:numCache>
                <c:formatCode>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92-02BD-4FCC-A03D-625C0E4D2895}"/>
            </c:ext>
          </c:extLst>
        </c:ser>
        <c:ser>
          <c:idx val="88"/>
          <c:order val="112"/>
          <c:tx>
            <c:v>Thigh R 5th 1</c:v>
          </c:tx>
          <c:spPr>
            <a:ln w="19050" cap="rnd">
              <a:solidFill>
                <a:schemeClr val="accent5">
                  <a:lumMod val="60000"/>
                  <a:lumOff val="40000"/>
                </a:schemeClr>
              </a:solidFill>
              <a:round/>
            </a:ln>
            <a:effectLst/>
          </c:spPr>
          <c:marker>
            <c:symbol val="circle"/>
            <c:size val="2"/>
            <c:spPr>
              <a:solidFill>
                <a:schemeClr val="accent1">
                  <a:lumMod val="60000"/>
                  <a:lumOff val="40000"/>
                </a:schemeClr>
              </a:solidFill>
              <a:ln w="9525">
                <a:noFill/>
              </a:ln>
              <a:effectLst/>
            </c:spPr>
          </c:marker>
          <c:xVal>
            <c:numRef>
              <c:f>Solution!$BI$19:$BI$22</c:f>
              <c:numCache>
                <c:formatCode>0.0</c:formatCode>
                <c:ptCount val="4"/>
                <c:pt idx="0">
                  <c:v>-4.6989999999999998</c:v>
                </c:pt>
                <c:pt idx="1">
                  <c:v>-4.2290999999999999</c:v>
                </c:pt>
                <c:pt idx="2">
                  <c:v>-2.3698999999999999</c:v>
                </c:pt>
                <c:pt idx="3">
                  <c:v>-1.9</c:v>
                </c:pt>
              </c:numCache>
            </c:numRef>
          </c:xVal>
          <c:yVal>
            <c:numRef>
              <c:f>Solution!$BJ$19:$BJ$22</c:f>
              <c:numCache>
                <c:formatCode>0.0</c:formatCode>
                <c:ptCount val="4"/>
                <c:pt idx="0">
                  <c:v>2</c:v>
                </c:pt>
                <c:pt idx="1">
                  <c:v>5.048</c:v>
                </c:pt>
                <c:pt idx="2">
                  <c:v>5.048</c:v>
                </c:pt>
                <c:pt idx="3">
                  <c:v>2</c:v>
                </c:pt>
              </c:numCache>
            </c:numRef>
          </c:yVal>
          <c:smooth val="1"/>
          <c:extLst>
            <c:ext xmlns:c16="http://schemas.microsoft.com/office/drawing/2014/chart" uri="{C3380CC4-5D6E-409C-BE32-E72D297353CC}">
              <c16:uniqueId val="{00000093-02BD-4FCC-A03D-625C0E4D2895}"/>
            </c:ext>
          </c:extLst>
        </c:ser>
        <c:ser>
          <c:idx val="90"/>
          <c:order val="113"/>
          <c:tx>
            <c:v>Thigh R Mean 1</c:v>
          </c:tx>
          <c:spPr>
            <a:ln w="19050" cap="rnd">
              <a:solidFill>
                <a:srgbClr val="00B050"/>
              </a:solidFill>
              <a:round/>
            </a:ln>
            <a:effectLst/>
          </c:spPr>
          <c:marker>
            <c:symbol val="circle"/>
            <c:size val="2"/>
            <c:spPr>
              <a:solidFill>
                <a:srgbClr val="00B050"/>
              </a:solidFill>
              <a:ln w="9525">
                <a:noFill/>
              </a:ln>
              <a:effectLst/>
            </c:spPr>
          </c:marker>
          <c:xVal>
            <c:numRef>
              <c:f>Solution!$BK$19:$BK$22</c:f>
              <c:numCache>
                <c:formatCode>0.0</c:formatCode>
                <c:ptCount val="4"/>
                <c:pt idx="0">
                  <c:v>-6.7309999999999999</c:v>
                </c:pt>
                <c:pt idx="1">
                  <c:v>-6.0579000000000001</c:v>
                </c:pt>
                <c:pt idx="2">
                  <c:v>-2.5731000000000002</c:v>
                </c:pt>
                <c:pt idx="3">
                  <c:v>-1.9</c:v>
                </c:pt>
              </c:numCache>
            </c:numRef>
          </c:xVal>
          <c:yVal>
            <c:numRef>
              <c:f>Solution!$BL$19:$BL$22</c:f>
              <c:numCache>
                <c:formatCode>0.0</c:formatCode>
                <c:ptCount val="4"/>
                <c:pt idx="0">
                  <c:v>2</c:v>
                </c:pt>
                <c:pt idx="1">
                  <c:v>7.3340000000000005</c:v>
                </c:pt>
                <c:pt idx="2">
                  <c:v>7.3340000000000005</c:v>
                </c:pt>
                <c:pt idx="3">
                  <c:v>2</c:v>
                </c:pt>
              </c:numCache>
            </c:numRef>
          </c:yVal>
          <c:smooth val="1"/>
          <c:extLst>
            <c:ext xmlns:c16="http://schemas.microsoft.com/office/drawing/2014/chart" uri="{C3380CC4-5D6E-409C-BE32-E72D297353CC}">
              <c16:uniqueId val="{00000094-02BD-4FCC-A03D-625C0E4D2895}"/>
            </c:ext>
          </c:extLst>
        </c:ser>
        <c:ser>
          <c:idx val="92"/>
          <c:order val="114"/>
          <c:tx>
            <c:v>Thigh R 95th 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Solution!$BM$19:$BM$22</c:f>
              <c:numCache>
                <c:formatCode>0.0</c:formatCode>
                <c:ptCount val="4"/>
                <c:pt idx="0">
                  <c:v>-8.7629999999999999</c:v>
                </c:pt>
                <c:pt idx="1">
                  <c:v>-7.8867000000000003</c:v>
                </c:pt>
                <c:pt idx="2">
                  <c:v>-2.7763</c:v>
                </c:pt>
                <c:pt idx="3">
                  <c:v>-1.9</c:v>
                </c:pt>
              </c:numCache>
            </c:numRef>
          </c:xVal>
          <c:yVal>
            <c:numRef>
              <c:f>Solution!$BN$19:$BN$22</c:f>
              <c:numCache>
                <c:formatCode>0.0</c:formatCode>
                <c:ptCount val="4"/>
                <c:pt idx="0">
                  <c:v>2</c:v>
                </c:pt>
                <c:pt idx="1">
                  <c:v>9.620000000000001</c:v>
                </c:pt>
                <c:pt idx="2">
                  <c:v>9.620000000000001</c:v>
                </c:pt>
                <c:pt idx="3">
                  <c:v>2</c:v>
                </c:pt>
              </c:numCache>
            </c:numRef>
          </c:yVal>
          <c:smooth val="1"/>
          <c:extLst>
            <c:ext xmlns:c16="http://schemas.microsoft.com/office/drawing/2014/chart" uri="{C3380CC4-5D6E-409C-BE32-E72D297353CC}">
              <c16:uniqueId val="{00000095-02BD-4FCC-A03D-625C0E4D2895}"/>
            </c:ext>
          </c:extLst>
        </c:ser>
        <c:ser>
          <c:idx val="93"/>
          <c:order val="115"/>
          <c:tx>
            <c:v>Thigh L 5th 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Solution!$BP$19:$BP$22</c:f>
              <c:numCache>
                <c:formatCode>0.0</c:formatCode>
                <c:ptCount val="4"/>
                <c:pt idx="0">
                  <c:v>4.6989999999999998</c:v>
                </c:pt>
                <c:pt idx="1">
                  <c:v>4.2290999999999999</c:v>
                </c:pt>
                <c:pt idx="2">
                  <c:v>2.3698999999999999</c:v>
                </c:pt>
                <c:pt idx="3">
                  <c:v>1.9</c:v>
                </c:pt>
              </c:numCache>
            </c:numRef>
          </c:xVal>
          <c:yVal>
            <c:numRef>
              <c:f>Solution!$BQ$19:$BQ$22</c:f>
              <c:numCache>
                <c:formatCode>0.0</c:formatCode>
                <c:ptCount val="4"/>
                <c:pt idx="0">
                  <c:v>2</c:v>
                </c:pt>
                <c:pt idx="1">
                  <c:v>5.048</c:v>
                </c:pt>
                <c:pt idx="2">
                  <c:v>5.048</c:v>
                </c:pt>
                <c:pt idx="3">
                  <c:v>2</c:v>
                </c:pt>
              </c:numCache>
            </c:numRef>
          </c:yVal>
          <c:smooth val="1"/>
          <c:extLst>
            <c:ext xmlns:c16="http://schemas.microsoft.com/office/drawing/2014/chart" uri="{C3380CC4-5D6E-409C-BE32-E72D297353CC}">
              <c16:uniqueId val="{00000096-02BD-4FCC-A03D-625C0E4D2895}"/>
            </c:ext>
          </c:extLst>
        </c:ser>
        <c:ser>
          <c:idx val="96"/>
          <c:order val="116"/>
          <c:tx>
            <c:v>Thigh L Mean 1</c:v>
          </c:tx>
          <c:spPr>
            <a:ln w="19050" cap="rnd">
              <a:solidFill>
                <a:srgbClr val="00B050"/>
              </a:solidFill>
              <a:round/>
            </a:ln>
            <a:effectLst/>
          </c:spPr>
          <c:marker>
            <c:symbol val="circle"/>
            <c:size val="2"/>
            <c:spPr>
              <a:solidFill>
                <a:srgbClr val="00B050"/>
              </a:solidFill>
              <a:ln w="9525">
                <a:noFill/>
              </a:ln>
              <a:effectLst/>
            </c:spPr>
          </c:marker>
          <c:xVal>
            <c:numRef>
              <c:f>Solution!$BR$19:$BR$22</c:f>
              <c:numCache>
                <c:formatCode>0.0</c:formatCode>
                <c:ptCount val="4"/>
                <c:pt idx="0">
                  <c:v>6.7309999999999999</c:v>
                </c:pt>
                <c:pt idx="1">
                  <c:v>6.0579000000000001</c:v>
                </c:pt>
                <c:pt idx="2">
                  <c:v>2.5731000000000002</c:v>
                </c:pt>
                <c:pt idx="3">
                  <c:v>1.9</c:v>
                </c:pt>
              </c:numCache>
            </c:numRef>
          </c:xVal>
          <c:yVal>
            <c:numRef>
              <c:f>Solution!$BS$19:$BS$22</c:f>
              <c:numCache>
                <c:formatCode>0.0</c:formatCode>
                <c:ptCount val="4"/>
                <c:pt idx="0">
                  <c:v>2</c:v>
                </c:pt>
                <c:pt idx="1">
                  <c:v>7.3340000000000005</c:v>
                </c:pt>
                <c:pt idx="2">
                  <c:v>7.3340000000000005</c:v>
                </c:pt>
                <c:pt idx="3">
                  <c:v>2</c:v>
                </c:pt>
              </c:numCache>
            </c:numRef>
          </c:yVal>
          <c:smooth val="1"/>
          <c:extLst>
            <c:ext xmlns:c16="http://schemas.microsoft.com/office/drawing/2014/chart" uri="{C3380CC4-5D6E-409C-BE32-E72D297353CC}">
              <c16:uniqueId val="{00000097-02BD-4FCC-A03D-625C0E4D2895}"/>
            </c:ext>
          </c:extLst>
        </c:ser>
        <c:ser>
          <c:idx val="97"/>
          <c:order val="117"/>
          <c:tx>
            <c:v>Thigh L 95th 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Solution!$BT$19:$BT$22</c:f>
              <c:numCache>
                <c:formatCode>0.0</c:formatCode>
                <c:ptCount val="4"/>
                <c:pt idx="0">
                  <c:v>8.7629999999999999</c:v>
                </c:pt>
                <c:pt idx="1">
                  <c:v>7.8867000000000003</c:v>
                </c:pt>
                <c:pt idx="2">
                  <c:v>2.7763</c:v>
                </c:pt>
                <c:pt idx="3">
                  <c:v>1.9</c:v>
                </c:pt>
              </c:numCache>
            </c:numRef>
          </c:xVal>
          <c:yVal>
            <c:numRef>
              <c:f>Solution!$BU$19:$BU$22</c:f>
              <c:numCache>
                <c:formatCode>0.0</c:formatCode>
                <c:ptCount val="4"/>
                <c:pt idx="0">
                  <c:v>2</c:v>
                </c:pt>
                <c:pt idx="1">
                  <c:v>9.620000000000001</c:v>
                </c:pt>
                <c:pt idx="2">
                  <c:v>9.620000000000001</c:v>
                </c:pt>
                <c:pt idx="3">
                  <c:v>2</c:v>
                </c:pt>
              </c:numCache>
            </c:numRef>
          </c:yVal>
          <c:smooth val="1"/>
          <c:extLst>
            <c:ext xmlns:c16="http://schemas.microsoft.com/office/drawing/2014/chart" uri="{C3380CC4-5D6E-409C-BE32-E72D297353CC}">
              <c16:uniqueId val="{00000098-02BD-4FCC-A03D-625C0E4D2895}"/>
            </c:ext>
          </c:extLst>
        </c:ser>
        <c:ser>
          <c:idx val="118"/>
          <c:order val="118"/>
          <c:tx>
            <c:v>Thigh R 5th 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Solution!$BI$23:$BI$26</c:f>
              <c:numCache>
                <c:formatCode>0.0</c:formatCode>
                <c:ptCount val="4"/>
                <c:pt idx="0">
                  <c:v>-6.2229999999999999</c:v>
                </c:pt>
                <c:pt idx="1">
                  <c:v>-5.6006999999999998</c:v>
                </c:pt>
                <c:pt idx="2">
                  <c:v>-2.5223</c:v>
                </c:pt>
                <c:pt idx="3">
                  <c:v>-1.9</c:v>
                </c:pt>
              </c:numCache>
            </c:numRef>
          </c:xVal>
          <c:yVal>
            <c:numRef>
              <c:f>Solution!$BJ$23:$BJ$26</c:f>
              <c:numCache>
                <c:formatCode>0.0</c:formatCode>
                <c:ptCount val="4"/>
                <c:pt idx="0">
                  <c:v>2</c:v>
                </c:pt>
                <c:pt idx="1">
                  <c:v>5.3019999999999996</c:v>
                </c:pt>
                <c:pt idx="2">
                  <c:v>5.3019999999999996</c:v>
                </c:pt>
                <c:pt idx="3">
                  <c:v>2</c:v>
                </c:pt>
              </c:numCache>
            </c:numRef>
          </c:yVal>
          <c:smooth val="1"/>
          <c:extLst>
            <c:ext xmlns:c16="http://schemas.microsoft.com/office/drawing/2014/chart" uri="{C3380CC4-5D6E-409C-BE32-E72D297353CC}">
              <c16:uniqueId val="{00000099-02BD-4FCC-A03D-625C0E4D2895}"/>
            </c:ext>
          </c:extLst>
        </c:ser>
        <c:ser>
          <c:idx val="119"/>
          <c:order val="119"/>
          <c:tx>
            <c:v>Thigh R Mean 2</c:v>
          </c:tx>
          <c:spPr>
            <a:ln w="19050" cap="rnd">
              <a:solidFill>
                <a:srgbClr val="00B050"/>
              </a:solidFill>
              <a:round/>
            </a:ln>
            <a:effectLst/>
          </c:spPr>
          <c:marker>
            <c:symbol val="circle"/>
            <c:size val="2"/>
            <c:spPr>
              <a:solidFill>
                <a:srgbClr val="00B050"/>
              </a:solidFill>
              <a:ln w="9525">
                <a:noFill/>
              </a:ln>
              <a:effectLst/>
            </c:spPr>
          </c:marker>
          <c:xVal>
            <c:numRef>
              <c:f>Solution!$BK$23:$BK$26</c:f>
              <c:numCache>
                <c:formatCode>0.0</c:formatCode>
                <c:ptCount val="4"/>
                <c:pt idx="0">
                  <c:v>-7.7469999999999999</c:v>
                </c:pt>
                <c:pt idx="1">
                  <c:v>-6.9722999999999997</c:v>
                </c:pt>
                <c:pt idx="2">
                  <c:v>-2.6747000000000001</c:v>
                </c:pt>
                <c:pt idx="3">
                  <c:v>-1.9</c:v>
                </c:pt>
              </c:numCache>
            </c:numRef>
          </c:xVal>
          <c:yVal>
            <c:numRef>
              <c:f>Solution!$BL$23:$BL$26</c:f>
              <c:numCache>
                <c:formatCode>0.0</c:formatCode>
                <c:ptCount val="4"/>
                <c:pt idx="0">
                  <c:v>2</c:v>
                </c:pt>
                <c:pt idx="1">
                  <c:v>8.35</c:v>
                </c:pt>
                <c:pt idx="2">
                  <c:v>8.35</c:v>
                </c:pt>
                <c:pt idx="3">
                  <c:v>2</c:v>
                </c:pt>
              </c:numCache>
            </c:numRef>
          </c:yVal>
          <c:smooth val="1"/>
          <c:extLst>
            <c:ext xmlns:c16="http://schemas.microsoft.com/office/drawing/2014/chart" uri="{C3380CC4-5D6E-409C-BE32-E72D297353CC}">
              <c16:uniqueId val="{0000009A-02BD-4FCC-A03D-625C0E4D2895}"/>
            </c:ext>
          </c:extLst>
        </c:ser>
        <c:ser>
          <c:idx val="120"/>
          <c:order val="120"/>
          <c:tx>
            <c:v>Thigh R 95th 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Solution!$BM$23:$BM$26</c:f>
              <c:numCache>
                <c:formatCode>0.0</c:formatCode>
                <c:ptCount val="4"/>
                <c:pt idx="0">
                  <c:v>0</c:v>
                </c:pt>
                <c:pt idx="1">
                  <c:v>0</c:v>
                </c:pt>
                <c:pt idx="2">
                  <c:v>-1.9</c:v>
                </c:pt>
                <c:pt idx="3">
                  <c:v>-1.9</c:v>
                </c:pt>
              </c:numCache>
            </c:numRef>
          </c:xVal>
          <c:yVal>
            <c:numRef>
              <c:f>Solution!$BN$23:$BN$26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9B-02BD-4FCC-A03D-625C0E4D2895}"/>
            </c:ext>
          </c:extLst>
        </c:ser>
        <c:ser>
          <c:idx val="121"/>
          <c:order val="121"/>
          <c:tx>
            <c:v>Thigh L 5th 2</c:v>
          </c:tx>
          <c:spPr>
            <a:ln w="19050" cap="rnd">
              <a:solidFill>
                <a:schemeClr val="accent5">
                  <a:lumMod val="60000"/>
                  <a:lumOff val="40000"/>
                </a:schemeClr>
              </a:solidFill>
              <a:round/>
            </a:ln>
            <a:effectLst/>
          </c:spPr>
          <c:marker>
            <c:symbol val="circle"/>
            <c:size val="2"/>
            <c:spPr>
              <a:solidFill>
                <a:schemeClr val="accent2">
                  <a:lumMod val="80000"/>
                  <a:lumOff val="20000"/>
                </a:schemeClr>
              </a:solidFill>
              <a:ln w="9525">
                <a:noFill/>
              </a:ln>
              <a:effectLst/>
            </c:spPr>
          </c:marker>
          <c:xVal>
            <c:numRef>
              <c:f>Solution!$BP$23:$BP$26</c:f>
              <c:numCache>
                <c:formatCode>0.0</c:formatCode>
                <c:ptCount val="4"/>
                <c:pt idx="0">
                  <c:v>6.2229999999999999</c:v>
                </c:pt>
                <c:pt idx="1">
                  <c:v>5.6006999999999998</c:v>
                </c:pt>
                <c:pt idx="2">
                  <c:v>2.5223</c:v>
                </c:pt>
                <c:pt idx="3">
                  <c:v>1.9</c:v>
                </c:pt>
              </c:numCache>
            </c:numRef>
          </c:xVal>
          <c:yVal>
            <c:numRef>
              <c:f>Solution!$BQ$23:$BQ$26</c:f>
              <c:numCache>
                <c:formatCode>0.0</c:formatCode>
                <c:ptCount val="4"/>
                <c:pt idx="0">
                  <c:v>2</c:v>
                </c:pt>
                <c:pt idx="1">
                  <c:v>5.3019999999999996</c:v>
                </c:pt>
                <c:pt idx="2">
                  <c:v>5.3019999999999996</c:v>
                </c:pt>
                <c:pt idx="3">
                  <c:v>2</c:v>
                </c:pt>
              </c:numCache>
            </c:numRef>
          </c:yVal>
          <c:smooth val="1"/>
          <c:extLst>
            <c:ext xmlns:c16="http://schemas.microsoft.com/office/drawing/2014/chart" uri="{C3380CC4-5D6E-409C-BE32-E72D297353CC}">
              <c16:uniqueId val="{0000009C-02BD-4FCC-A03D-625C0E4D2895}"/>
            </c:ext>
          </c:extLst>
        </c:ser>
        <c:ser>
          <c:idx val="122"/>
          <c:order val="122"/>
          <c:tx>
            <c:v>Thigh L Mean 2</c:v>
          </c:tx>
          <c:spPr>
            <a:ln w="19050" cap="rnd">
              <a:solidFill>
                <a:srgbClr val="00B050"/>
              </a:solidFill>
              <a:round/>
            </a:ln>
            <a:effectLst/>
          </c:spPr>
          <c:marker>
            <c:symbol val="circle"/>
            <c:size val="2"/>
            <c:spPr>
              <a:solidFill>
                <a:srgbClr val="00B050"/>
              </a:solidFill>
              <a:ln w="9525">
                <a:noFill/>
              </a:ln>
              <a:effectLst/>
            </c:spPr>
          </c:marker>
          <c:xVal>
            <c:numRef>
              <c:f>Solution!$BR$23:$BR$26</c:f>
              <c:numCache>
                <c:formatCode>0.0</c:formatCode>
                <c:ptCount val="4"/>
                <c:pt idx="0">
                  <c:v>7.7469999999999999</c:v>
                </c:pt>
                <c:pt idx="1">
                  <c:v>6.9722999999999997</c:v>
                </c:pt>
                <c:pt idx="2">
                  <c:v>2.6747000000000001</c:v>
                </c:pt>
                <c:pt idx="3">
                  <c:v>1.9</c:v>
                </c:pt>
              </c:numCache>
            </c:numRef>
          </c:xVal>
          <c:yVal>
            <c:numRef>
              <c:f>Solution!$BS$23:$BS$26</c:f>
              <c:numCache>
                <c:formatCode>0.0</c:formatCode>
                <c:ptCount val="4"/>
                <c:pt idx="0">
                  <c:v>2</c:v>
                </c:pt>
                <c:pt idx="1">
                  <c:v>8.35</c:v>
                </c:pt>
                <c:pt idx="2">
                  <c:v>8.35</c:v>
                </c:pt>
                <c:pt idx="3">
                  <c:v>2</c:v>
                </c:pt>
              </c:numCache>
            </c:numRef>
          </c:yVal>
          <c:smooth val="1"/>
          <c:extLst>
            <c:ext xmlns:c16="http://schemas.microsoft.com/office/drawing/2014/chart" uri="{C3380CC4-5D6E-409C-BE32-E72D297353CC}">
              <c16:uniqueId val="{0000009D-02BD-4FCC-A03D-625C0E4D2895}"/>
            </c:ext>
          </c:extLst>
        </c:ser>
        <c:ser>
          <c:idx val="123"/>
          <c:order val="123"/>
          <c:tx>
            <c:v>Thigh L 95th 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Solution!$BT$23:$BT$26</c:f>
              <c:numCache>
                <c:formatCode>0.0</c:formatCode>
                <c:ptCount val="4"/>
                <c:pt idx="0">
                  <c:v>0</c:v>
                </c:pt>
                <c:pt idx="1">
                  <c:v>0</c:v>
                </c:pt>
                <c:pt idx="2">
                  <c:v>1.9</c:v>
                </c:pt>
                <c:pt idx="3">
                  <c:v>1.9</c:v>
                </c:pt>
              </c:numCache>
            </c:numRef>
          </c:xVal>
          <c:yVal>
            <c:numRef>
              <c:f>Solution!$BU$23:$BU$26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9E-02BD-4FCC-A03D-625C0E4D2895}"/>
            </c:ext>
          </c:extLst>
        </c:ser>
        <c:ser>
          <c:idx val="124"/>
          <c:order val="124"/>
          <c:tx>
            <c:v>Thigh R 5th 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Solution!$BI$27:$BI$30</c:f>
              <c:numCache>
                <c:formatCode>0.0</c:formatCode>
                <c:ptCount val="4"/>
                <c:pt idx="0">
                  <c:v>-7.4930000000000003</c:v>
                </c:pt>
                <c:pt idx="1">
                  <c:v>-6.7437000000000005</c:v>
                </c:pt>
                <c:pt idx="2">
                  <c:v>-2.6493000000000002</c:v>
                </c:pt>
                <c:pt idx="3">
                  <c:v>-1.9</c:v>
                </c:pt>
              </c:numCache>
            </c:numRef>
          </c:xVal>
          <c:yVal>
            <c:numRef>
              <c:f>Solution!$BJ$27:$BJ$30</c:f>
              <c:numCache>
                <c:formatCode>0.0</c:formatCode>
                <c:ptCount val="4"/>
                <c:pt idx="0">
                  <c:v>2</c:v>
                </c:pt>
                <c:pt idx="1">
                  <c:v>5.8100000000000005</c:v>
                </c:pt>
                <c:pt idx="2">
                  <c:v>5.8100000000000005</c:v>
                </c:pt>
                <c:pt idx="3">
                  <c:v>2</c:v>
                </c:pt>
              </c:numCache>
            </c:numRef>
          </c:yVal>
          <c:smooth val="1"/>
          <c:extLst>
            <c:ext xmlns:c16="http://schemas.microsoft.com/office/drawing/2014/chart" uri="{C3380CC4-5D6E-409C-BE32-E72D297353CC}">
              <c16:uniqueId val="{0000009F-02BD-4FCC-A03D-625C0E4D2895}"/>
            </c:ext>
          </c:extLst>
        </c:ser>
        <c:ser>
          <c:idx val="125"/>
          <c:order val="125"/>
          <c:tx>
            <c:v>Thigh R Mean 3</c:v>
          </c:tx>
          <c:spPr>
            <a:ln w="19050" cap="rnd">
              <a:solidFill>
                <a:srgbClr val="00B050"/>
              </a:solidFill>
              <a:round/>
            </a:ln>
            <a:effectLst/>
          </c:spPr>
          <c:marker>
            <c:symbol val="circle"/>
            <c:size val="2"/>
            <c:spPr>
              <a:solidFill>
                <a:schemeClr val="accent6">
                  <a:lumMod val="80000"/>
                  <a:lumOff val="20000"/>
                </a:schemeClr>
              </a:solidFill>
              <a:ln w="9525">
                <a:noFill/>
              </a:ln>
              <a:effectLst/>
            </c:spPr>
          </c:marker>
          <c:xVal>
            <c:numRef>
              <c:f>Solution!$BK$27:$BK$30</c:f>
              <c:numCache>
                <c:formatCode>0.0</c:formatCode>
                <c:ptCount val="4"/>
                <c:pt idx="0">
                  <c:v>-8.5090000000000003</c:v>
                </c:pt>
                <c:pt idx="1">
                  <c:v>-7.6581000000000001</c:v>
                </c:pt>
                <c:pt idx="2">
                  <c:v>-2.7509000000000001</c:v>
                </c:pt>
                <c:pt idx="3">
                  <c:v>-1.9</c:v>
                </c:pt>
              </c:numCache>
            </c:numRef>
          </c:xVal>
          <c:yVal>
            <c:numRef>
              <c:f>Solution!$BL$27:$BL$30</c:f>
              <c:numCache>
                <c:formatCode>0.0</c:formatCode>
                <c:ptCount val="4"/>
                <c:pt idx="0">
                  <c:v>2</c:v>
                </c:pt>
                <c:pt idx="1">
                  <c:v>8.8580000000000005</c:v>
                </c:pt>
                <c:pt idx="2">
                  <c:v>8.8580000000000005</c:v>
                </c:pt>
                <c:pt idx="3">
                  <c:v>2</c:v>
                </c:pt>
              </c:numCache>
            </c:numRef>
          </c:yVal>
          <c:smooth val="1"/>
          <c:extLst>
            <c:ext xmlns:c16="http://schemas.microsoft.com/office/drawing/2014/chart" uri="{C3380CC4-5D6E-409C-BE32-E72D297353CC}">
              <c16:uniqueId val="{000000A0-02BD-4FCC-A03D-625C0E4D2895}"/>
            </c:ext>
          </c:extLst>
        </c:ser>
        <c:ser>
          <c:idx val="126"/>
          <c:order val="126"/>
          <c:tx>
            <c:v>Thigh R 95th 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Solution!$BM$27:$BM$30</c:f>
              <c:numCache>
                <c:formatCode>0.0</c:formatCode>
                <c:ptCount val="4"/>
                <c:pt idx="0">
                  <c:v>0</c:v>
                </c:pt>
                <c:pt idx="1">
                  <c:v>0</c:v>
                </c:pt>
                <c:pt idx="2">
                  <c:v>-1.9</c:v>
                </c:pt>
                <c:pt idx="3">
                  <c:v>-1.9</c:v>
                </c:pt>
              </c:numCache>
            </c:numRef>
          </c:xVal>
          <c:yVal>
            <c:numRef>
              <c:f>Solution!$BN$27:$BN$30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1-02BD-4FCC-A03D-625C0E4D2895}"/>
            </c:ext>
          </c:extLst>
        </c:ser>
        <c:ser>
          <c:idx val="127"/>
          <c:order val="127"/>
          <c:tx>
            <c:v>Thigh L 5th 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Solution!$BP$27:$BP$30</c:f>
              <c:numCache>
                <c:formatCode>0.0</c:formatCode>
                <c:ptCount val="4"/>
                <c:pt idx="0">
                  <c:v>7.4930000000000003</c:v>
                </c:pt>
                <c:pt idx="1">
                  <c:v>6.7437000000000005</c:v>
                </c:pt>
                <c:pt idx="2">
                  <c:v>2.6493000000000002</c:v>
                </c:pt>
                <c:pt idx="3">
                  <c:v>1.9</c:v>
                </c:pt>
              </c:numCache>
            </c:numRef>
          </c:xVal>
          <c:yVal>
            <c:numRef>
              <c:f>Solution!$BQ$27:$BQ$30</c:f>
              <c:numCache>
                <c:formatCode>0.0</c:formatCode>
                <c:ptCount val="4"/>
                <c:pt idx="0">
                  <c:v>2</c:v>
                </c:pt>
                <c:pt idx="1">
                  <c:v>5.8100000000000005</c:v>
                </c:pt>
                <c:pt idx="2">
                  <c:v>5.8100000000000005</c:v>
                </c:pt>
                <c:pt idx="3">
                  <c:v>2</c:v>
                </c:pt>
              </c:numCache>
            </c:numRef>
          </c:yVal>
          <c:smooth val="1"/>
          <c:extLst>
            <c:ext xmlns:c16="http://schemas.microsoft.com/office/drawing/2014/chart" uri="{C3380CC4-5D6E-409C-BE32-E72D297353CC}">
              <c16:uniqueId val="{000000A2-02BD-4FCC-A03D-625C0E4D2895}"/>
            </c:ext>
          </c:extLst>
        </c:ser>
        <c:ser>
          <c:idx val="128"/>
          <c:order val="128"/>
          <c:tx>
            <c:v>Thigh L Mean 3</c:v>
          </c:tx>
          <c:spPr>
            <a:ln w="19050" cap="rnd">
              <a:solidFill>
                <a:srgbClr val="00B050"/>
              </a:solidFill>
              <a:round/>
            </a:ln>
            <a:effectLst/>
          </c:spPr>
          <c:marker>
            <c:symbol val="circle"/>
            <c:size val="2"/>
            <c:spPr>
              <a:solidFill>
                <a:srgbClr val="00B050"/>
              </a:solidFill>
              <a:ln w="9525">
                <a:noFill/>
              </a:ln>
              <a:effectLst/>
            </c:spPr>
          </c:marker>
          <c:xVal>
            <c:numRef>
              <c:f>Solution!$BR$27:$BR$30</c:f>
              <c:numCache>
                <c:formatCode>0.0</c:formatCode>
                <c:ptCount val="4"/>
                <c:pt idx="0">
                  <c:v>8.5090000000000003</c:v>
                </c:pt>
                <c:pt idx="1">
                  <c:v>7.6581000000000001</c:v>
                </c:pt>
                <c:pt idx="2">
                  <c:v>2.7509000000000001</c:v>
                </c:pt>
                <c:pt idx="3">
                  <c:v>1.9</c:v>
                </c:pt>
              </c:numCache>
            </c:numRef>
          </c:xVal>
          <c:yVal>
            <c:numRef>
              <c:f>Solution!$BS$27:$BS$30</c:f>
              <c:numCache>
                <c:formatCode>0.0</c:formatCode>
                <c:ptCount val="4"/>
                <c:pt idx="0">
                  <c:v>2</c:v>
                </c:pt>
                <c:pt idx="1">
                  <c:v>8.8580000000000005</c:v>
                </c:pt>
                <c:pt idx="2">
                  <c:v>8.8580000000000005</c:v>
                </c:pt>
                <c:pt idx="3">
                  <c:v>2</c:v>
                </c:pt>
              </c:numCache>
            </c:numRef>
          </c:yVal>
          <c:smooth val="1"/>
          <c:extLst>
            <c:ext xmlns:c16="http://schemas.microsoft.com/office/drawing/2014/chart" uri="{C3380CC4-5D6E-409C-BE32-E72D297353CC}">
              <c16:uniqueId val="{000000A3-02BD-4FCC-A03D-625C0E4D2895}"/>
            </c:ext>
          </c:extLst>
        </c:ser>
        <c:ser>
          <c:idx val="129"/>
          <c:order val="129"/>
          <c:tx>
            <c:v>Thigh L 95th 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Solution!$BT$27:$BT$30</c:f>
              <c:numCache>
                <c:formatCode>0.0</c:formatCode>
                <c:ptCount val="4"/>
                <c:pt idx="0">
                  <c:v>0</c:v>
                </c:pt>
                <c:pt idx="1">
                  <c:v>0</c:v>
                </c:pt>
                <c:pt idx="2">
                  <c:v>1.9</c:v>
                </c:pt>
                <c:pt idx="3">
                  <c:v>1.9</c:v>
                </c:pt>
              </c:numCache>
            </c:numRef>
          </c:xVal>
          <c:yVal>
            <c:numRef>
              <c:f>Solution!$BU$27:$BU$30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4-02BD-4FCC-A03D-625C0E4D2895}"/>
            </c:ext>
          </c:extLst>
        </c:ser>
        <c:ser>
          <c:idx val="130"/>
          <c:order val="130"/>
          <c:tx>
            <c:v>Thigh R 5th 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Solution!$BI$31:$BI$34</c:f>
              <c:numCache>
                <c:formatCode>0.0</c:formatCode>
                <c:ptCount val="4"/>
                <c:pt idx="0">
                  <c:v>-6.9850000000000003</c:v>
                </c:pt>
                <c:pt idx="1">
                  <c:v>-6.2865000000000002</c:v>
                </c:pt>
                <c:pt idx="2">
                  <c:v>-2.5985</c:v>
                </c:pt>
                <c:pt idx="3">
                  <c:v>-1.9</c:v>
                </c:pt>
              </c:numCache>
            </c:numRef>
          </c:xVal>
          <c:yVal>
            <c:numRef>
              <c:f>Solution!$BJ$31:$BJ$34</c:f>
              <c:numCache>
                <c:formatCode>0.0</c:formatCode>
                <c:ptCount val="4"/>
                <c:pt idx="0">
                  <c:v>2</c:v>
                </c:pt>
                <c:pt idx="1">
                  <c:v>6.8259999999999987</c:v>
                </c:pt>
                <c:pt idx="2">
                  <c:v>6.8259999999999987</c:v>
                </c:pt>
                <c:pt idx="3">
                  <c:v>2</c:v>
                </c:pt>
              </c:numCache>
            </c:numRef>
          </c:yVal>
          <c:smooth val="1"/>
          <c:extLst>
            <c:ext xmlns:c16="http://schemas.microsoft.com/office/drawing/2014/chart" uri="{C3380CC4-5D6E-409C-BE32-E72D297353CC}">
              <c16:uniqueId val="{000000A5-02BD-4FCC-A03D-625C0E4D2895}"/>
            </c:ext>
          </c:extLst>
        </c:ser>
        <c:ser>
          <c:idx val="131"/>
          <c:order val="131"/>
          <c:tx>
            <c:v>Thigh R Mean 4</c:v>
          </c:tx>
          <c:spPr>
            <a:ln w="19050" cap="rnd">
              <a:solidFill>
                <a:srgbClr val="00B050"/>
              </a:solidFill>
              <a:round/>
            </a:ln>
            <a:effectLst/>
          </c:spPr>
          <c:marker>
            <c:symbol val="circle"/>
            <c:size val="2"/>
            <c:spPr>
              <a:solidFill>
                <a:srgbClr val="00B050"/>
              </a:solidFill>
              <a:ln w="9525">
                <a:noFill/>
              </a:ln>
              <a:effectLst/>
            </c:spPr>
          </c:marker>
          <c:xVal>
            <c:numRef>
              <c:f>Solution!$BK$31:$BK$34</c:f>
              <c:numCache>
                <c:formatCode>0.0</c:formatCode>
                <c:ptCount val="4"/>
                <c:pt idx="0">
                  <c:v>0</c:v>
                </c:pt>
                <c:pt idx="1">
                  <c:v>0</c:v>
                </c:pt>
                <c:pt idx="2">
                  <c:v>-1.9</c:v>
                </c:pt>
                <c:pt idx="3">
                  <c:v>-1.9</c:v>
                </c:pt>
              </c:numCache>
            </c:numRef>
          </c:xVal>
          <c:yVal>
            <c:numRef>
              <c:f>Solution!$BL$31:$BL$34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6-02BD-4FCC-A03D-625C0E4D2895}"/>
            </c:ext>
          </c:extLst>
        </c:ser>
        <c:ser>
          <c:idx val="132"/>
          <c:order val="132"/>
          <c:tx>
            <c:v>Thigh R 95th 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Solution!$BM$31:$BM$34</c:f>
              <c:numCache>
                <c:formatCode>0.0</c:formatCode>
                <c:ptCount val="4"/>
                <c:pt idx="0">
                  <c:v>0</c:v>
                </c:pt>
                <c:pt idx="1">
                  <c:v>0</c:v>
                </c:pt>
                <c:pt idx="2">
                  <c:v>-1.9</c:v>
                </c:pt>
                <c:pt idx="3">
                  <c:v>-1.9</c:v>
                </c:pt>
              </c:numCache>
            </c:numRef>
          </c:xVal>
          <c:yVal>
            <c:numRef>
              <c:f>Solution!$BN$31:$BN$34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7-02BD-4FCC-A03D-625C0E4D2895}"/>
            </c:ext>
          </c:extLst>
        </c:ser>
        <c:ser>
          <c:idx val="133"/>
          <c:order val="133"/>
          <c:tx>
            <c:v>Thigh L 5th 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solidFill>
                  <a:schemeClr val="accent2">
                    <a:lumMod val="60000"/>
                    <a:lumOff val="40000"/>
                  </a:schemeClr>
                </a:solidFill>
              </a:ln>
              <a:effectLst/>
            </c:spPr>
          </c:marker>
          <c:xVal>
            <c:numRef>
              <c:f>Solution!$BP$31:$BP$34</c:f>
              <c:numCache>
                <c:formatCode>0.0</c:formatCode>
                <c:ptCount val="4"/>
                <c:pt idx="0">
                  <c:v>6.9850000000000003</c:v>
                </c:pt>
                <c:pt idx="1">
                  <c:v>6.2865000000000002</c:v>
                </c:pt>
                <c:pt idx="2">
                  <c:v>2.5985</c:v>
                </c:pt>
                <c:pt idx="3">
                  <c:v>1.9</c:v>
                </c:pt>
              </c:numCache>
            </c:numRef>
          </c:xVal>
          <c:yVal>
            <c:numRef>
              <c:f>Solution!$BQ$31:$BQ$34</c:f>
              <c:numCache>
                <c:formatCode>0.0</c:formatCode>
                <c:ptCount val="4"/>
                <c:pt idx="0">
                  <c:v>2</c:v>
                </c:pt>
                <c:pt idx="1">
                  <c:v>6.8259999999999987</c:v>
                </c:pt>
                <c:pt idx="2">
                  <c:v>6.8259999999999987</c:v>
                </c:pt>
                <c:pt idx="3">
                  <c:v>2</c:v>
                </c:pt>
              </c:numCache>
            </c:numRef>
          </c:yVal>
          <c:smooth val="1"/>
          <c:extLst>
            <c:ext xmlns:c16="http://schemas.microsoft.com/office/drawing/2014/chart" uri="{C3380CC4-5D6E-409C-BE32-E72D297353CC}">
              <c16:uniqueId val="{000000A8-02BD-4FCC-A03D-625C0E4D2895}"/>
            </c:ext>
          </c:extLst>
        </c:ser>
        <c:ser>
          <c:idx val="135"/>
          <c:order val="134"/>
          <c:tx>
            <c:v>Thigh L Mean 4</c:v>
          </c:tx>
          <c:spPr>
            <a:ln w="19050" cap="rnd">
              <a:solidFill>
                <a:srgbClr val="00B050"/>
              </a:solidFill>
              <a:round/>
            </a:ln>
            <a:effectLst/>
          </c:spPr>
          <c:marker>
            <c:symbol val="circle"/>
            <c:size val="2"/>
            <c:spPr>
              <a:solidFill>
                <a:srgbClr val="00B050"/>
              </a:solidFill>
              <a:ln w="9525">
                <a:noFill/>
              </a:ln>
              <a:effectLst/>
            </c:spPr>
          </c:marker>
          <c:xVal>
            <c:numRef>
              <c:f>Solution!$BR$31:$BR$34</c:f>
              <c:numCache>
                <c:formatCode>0.0</c:formatCode>
                <c:ptCount val="4"/>
                <c:pt idx="0">
                  <c:v>0</c:v>
                </c:pt>
                <c:pt idx="1">
                  <c:v>0</c:v>
                </c:pt>
                <c:pt idx="2">
                  <c:v>1.9</c:v>
                </c:pt>
                <c:pt idx="3">
                  <c:v>1.9</c:v>
                </c:pt>
              </c:numCache>
            </c:numRef>
          </c:xVal>
          <c:yVal>
            <c:numRef>
              <c:f>Solution!$BS$31:$BS$34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9-02BD-4FCC-A03D-625C0E4D2895}"/>
            </c:ext>
          </c:extLst>
        </c:ser>
        <c:ser>
          <c:idx val="136"/>
          <c:order val="135"/>
          <c:tx>
            <c:v>Thigh L 95th 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Solution!$BT$31:$BT$34</c:f>
              <c:numCache>
                <c:formatCode>0.0</c:formatCode>
                <c:ptCount val="4"/>
                <c:pt idx="0">
                  <c:v>0</c:v>
                </c:pt>
                <c:pt idx="1">
                  <c:v>0</c:v>
                </c:pt>
                <c:pt idx="2">
                  <c:v>1.9</c:v>
                </c:pt>
                <c:pt idx="3">
                  <c:v>1.9</c:v>
                </c:pt>
              </c:numCache>
            </c:numRef>
          </c:xVal>
          <c:yVal>
            <c:numRef>
              <c:f>Solution!$BU$31:$BU$34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A-02BD-4FCC-A03D-625C0E4D2895}"/>
            </c:ext>
          </c:extLst>
        </c:ser>
        <c:ser>
          <c:idx val="134"/>
          <c:order val="136"/>
          <c:tx>
            <c:v>Thigh R 5th 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Solution!$BI$35:$BI$38</c:f>
              <c:numCache>
                <c:formatCode>0.0</c:formatCode>
                <c:ptCount val="4"/>
                <c:pt idx="0">
                  <c:v>0</c:v>
                </c:pt>
                <c:pt idx="1">
                  <c:v>0</c:v>
                </c:pt>
                <c:pt idx="2">
                  <c:v>-1.9</c:v>
                </c:pt>
                <c:pt idx="3">
                  <c:v>-1.9</c:v>
                </c:pt>
              </c:numCache>
            </c:numRef>
          </c:xVal>
          <c:yVal>
            <c:numRef>
              <c:f>Solution!$BJ$35:$BJ$38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B-02BD-4FCC-A03D-625C0E4D2895}"/>
            </c:ext>
          </c:extLst>
        </c:ser>
        <c:ser>
          <c:idx val="137"/>
          <c:order val="137"/>
          <c:tx>
            <c:v>Thigh R Mean 5</c:v>
          </c:tx>
          <c:spPr>
            <a:ln w="19050" cap="rnd">
              <a:solidFill>
                <a:srgbClr val="00B050"/>
              </a:solidFill>
              <a:round/>
            </a:ln>
            <a:effectLst/>
          </c:spPr>
          <c:marker>
            <c:symbol val="circle"/>
            <c:size val="2"/>
            <c:spPr>
              <a:solidFill>
                <a:srgbClr val="00B050"/>
              </a:solidFill>
              <a:ln w="9525">
                <a:noFill/>
              </a:ln>
              <a:effectLst/>
            </c:spPr>
          </c:marker>
          <c:xVal>
            <c:numRef>
              <c:f>Solution!$BK$35:$BK$38</c:f>
              <c:numCache>
                <c:formatCode>0.0</c:formatCode>
                <c:ptCount val="4"/>
                <c:pt idx="0">
                  <c:v>0</c:v>
                </c:pt>
                <c:pt idx="1">
                  <c:v>0</c:v>
                </c:pt>
                <c:pt idx="2">
                  <c:v>-1.9</c:v>
                </c:pt>
                <c:pt idx="3">
                  <c:v>-1.9</c:v>
                </c:pt>
              </c:numCache>
            </c:numRef>
          </c:xVal>
          <c:yVal>
            <c:numRef>
              <c:f>Solution!$BL$35:$BL$38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C-02BD-4FCC-A03D-625C0E4D2895}"/>
            </c:ext>
          </c:extLst>
        </c:ser>
        <c:ser>
          <c:idx val="138"/>
          <c:order val="138"/>
          <c:tx>
            <c:v>Thigh R 95th 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Solution!$BM$35:$BM$38</c:f>
              <c:numCache>
                <c:formatCode>0.0</c:formatCode>
                <c:ptCount val="4"/>
                <c:pt idx="0">
                  <c:v>0</c:v>
                </c:pt>
                <c:pt idx="1">
                  <c:v>0</c:v>
                </c:pt>
                <c:pt idx="2">
                  <c:v>-1.9</c:v>
                </c:pt>
                <c:pt idx="3">
                  <c:v>-1.9</c:v>
                </c:pt>
              </c:numCache>
            </c:numRef>
          </c:xVal>
          <c:yVal>
            <c:numRef>
              <c:f>Solution!$BN$35:$BN$38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D-02BD-4FCC-A03D-625C0E4D2895}"/>
            </c:ext>
          </c:extLst>
        </c:ser>
        <c:ser>
          <c:idx val="139"/>
          <c:order val="139"/>
          <c:tx>
            <c:v>Thigh L 5th 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Solution!$BP$35:$BP$38</c:f>
              <c:numCache>
                <c:formatCode>0.0</c:formatCode>
                <c:ptCount val="4"/>
                <c:pt idx="0">
                  <c:v>0</c:v>
                </c:pt>
                <c:pt idx="1">
                  <c:v>0</c:v>
                </c:pt>
                <c:pt idx="2">
                  <c:v>1.9</c:v>
                </c:pt>
                <c:pt idx="3">
                  <c:v>1.9</c:v>
                </c:pt>
              </c:numCache>
            </c:numRef>
          </c:xVal>
          <c:yVal>
            <c:numRef>
              <c:f>Solution!$BQ$35:$BQ$38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E-02BD-4FCC-A03D-625C0E4D2895}"/>
            </c:ext>
          </c:extLst>
        </c:ser>
        <c:ser>
          <c:idx val="140"/>
          <c:order val="140"/>
          <c:tx>
            <c:v>Thigh L Mean 5</c:v>
          </c:tx>
          <c:spPr>
            <a:ln w="19050" cap="rnd">
              <a:solidFill>
                <a:srgbClr val="00B050"/>
              </a:solidFill>
              <a:round/>
            </a:ln>
            <a:effectLst/>
          </c:spPr>
          <c:marker>
            <c:symbol val="circle"/>
            <c:size val="2"/>
            <c:spPr>
              <a:solidFill>
                <a:srgbClr val="00B050"/>
              </a:solidFill>
              <a:ln w="9525">
                <a:noFill/>
              </a:ln>
              <a:effectLst/>
            </c:spPr>
          </c:marker>
          <c:xVal>
            <c:numRef>
              <c:f>Solution!$BR$35:$BR$38</c:f>
              <c:numCache>
                <c:formatCode>0.0</c:formatCode>
                <c:ptCount val="4"/>
                <c:pt idx="0">
                  <c:v>0</c:v>
                </c:pt>
                <c:pt idx="1">
                  <c:v>0</c:v>
                </c:pt>
                <c:pt idx="2">
                  <c:v>1.9</c:v>
                </c:pt>
                <c:pt idx="3">
                  <c:v>1.9</c:v>
                </c:pt>
              </c:numCache>
            </c:numRef>
          </c:xVal>
          <c:yVal>
            <c:numRef>
              <c:f>Solution!$BS$35:$BS$38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AF-02BD-4FCC-A03D-625C0E4D2895}"/>
            </c:ext>
          </c:extLst>
        </c:ser>
        <c:ser>
          <c:idx val="141"/>
          <c:order val="141"/>
          <c:tx>
            <c:v>Thigh L 95th 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Solution!$BT$35:$BT$38</c:f>
              <c:numCache>
                <c:formatCode>0.0</c:formatCode>
                <c:ptCount val="4"/>
                <c:pt idx="0">
                  <c:v>0</c:v>
                </c:pt>
                <c:pt idx="1">
                  <c:v>0</c:v>
                </c:pt>
                <c:pt idx="2">
                  <c:v>1.9</c:v>
                </c:pt>
                <c:pt idx="3">
                  <c:v>1.9</c:v>
                </c:pt>
              </c:numCache>
            </c:numRef>
          </c:xVal>
          <c:yVal>
            <c:numRef>
              <c:f>Solution!$BU$35:$BU$38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0-02BD-4FCC-A03D-625C0E4D2895}"/>
            </c:ext>
          </c:extLst>
        </c:ser>
        <c:ser>
          <c:idx val="142"/>
          <c:order val="142"/>
          <c:tx>
            <c:v>Thigh R 5th 6</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Solution!$BI$39:$BI$42</c:f>
              <c:numCache>
                <c:formatCode>0.0</c:formatCode>
                <c:ptCount val="4"/>
                <c:pt idx="0">
                  <c:v>0</c:v>
                </c:pt>
                <c:pt idx="1">
                  <c:v>0</c:v>
                </c:pt>
                <c:pt idx="2">
                  <c:v>-1.9</c:v>
                </c:pt>
                <c:pt idx="3">
                  <c:v>-1.9</c:v>
                </c:pt>
              </c:numCache>
            </c:numRef>
          </c:xVal>
          <c:yVal>
            <c:numRef>
              <c:f>Solution!$BJ$39:$BJ$42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1-02BD-4FCC-A03D-625C0E4D2895}"/>
            </c:ext>
          </c:extLst>
        </c:ser>
        <c:ser>
          <c:idx val="143"/>
          <c:order val="143"/>
          <c:tx>
            <c:v>Thigh R Mean 6</c:v>
          </c:tx>
          <c:spPr>
            <a:ln w="19050" cap="rnd">
              <a:solidFill>
                <a:srgbClr val="00B050"/>
              </a:solidFill>
              <a:round/>
            </a:ln>
            <a:effectLst/>
          </c:spPr>
          <c:marker>
            <c:symbol val="circle"/>
            <c:size val="2"/>
            <c:spPr>
              <a:solidFill>
                <a:srgbClr val="00B050"/>
              </a:solidFill>
              <a:ln w="9525">
                <a:noFill/>
              </a:ln>
              <a:effectLst/>
            </c:spPr>
          </c:marker>
          <c:xVal>
            <c:numRef>
              <c:f>Solution!$BK$39:$BK$42</c:f>
              <c:numCache>
                <c:formatCode>0.0</c:formatCode>
                <c:ptCount val="4"/>
                <c:pt idx="0">
                  <c:v>0</c:v>
                </c:pt>
                <c:pt idx="1">
                  <c:v>0</c:v>
                </c:pt>
                <c:pt idx="2">
                  <c:v>-1.9</c:v>
                </c:pt>
                <c:pt idx="3">
                  <c:v>-1.9</c:v>
                </c:pt>
              </c:numCache>
            </c:numRef>
          </c:xVal>
          <c:yVal>
            <c:numRef>
              <c:f>Solution!$BL$39:$BL$42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2-02BD-4FCC-A03D-625C0E4D2895}"/>
            </c:ext>
          </c:extLst>
        </c:ser>
        <c:ser>
          <c:idx val="144"/>
          <c:order val="144"/>
          <c:tx>
            <c:v>Thigh R 95th 6</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Solution!$BM$39:$BM$42</c:f>
              <c:numCache>
                <c:formatCode>0.0</c:formatCode>
                <c:ptCount val="4"/>
                <c:pt idx="0">
                  <c:v>0</c:v>
                </c:pt>
                <c:pt idx="1">
                  <c:v>0</c:v>
                </c:pt>
                <c:pt idx="2">
                  <c:v>-1.9</c:v>
                </c:pt>
                <c:pt idx="3">
                  <c:v>-1.9</c:v>
                </c:pt>
              </c:numCache>
            </c:numRef>
          </c:xVal>
          <c:yVal>
            <c:numRef>
              <c:f>Solution!$BN$39:$BN$42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3-02BD-4FCC-A03D-625C0E4D2895}"/>
            </c:ext>
          </c:extLst>
        </c:ser>
        <c:ser>
          <c:idx val="145"/>
          <c:order val="145"/>
          <c:tx>
            <c:v>Thigh L 5th 6</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Solution!$BP$39:$BP$42</c:f>
              <c:numCache>
                <c:formatCode>0.0</c:formatCode>
                <c:ptCount val="4"/>
                <c:pt idx="0">
                  <c:v>0</c:v>
                </c:pt>
                <c:pt idx="1">
                  <c:v>0</c:v>
                </c:pt>
                <c:pt idx="2">
                  <c:v>1.9</c:v>
                </c:pt>
                <c:pt idx="3">
                  <c:v>1.9</c:v>
                </c:pt>
              </c:numCache>
            </c:numRef>
          </c:xVal>
          <c:yVal>
            <c:numRef>
              <c:f>Solution!$BQ$39:$BQ$42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4-02BD-4FCC-A03D-625C0E4D2895}"/>
            </c:ext>
          </c:extLst>
        </c:ser>
        <c:ser>
          <c:idx val="146"/>
          <c:order val="146"/>
          <c:tx>
            <c:v>Thigh L Mean 6</c:v>
          </c:tx>
          <c:spPr>
            <a:ln w="19050" cap="rnd">
              <a:solidFill>
                <a:srgbClr val="00B050"/>
              </a:solidFill>
              <a:round/>
            </a:ln>
            <a:effectLst/>
          </c:spPr>
          <c:marker>
            <c:symbol val="circle"/>
            <c:size val="2"/>
            <c:spPr>
              <a:solidFill>
                <a:schemeClr val="accent3">
                  <a:lumMod val="70000"/>
                  <a:lumOff val="30000"/>
                </a:schemeClr>
              </a:solidFill>
              <a:ln w="9525">
                <a:noFill/>
              </a:ln>
              <a:effectLst/>
            </c:spPr>
          </c:marker>
          <c:xVal>
            <c:numRef>
              <c:f>Solution!$BR$39:$BR$42</c:f>
              <c:numCache>
                <c:formatCode>0.0</c:formatCode>
                <c:ptCount val="4"/>
                <c:pt idx="0">
                  <c:v>0</c:v>
                </c:pt>
                <c:pt idx="1">
                  <c:v>0</c:v>
                </c:pt>
                <c:pt idx="2">
                  <c:v>1.9</c:v>
                </c:pt>
                <c:pt idx="3">
                  <c:v>1.9</c:v>
                </c:pt>
              </c:numCache>
            </c:numRef>
          </c:xVal>
          <c:yVal>
            <c:numRef>
              <c:f>Solution!$BS$39:$BS$42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5-02BD-4FCC-A03D-625C0E4D2895}"/>
            </c:ext>
          </c:extLst>
        </c:ser>
        <c:ser>
          <c:idx val="147"/>
          <c:order val="147"/>
          <c:tx>
            <c:v>Thigh L 95th 6</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Solution!$BT$39:$BT$42</c:f>
              <c:numCache>
                <c:formatCode>0.0</c:formatCode>
                <c:ptCount val="4"/>
                <c:pt idx="0">
                  <c:v>0</c:v>
                </c:pt>
                <c:pt idx="1">
                  <c:v>0</c:v>
                </c:pt>
                <c:pt idx="2">
                  <c:v>1.9</c:v>
                </c:pt>
                <c:pt idx="3">
                  <c:v>1.9</c:v>
                </c:pt>
              </c:numCache>
            </c:numRef>
          </c:xVal>
          <c:yVal>
            <c:numRef>
              <c:f>Solution!$BU$39:$BU$42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6-02BD-4FCC-A03D-625C0E4D2895}"/>
            </c:ext>
          </c:extLst>
        </c:ser>
        <c:ser>
          <c:idx val="148"/>
          <c:order val="148"/>
          <c:tx>
            <c:v>Thigh R 5th 7</c:v>
          </c:tx>
          <c:spPr>
            <a:ln w="19050" cap="rnd">
              <a:solidFill>
                <a:schemeClr val="accent5">
                  <a:lumMod val="70000"/>
                  <a:lumOff val="30000"/>
                </a:schemeClr>
              </a:solidFill>
              <a:round/>
            </a:ln>
            <a:effectLst/>
          </c:spPr>
          <c:marker>
            <c:symbol val="circle"/>
            <c:size val="2"/>
            <c:spPr>
              <a:solidFill>
                <a:schemeClr val="accent5">
                  <a:lumMod val="60000"/>
                  <a:lumOff val="40000"/>
                </a:schemeClr>
              </a:solidFill>
              <a:ln w="9525">
                <a:noFill/>
              </a:ln>
              <a:effectLst/>
            </c:spPr>
          </c:marker>
          <c:xVal>
            <c:numRef>
              <c:f>Solution!$BI$43:$BI$46</c:f>
              <c:numCache>
                <c:formatCode>0.0</c:formatCode>
                <c:ptCount val="4"/>
                <c:pt idx="0">
                  <c:v>0</c:v>
                </c:pt>
                <c:pt idx="1">
                  <c:v>0</c:v>
                </c:pt>
                <c:pt idx="2">
                  <c:v>-1.9</c:v>
                </c:pt>
                <c:pt idx="3">
                  <c:v>-1.9</c:v>
                </c:pt>
              </c:numCache>
            </c:numRef>
          </c:xVal>
          <c:yVal>
            <c:numRef>
              <c:f>Solution!$BJ$43:$BJ$46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7-02BD-4FCC-A03D-625C0E4D2895}"/>
            </c:ext>
          </c:extLst>
        </c:ser>
        <c:ser>
          <c:idx val="149"/>
          <c:order val="149"/>
          <c:tx>
            <c:v>Thigh R Mean 7</c:v>
          </c:tx>
          <c:spPr>
            <a:ln w="19050" cap="rnd">
              <a:solidFill>
                <a:srgbClr val="00B050"/>
              </a:solidFill>
              <a:round/>
            </a:ln>
            <a:effectLst/>
          </c:spPr>
          <c:marker>
            <c:symbol val="circle"/>
            <c:size val="2"/>
            <c:spPr>
              <a:solidFill>
                <a:srgbClr val="00B050"/>
              </a:solidFill>
              <a:ln w="9525">
                <a:noFill/>
              </a:ln>
              <a:effectLst/>
            </c:spPr>
          </c:marker>
          <c:xVal>
            <c:numRef>
              <c:f>Solution!$BK$43:$BK$46</c:f>
              <c:numCache>
                <c:formatCode>0.0</c:formatCode>
                <c:ptCount val="4"/>
                <c:pt idx="0">
                  <c:v>0</c:v>
                </c:pt>
                <c:pt idx="1">
                  <c:v>0</c:v>
                </c:pt>
                <c:pt idx="2">
                  <c:v>-1.9</c:v>
                </c:pt>
                <c:pt idx="3">
                  <c:v>-1.9</c:v>
                </c:pt>
              </c:numCache>
            </c:numRef>
          </c:xVal>
          <c:yVal>
            <c:numRef>
              <c:f>Solution!$BL$43:$BL$46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8-02BD-4FCC-A03D-625C0E4D2895}"/>
            </c:ext>
          </c:extLst>
        </c:ser>
        <c:ser>
          <c:idx val="150"/>
          <c:order val="150"/>
          <c:tx>
            <c:v>Thigh R 95th 7</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Solution!$BM$43:$BM$46</c:f>
              <c:numCache>
                <c:formatCode>0.0</c:formatCode>
                <c:ptCount val="4"/>
                <c:pt idx="0">
                  <c:v>0</c:v>
                </c:pt>
                <c:pt idx="1">
                  <c:v>0</c:v>
                </c:pt>
                <c:pt idx="2">
                  <c:v>-1.9</c:v>
                </c:pt>
                <c:pt idx="3">
                  <c:v>-1.9</c:v>
                </c:pt>
              </c:numCache>
            </c:numRef>
          </c:xVal>
          <c:yVal>
            <c:numRef>
              <c:f>Solution!$BN$43:$BN$46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9-02BD-4FCC-A03D-625C0E4D2895}"/>
            </c:ext>
          </c:extLst>
        </c:ser>
        <c:ser>
          <c:idx val="151"/>
          <c:order val="151"/>
          <c:tx>
            <c:v>Thigh L 5th 7</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Solution!$BP$43:$BP$46</c:f>
              <c:numCache>
                <c:formatCode>0.0</c:formatCode>
                <c:ptCount val="4"/>
                <c:pt idx="0">
                  <c:v>0</c:v>
                </c:pt>
                <c:pt idx="1">
                  <c:v>0</c:v>
                </c:pt>
                <c:pt idx="2">
                  <c:v>1.9</c:v>
                </c:pt>
                <c:pt idx="3">
                  <c:v>1.9</c:v>
                </c:pt>
              </c:numCache>
            </c:numRef>
          </c:xVal>
          <c:yVal>
            <c:numRef>
              <c:f>Solution!$BQ$43:$BQ$46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A-02BD-4FCC-A03D-625C0E4D2895}"/>
            </c:ext>
          </c:extLst>
        </c:ser>
        <c:ser>
          <c:idx val="152"/>
          <c:order val="152"/>
          <c:tx>
            <c:v>Thigh L Mean 7</c:v>
          </c:tx>
          <c:spPr>
            <a:ln w="19050" cap="rnd">
              <a:solidFill>
                <a:srgbClr val="00B050"/>
              </a:solidFill>
              <a:round/>
            </a:ln>
            <a:effectLst/>
          </c:spPr>
          <c:marker>
            <c:symbol val="circle"/>
            <c:size val="2"/>
            <c:spPr>
              <a:solidFill>
                <a:srgbClr val="00B050"/>
              </a:solidFill>
              <a:ln w="9525">
                <a:noFill/>
              </a:ln>
              <a:effectLst/>
            </c:spPr>
          </c:marker>
          <c:xVal>
            <c:numRef>
              <c:f>Solution!$BR$43:$BR$46</c:f>
              <c:numCache>
                <c:formatCode>0.0</c:formatCode>
                <c:ptCount val="4"/>
                <c:pt idx="0">
                  <c:v>0</c:v>
                </c:pt>
                <c:pt idx="1">
                  <c:v>0</c:v>
                </c:pt>
                <c:pt idx="2">
                  <c:v>1.9</c:v>
                </c:pt>
                <c:pt idx="3">
                  <c:v>1.9</c:v>
                </c:pt>
              </c:numCache>
            </c:numRef>
          </c:xVal>
          <c:yVal>
            <c:numRef>
              <c:f>Solution!$BS$43:$BS$46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B-02BD-4FCC-A03D-625C0E4D2895}"/>
            </c:ext>
          </c:extLst>
        </c:ser>
        <c:ser>
          <c:idx val="153"/>
          <c:order val="153"/>
          <c:tx>
            <c:v>Thigh R 95th 7</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Solution!$BT$43:$BT$46</c:f>
              <c:numCache>
                <c:formatCode>0.0</c:formatCode>
                <c:ptCount val="4"/>
                <c:pt idx="0">
                  <c:v>0</c:v>
                </c:pt>
                <c:pt idx="1">
                  <c:v>0</c:v>
                </c:pt>
                <c:pt idx="2">
                  <c:v>1.9</c:v>
                </c:pt>
                <c:pt idx="3">
                  <c:v>1.9</c:v>
                </c:pt>
              </c:numCache>
            </c:numRef>
          </c:xVal>
          <c:yVal>
            <c:numRef>
              <c:f>Solution!$BU$43:$BU$46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C-02BD-4FCC-A03D-625C0E4D2895}"/>
            </c:ext>
          </c:extLst>
        </c:ser>
        <c:ser>
          <c:idx val="154"/>
          <c:order val="154"/>
          <c:tx>
            <c:v>Thigh R 5th 8</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Solution!$BI$47:$BI$50</c:f>
              <c:numCache>
                <c:formatCode>0.0</c:formatCode>
                <c:ptCount val="4"/>
                <c:pt idx="0">
                  <c:v>0</c:v>
                </c:pt>
                <c:pt idx="1">
                  <c:v>0</c:v>
                </c:pt>
                <c:pt idx="2">
                  <c:v>-1.9</c:v>
                </c:pt>
                <c:pt idx="3">
                  <c:v>-1.9</c:v>
                </c:pt>
              </c:numCache>
            </c:numRef>
          </c:xVal>
          <c:yVal>
            <c:numRef>
              <c:f>Solution!$BJ$47:$BJ$50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D-02BD-4FCC-A03D-625C0E4D2895}"/>
            </c:ext>
          </c:extLst>
        </c:ser>
        <c:ser>
          <c:idx val="155"/>
          <c:order val="155"/>
          <c:tx>
            <c:v>Thigh R Mean 8</c:v>
          </c:tx>
          <c:spPr>
            <a:ln w="19050" cap="rnd">
              <a:solidFill>
                <a:srgbClr val="00B050"/>
              </a:solidFill>
              <a:round/>
            </a:ln>
            <a:effectLst/>
          </c:spPr>
          <c:marker>
            <c:symbol val="circle"/>
            <c:size val="2"/>
            <c:spPr>
              <a:solidFill>
                <a:srgbClr val="00B050"/>
              </a:solidFill>
              <a:ln w="9525">
                <a:noFill/>
              </a:ln>
              <a:effectLst/>
            </c:spPr>
          </c:marker>
          <c:xVal>
            <c:numRef>
              <c:f>Solution!$BK$47:$BK$50</c:f>
              <c:numCache>
                <c:formatCode>0.0</c:formatCode>
                <c:ptCount val="4"/>
                <c:pt idx="0">
                  <c:v>0</c:v>
                </c:pt>
                <c:pt idx="1">
                  <c:v>0</c:v>
                </c:pt>
                <c:pt idx="2">
                  <c:v>-1.9</c:v>
                </c:pt>
                <c:pt idx="3">
                  <c:v>-1.9</c:v>
                </c:pt>
              </c:numCache>
            </c:numRef>
          </c:xVal>
          <c:yVal>
            <c:numRef>
              <c:f>Solution!$BL$47:$BL$50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E-02BD-4FCC-A03D-625C0E4D2895}"/>
            </c:ext>
          </c:extLst>
        </c:ser>
        <c:ser>
          <c:idx val="156"/>
          <c:order val="156"/>
          <c:tx>
            <c:v>Thigh R 95th 8</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Solution!$BM$47:$BM$50</c:f>
              <c:numCache>
                <c:formatCode>0.0</c:formatCode>
                <c:ptCount val="4"/>
                <c:pt idx="0">
                  <c:v>0</c:v>
                </c:pt>
                <c:pt idx="1">
                  <c:v>0</c:v>
                </c:pt>
                <c:pt idx="2">
                  <c:v>-1.9</c:v>
                </c:pt>
                <c:pt idx="3">
                  <c:v>-1.9</c:v>
                </c:pt>
              </c:numCache>
            </c:numRef>
          </c:xVal>
          <c:yVal>
            <c:numRef>
              <c:f>Solution!$BN$47:$BN$50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BF-02BD-4FCC-A03D-625C0E4D2895}"/>
            </c:ext>
          </c:extLst>
        </c:ser>
        <c:ser>
          <c:idx val="157"/>
          <c:order val="157"/>
          <c:tx>
            <c:v>Thigh L 5th 8</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Solution!$BP$47:$BP$50</c:f>
              <c:numCache>
                <c:formatCode>0.0</c:formatCode>
                <c:ptCount val="4"/>
                <c:pt idx="0">
                  <c:v>0</c:v>
                </c:pt>
                <c:pt idx="1">
                  <c:v>0</c:v>
                </c:pt>
                <c:pt idx="2">
                  <c:v>1.9</c:v>
                </c:pt>
                <c:pt idx="3">
                  <c:v>1.9</c:v>
                </c:pt>
              </c:numCache>
            </c:numRef>
          </c:xVal>
          <c:yVal>
            <c:numRef>
              <c:f>Solution!$BQ$47:$BQ$50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0-02BD-4FCC-A03D-625C0E4D2895}"/>
            </c:ext>
          </c:extLst>
        </c:ser>
        <c:ser>
          <c:idx val="158"/>
          <c:order val="158"/>
          <c:tx>
            <c:v>Thigh L Mean 8</c:v>
          </c:tx>
          <c:spPr>
            <a:ln w="19050" cap="rnd">
              <a:solidFill>
                <a:srgbClr val="00B050"/>
              </a:solidFill>
              <a:round/>
            </a:ln>
            <a:effectLst/>
          </c:spPr>
          <c:marker>
            <c:symbol val="circle"/>
            <c:size val="2"/>
            <c:spPr>
              <a:solidFill>
                <a:srgbClr val="00B050"/>
              </a:solidFill>
              <a:ln w="9525">
                <a:noFill/>
              </a:ln>
              <a:effectLst/>
            </c:spPr>
          </c:marker>
          <c:xVal>
            <c:numRef>
              <c:f>Solution!$BR$47:$BR$50</c:f>
              <c:numCache>
                <c:formatCode>0.0</c:formatCode>
                <c:ptCount val="4"/>
                <c:pt idx="0">
                  <c:v>0</c:v>
                </c:pt>
                <c:pt idx="1">
                  <c:v>0</c:v>
                </c:pt>
                <c:pt idx="2">
                  <c:v>1.9</c:v>
                </c:pt>
                <c:pt idx="3">
                  <c:v>1.9</c:v>
                </c:pt>
              </c:numCache>
            </c:numRef>
          </c:xVal>
          <c:yVal>
            <c:numRef>
              <c:f>Solution!$BS$47:$BS$50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1-02BD-4FCC-A03D-625C0E4D2895}"/>
            </c:ext>
          </c:extLst>
        </c:ser>
        <c:ser>
          <c:idx val="159"/>
          <c:order val="159"/>
          <c:tx>
            <c:v>Thigh R 95th 8</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Solution!$BT$47:$BT$50</c:f>
              <c:numCache>
                <c:formatCode>0.0</c:formatCode>
                <c:ptCount val="4"/>
                <c:pt idx="0">
                  <c:v>0</c:v>
                </c:pt>
                <c:pt idx="1">
                  <c:v>0</c:v>
                </c:pt>
                <c:pt idx="2">
                  <c:v>1.9</c:v>
                </c:pt>
                <c:pt idx="3">
                  <c:v>1.9</c:v>
                </c:pt>
              </c:numCache>
            </c:numRef>
          </c:xVal>
          <c:yVal>
            <c:numRef>
              <c:f>Solution!$BU$47:$BU$50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2-02BD-4FCC-A03D-625C0E4D2895}"/>
            </c:ext>
          </c:extLst>
        </c:ser>
        <c:ser>
          <c:idx val="160"/>
          <c:order val="160"/>
          <c:tx>
            <c:v>Thigh R 5th 9</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Solution!$BI$51:$BI$54</c:f>
              <c:numCache>
                <c:formatCode>0.0</c:formatCode>
                <c:ptCount val="4"/>
                <c:pt idx="0">
                  <c:v>0</c:v>
                </c:pt>
                <c:pt idx="1">
                  <c:v>0</c:v>
                </c:pt>
                <c:pt idx="2">
                  <c:v>-1.9</c:v>
                </c:pt>
                <c:pt idx="3">
                  <c:v>-1.9</c:v>
                </c:pt>
              </c:numCache>
            </c:numRef>
          </c:xVal>
          <c:yVal>
            <c:numRef>
              <c:f>Solution!$BJ$51:$BJ$54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3-02BD-4FCC-A03D-625C0E4D2895}"/>
            </c:ext>
          </c:extLst>
        </c:ser>
        <c:ser>
          <c:idx val="161"/>
          <c:order val="161"/>
          <c:tx>
            <c:v>Thigh R Mean 9</c:v>
          </c:tx>
          <c:spPr>
            <a:ln w="19050" cap="rnd">
              <a:solidFill>
                <a:srgbClr val="00B050"/>
              </a:solidFill>
              <a:round/>
            </a:ln>
            <a:effectLst/>
          </c:spPr>
          <c:marker>
            <c:symbol val="circle"/>
            <c:size val="2"/>
            <c:spPr>
              <a:solidFill>
                <a:srgbClr val="00B050"/>
              </a:solidFill>
              <a:ln w="9525">
                <a:noFill/>
              </a:ln>
              <a:effectLst/>
            </c:spPr>
          </c:marker>
          <c:xVal>
            <c:numRef>
              <c:f>Solution!$BK$51:$BK$54</c:f>
              <c:numCache>
                <c:formatCode>0.0</c:formatCode>
                <c:ptCount val="4"/>
                <c:pt idx="0">
                  <c:v>0</c:v>
                </c:pt>
                <c:pt idx="1">
                  <c:v>0</c:v>
                </c:pt>
                <c:pt idx="2">
                  <c:v>-1.9</c:v>
                </c:pt>
                <c:pt idx="3">
                  <c:v>-1.9</c:v>
                </c:pt>
              </c:numCache>
            </c:numRef>
          </c:xVal>
          <c:yVal>
            <c:numRef>
              <c:f>Solution!$BL$51:$BL$54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4-02BD-4FCC-A03D-625C0E4D2895}"/>
            </c:ext>
          </c:extLst>
        </c:ser>
        <c:ser>
          <c:idx val="162"/>
          <c:order val="162"/>
          <c:tx>
            <c:v>Thigh R 95th 9</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Solution!$BM$51:$BM$54</c:f>
              <c:numCache>
                <c:formatCode>0.0</c:formatCode>
                <c:ptCount val="4"/>
                <c:pt idx="0">
                  <c:v>0</c:v>
                </c:pt>
                <c:pt idx="1">
                  <c:v>0</c:v>
                </c:pt>
                <c:pt idx="2">
                  <c:v>-1.9</c:v>
                </c:pt>
                <c:pt idx="3">
                  <c:v>-1.9</c:v>
                </c:pt>
              </c:numCache>
            </c:numRef>
          </c:xVal>
          <c:yVal>
            <c:numRef>
              <c:f>Solution!$BN$51:$BN$54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5-02BD-4FCC-A03D-625C0E4D2895}"/>
            </c:ext>
          </c:extLst>
        </c:ser>
        <c:ser>
          <c:idx val="163"/>
          <c:order val="163"/>
          <c:tx>
            <c:v>Thigh L 5th 9</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Solution!$BP$51:$BP$54</c:f>
              <c:numCache>
                <c:formatCode>0.0</c:formatCode>
                <c:ptCount val="4"/>
                <c:pt idx="0">
                  <c:v>0</c:v>
                </c:pt>
                <c:pt idx="1">
                  <c:v>0</c:v>
                </c:pt>
                <c:pt idx="2">
                  <c:v>1.9</c:v>
                </c:pt>
                <c:pt idx="3">
                  <c:v>1.9</c:v>
                </c:pt>
              </c:numCache>
            </c:numRef>
          </c:xVal>
          <c:yVal>
            <c:numRef>
              <c:f>Solution!$BQ$51:$BQ$54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6-02BD-4FCC-A03D-625C0E4D2895}"/>
            </c:ext>
          </c:extLst>
        </c:ser>
        <c:ser>
          <c:idx val="164"/>
          <c:order val="164"/>
          <c:tx>
            <c:v>Thigh L Mean 9</c:v>
          </c:tx>
          <c:spPr>
            <a:ln w="19050" cap="rnd">
              <a:solidFill>
                <a:srgbClr val="00B050"/>
              </a:solidFill>
              <a:round/>
            </a:ln>
            <a:effectLst/>
          </c:spPr>
          <c:marker>
            <c:symbol val="circle"/>
            <c:size val="2"/>
            <c:spPr>
              <a:solidFill>
                <a:srgbClr val="00B050"/>
              </a:solidFill>
              <a:ln w="9525">
                <a:noFill/>
              </a:ln>
              <a:effectLst/>
            </c:spPr>
          </c:marker>
          <c:xVal>
            <c:numRef>
              <c:f>Solution!$BR$51:$BR$54</c:f>
              <c:numCache>
                <c:formatCode>0.0</c:formatCode>
                <c:ptCount val="4"/>
                <c:pt idx="0">
                  <c:v>0</c:v>
                </c:pt>
                <c:pt idx="1">
                  <c:v>0</c:v>
                </c:pt>
                <c:pt idx="2">
                  <c:v>1.9</c:v>
                </c:pt>
                <c:pt idx="3">
                  <c:v>1.9</c:v>
                </c:pt>
              </c:numCache>
            </c:numRef>
          </c:xVal>
          <c:yVal>
            <c:numRef>
              <c:f>Solution!$BS$51:$BS$54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7-02BD-4FCC-A03D-625C0E4D2895}"/>
            </c:ext>
          </c:extLst>
        </c:ser>
        <c:ser>
          <c:idx val="165"/>
          <c:order val="165"/>
          <c:tx>
            <c:v>Thigh L 95th 9</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Solution!$BT$51:$BT$54</c:f>
              <c:numCache>
                <c:formatCode>0.0</c:formatCode>
                <c:ptCount val="4"/>
                <c:pt idx="0">
                  <c:v>0</c:v>
                </c:pt>
                <c:pt idx="1">
                  <c:v>0</c:v>
                </c:pt>
                <c:pt idx="2">
                  <c:v>1.9</c:v>
                </c:pt>
                <c:pt idx="3">
                  <c:v>1.9</c:v>
                </c:pt>
              </c:numCache>
            </c:numRef>
          </c:xVal>
          <c:yVal>
            <c:numRef>
              <c:f>Solution!$BU$51:$BU$54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8-02BD-4FCC-A03D-625C0E4D2895}"/>
            </c:ext>
          </c:extLst>
        </c:ser>
        <c:ser>
          <c:idx val="166"/>
          <c:order val="166"/>
          <c:tx>
            <c:v>Thigh R 5th 10</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Solution!$BI$55:$BI$58</c:f>
              <c:numCache>
                <c:formatCode>0.0</c:formatCode>
                <c:ptCount val="4"/>
                <c:pt idx="0">
                  <c:v>0</c:v>
                </c:pt>
                <c:pt idx="1">
                  <c:v>0</c:v>
                </c:pt>
                <c:pt idx="2">
                  <c:v>-1.9</c:v>
                </c:pt>
                <c:pt idx="3">
                  <c:v>-1.9</c:v>
                </c:pt>
              </c:numCache>
            </c:numRef>
          </c:xVal>
          <c:yVal>
            <c:numRef>
              <c:f>Solution!$BJ$55:$BJ$58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9-02BD-4FCC-A03D-625C0E4D2895}"/>
            </c:ext>
          </c:extLst>
        </c:ser>
        <c:ser>
          <c:idx val="167"/>
          <c:order val="167"/>
          <c:tx>
            <c:v>Thigh R Mean 10</c:v>
          </c:tx>
          <c:spPr>
            <a:ln w="19050" cap="rnd">
              <a:solidFill>
                <a:srgbClr val="00B050"/>
              </a:solidFill>
              <a:round/>
            </a:ln>
            <a:effectLst/>
          </c:spPr>
          <c:marker>
            <c:symbol val="circle"/>
            <c:size val="2"/>
            <c:spPr>
              <a:solidFill>
                <a:srgbClr val="00B050"/>
              </a:solidFill>
              <a:ln w="9525">
                <a:noFill/>
              </a:ln>
              <a:effectLst/>
            </c:spPr>
          </c:marker>
          <c:xVal>
            <c:numRef>
              <c:f>Solution!$BK$55:$BK$58</c:f>
              <c:numCache>
                <c:formatCode>0.0</c:formatCode>
                <c:ptCount val="4"/>
                <c:pt idx="0">
                  <c:v>0</c:v>
                </c:pt>
                <c:pt idx="1">
                  <c:v>0</c:v>
                </c:pt>
                <c:pt idx="2">
                  <c:v>-1.9</c:v>
                </c:pt>
                <c:pt idx="3">
                  <c:v>-1.9</c:v>
                </c:pt>
              </c:numCache>
            </c:numRef>
          </c:xVal>
          <c:yVal>
            <c:numRef>
              <c:f>Solution!$BL$55:$BL$58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A-02BD-4FCC-A03D-625C0E4D2895}"/>
            </c:ext>
          </c:extLst>
        </c:ser>
        <c:ser>
          <c:idx val="168"/>
          <c:order val="168"/>
          <c:tx>
            <c:v>Thigh R 95th 10</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Solution!$BM$55:$BM$58</c:f>
              <c:numCache>
                <c:formatCode>0.0</c:formatCode>
                <c:ptCount val="4"/>
                <c:pt idx="0">
                  <c:v>0</c:v>
                </c:pt>
                <c:pt idx="1">
                  <c:v>0</c:v>
                </c:pt>
                <c:pt idx="2">
                  <c:v>-1.9</c:v>
                </c:pt>
                <c:pt idx="3">
                  <c:v>-1.9</c:v>
                </c:pt>
              </c:numCache>
            </c:numRef>
          </c:xVal>
          <c:yVal>
            <c:numRef>
              <c:f>Solution!$BN$55:$BN$58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B-02BD-4FCC-A03D-625C0E4D2895}"/>
            </c:ext>
          </c:extLst>
        </c:ser>
        <c:ser>
          <c:idx val="169"/>
          <c:order val="169"/>
          <c:tx>
            <c:v>Thigh L 5th 10</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Solution!$BP$55:$BP$58</c:f>
              <c:numCache>
                <c:formatCode>0.0</c:formatCode>
                <c:ptCount val="4"/>
                <c:pt idx="0">
                  <c:v>0</c:v>
                </c:pt>
                <c:pt idx="1">
                  <c:v>0</c:v>
                </c:pt>
                <c:pt idx="2">
                  <c:v>1.9</c:v>
                </c:pt>
                <c:pt idx="3">
                  <c:v>1.9</c:v>
                </c:pt>
              </c:numCache>
            </c:numRef>
          </c:xVal>
          <c:yVal>
            <c:numRef>
              <c:f>Solution!$BQ$55:$BQ$58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C-02BD-4FCC-A03D-625C0E4D2895}"/>
            </c:ext>
          </c:extLst>
        </c:ser>
        <c:ser>
          <c:idx val="170"/>
          <c:order val="170"/>
          <c:tx>
            <c:v>Thigh L Mean 10</c:v>
          </c:tx>
          <c:spPr>
            <a:ln w="19050" cap="rnd">
              <a:solidFill>
                <a:srgbClr val="00B050"/>
              </a:solidFill>
              <a:round/>
            </a:ln>
            <a:effectLst/>
          </c:spPr>
          <c:marker>
            <c:symbol val="circle"/>
            <c:size val="2"/>
            <c:spPr>
              <a:solidFill>
                <a:srgbClr val="00B050"/>
              </a:solidFill>
              <a:ln w="9525">
                <a:noFill/>
              </a:ln>
              <a:effectLst/>
            </c:spPr>
          </c:marker>
          <c:xVal>
            <c:numRef>
              <c:f>Solution!$BR$55:$BR$58</c:f>
              <c:numCache>
                <c:formatCode>0.0</c:formatCode>
                <c:ptCount val="4"/>
                <c:pt idx="0">
                  <c:v>0</c:v>
                </c:pt>
                <c:pt idx="1">
                  <c:v>0</c:v>
                </c:pt>
                <c:pt idx="2">
                  <c:v>1.9</c:v>
                </c:pt>
                <c:pt idx="3">
                  <c:v>1.9</c:v>
                </c:pt>
              </c:numCache>
            </c:numRef>
          </c:xVal>
          <c:yVal>
            <c:numRef>
              <c:f>Solution!$BS$55:$BS$58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D-02BD-4FCC-A03D-625C0E4D2895}"/>
            </c:ext>
          </c:extLst>
        </c:ser>
        <c:ser>
          <c:idx val="171"/>
          <c:order val="171"/>
          <c:tx>
            <c:v>Thigh L 95th 10</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Solution!$BT$55:$BT$58</c:f>
              <c:numCache>
                <c:formatCode>0.0</c:formatCode>
                <c:ptCount val="4"/>
                <c:pt idx="0">
                  <c:v>0</c:v>
                </c:pt>
                <c:pt idx="1">
                  <c:v>0</c:v>
                </c:pt>
                <c:pt idx="2">
                  <c:v>1.9</c:v>
                </c:pt>
                <c:pt idx="3">
                  <c:v>1.9</c:v>
                </c:pt>
              </c:numCache>
            </c:numRef>
          </c:xVal>
          <c:yVal>
            <c:numRef>
              <c:f>Solution!$BU$55:$BU$58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E-02BD-4FCC-A03D-625C0E4D2895}"/>
            </c:ext>
          </c:extLst>
        </c:ser>
        <c:ser>
          <c:idx val="172"/>
          <c:order val="172"/>
          <c:tx>
            <c:v>Thigh R 5th 11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Solution!$BI$59:$BI$62</c:f>
              <c:numCache>
                <c:formatCode>0.0</c:formatCode>
                <c:ptCount val="4"/>
                <c:pt idx="0">
                  <c:v>0</c:v>
                </c:pt>
                <c:pt idx="1">
                  <c:v>0</c:v>
                </c:pt>
                <c:pt idx="2">
                  <c:v>-1.9</c:v>
                </c:pt>
                <c:pt idx="3">
                  <c:v>-1.9</c:v>
                </c:pt>
              </c:numCache>
            </c:numRef>
          </c:xVal>
          <c:yVal>
            <c:numRef>
              <c:f>Solution!$BJ$59:$BJ$62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CF-02BD-4FCC-A03D-625C0E4D2895}"/>
            </c:ext>
          </c:extLst>
        </c:ser>
        <c:ser>
          <c:idx val="173"/>
          <c:order val="173"/>
          <c:tx>
            <c:v>Thigh R Mean 11</c:v>
          </c:tx>
          <c:spPr>
            <a:ln w="19050" cap="rnd">
              <a:solidFill>
                <a:srgbClr val="00B050"/>
              </a:solidFill>
              <a:round/>
            </a:ln>
            <a:effectLst/>
          </c:spPr>
          <c:marker>
            <c:symbol val="circle"/>
            <c:size val="2"/>
            <c:spPr>
              <a:solidFill>
                <a:srgbClr val="00B050"/>
              </a:solidFill>
              <a:ln w="9525">
                <a:noFill/>
              </a:ln>
              <a:effectLst/>
            </c:spPr>
          </c:marker>
          <c:xVal>
            <c:numRef>
              <c:f>Solution!$BK$59:$BK$62</c:f>
              <c:numCache>
                <c:formatCode>0.0</c:formatCode>
                <c:ptCount val="4"/>
                <c:pt idx="0">
                  <c:v>0</c:v>
                </c:pt>
                <c:pt idx="1">
                  <c:v>0</c:v>
                </c:pt>
                <c:pt idx="2">
                  <c:v>-1.9</c:v>
                </c:pt>
                <c:pt idx="3">
                  <c:v>-1.9</c:v>
                </c:pt>
              </c:numCache>
            </c:numRef>
          </c:xVal>
          <c:yVal>
            <c:numRef>
              <c:f>Solution!$BL$59:$BL$62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0-02BD-4FCC-A03D-625C0E4D2895}"/>
            </c:ext>
          </c:extLst>
        </c:ser>
        <c:ser>
          <c:idx val="174"/>
          <c:order val="174"/>
          <c:tx>
            <c:v>Thigh R 95th 11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Solution!$BM$59:$BM$62</c:f>
              <c:numCache>
                <c:formatCode>0.0</c:formatCode>
                <c:ptCount val="4"/>
                <c:pt idx="0">
                  <c:v>0</c:v>
                </c:pt>
                <c:pt idx="1">
                  <c:v>0</c:v>
                </c:pt>
                <c:pt idx="2">
                  <c:v>-1.9</c:v>
                </c:pt>
                <c:pt idx="3">
                  <c:v>-1.9</c:v>
                </c:pt>
              </c:numCache>
            </c:numRef>
          </c:xVal>
          <c:yVal>
            <c:numRef>
              <c:f>Solution!$BN$59:$BN$62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1-02BD-4FCC-A03D-625C0E4D2895}"/>
            </c:ext>
          </c:extLst>
        </c:ser>
        <c:ser>
          <c:idx val="175"/>
          <c:order val="175"/>
          <c:tx>
            <c:v>Thigh L 5th 11</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Solution!$BP$59:$BP$62</c:f>
              <c:numCache>
                <c:formatCode>0.0</c:formatCode>
                <c:ptCount val="4"/>
                <c:pt idx="0">
                  <c:v>0</c:v>
                </c:pt>
                <c:pt idx="1">
                  <c:v>0</c:v>
                </c:pt>
                <c:pt idx="2">
                  <c:v>1.9</c:v>
                </c:pt>
                <c:pt idx="3">
                  <c:v>1.9</c:v>
                </c:pt>
              </c:numCache>
            </c:numRef>
          </c:xVal>
          <c:yVal>
            <c:numRef>
              <c:f>Solution!$BQ$59:$BQ$62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2-02BD-4FCC-A03D-625C0E4D2895}"/>
            </c:ext>
          </c:extLst>
        </c:ser>
        <c:ser>
          <c:idx val="176"/>
          <c:order val="176"/>
          <c:tx>
            <c:v>Thigh L Mean 11</c:v>
          </c:tx>
          <c:spPr>
            <a:ln w="19050" cap="rnd">
              <a:solidFill>
                <a:srgbClr val="00B050"/>
              </a:solidFill>
              <a:round/>
            </a:ln>
            <a:effectLst/>
          </c:spPr>
          <c:marker>
            <c:symbol val="circle"/>
            <c:size val="2"/>
            <c:spPr>
              <a:solidFill>
                <a:srgbClr val="00B050"/>
              </a:solidFill>
              <a:ln w="9525">
                <a:noFill/>
              </a:ln>
              <a:effectLst/>
            </c:spPr>
          </c:marker>
          <c:xVal>
            <c:numRef>
              <c:f>Solution!$BR$59:$BR$62</c:f>
              <c:numCache>
                <c:formatCode>0.0</c:formatCode>
                <c:ptCount val="4"/>
                <c:pt idx="0">
                  <c:v>0</c:v>
                </c:pt>
                <c:pt idx="1">
                  <c:v>0</c:v>
                </c:pt>
                <c:pt idx="2">
                  <c:v>1.9</c:v>
                </c:pt>
                <c:pt idx="3">
                  <c:v>1.9</c:v>
                </c:pt>
              </c:numCache>
            </c:numRef>
          </c:xVal>
          <c:yVal>
            <c:numRef>
              <c:f>Solution!$BS$59:$BS$62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3-02BD-4FCC-A03D-625C0E4D2895}"/>
            </c:ext>
          </c:extLst>
        </c:ser>
        <c:ser>
          <c:idx val="177"/>
          <c:order val="177"/>
          <c:tx>
            <c:v>Thigh L 95th 11</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Solution!$BT$59:$BT$62</c:f>
              <c:numCache>
                <c:formatCode>0.0</c:formatCode>
                <c:ptCount val="4"/>
                <c:pt idx="0">
                  <c:v>0</c:v>
                </c:pt>
                <c:pt idx="1">
                  <c:v>0</c:v>
                </c:pt>
                <c:pt idx="2">
                  <c:v>1.9</c:v>
                </c:pt>
                <c:pt idx="3">
                  <c:v>1.9</c:v>
                </c:pt>
              </c:numCache>
            </c:numRef>
          </c:xVal>
          <c:yVal>
            <c:numRef>
              <c:f>Solution!$BU$59:$BU$62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4-02BD-4FCC-A03D-625C0E4D2895}"/>
            </c:ext>
          </c:extLst>
        </c:ser>
        <c:ser>
          <c:idx val="178"/>
          <c:order val="178"/>
          <c:tx>
            <c:v>Thigh R 5th 12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Solution!$BI$63:$BI$66</c:f>
              <c:numCache>
                <c:formatCode>0.0</c:formatCode>
                <c:ptCount val="4"/>
                <c:pt idx="0">
                  <c:v>0</c:v>
                </c:pt>
                <c:pt idx="1">
                  <c:v>0</c:v>
                </c:pt>
                <c:pt idx="2">
                  <c:v>-1.9</c:v>
                </c:pt>
                <c:pt idx="3">
                  <c:v>-1.9</c:v>
                </c:pt>
              </c:numCache>
            </c:numRef>
          </c:xVal>
          <c:yVal>
            <c:numRef>
              <c:f>Solution!$BJ$63:$BJ$66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5-02BD-4FCC-A03D-625C0E4D2895}"/>
            </c:ext>
          </c:extLst>
        </c:ser>
        <c:ser>
          <c:idx val="179"/>
          <c:order val="179"/>
          <c:tx>
            <c:v>Thigh R Mean 12</c:v>
          </c:tx>
          <c:spPr>
            <a:ln w="19050" cap="rnd">
              <a:solidFill>
                <a:srgbClr val="00B050"/>
              </a:solidFill>
              <a:round/>
            </a:ln>
            <a:effectLst/>
          </c:spPr>
          <c:marker>
            <c:symbol val="circle"/>
            <c:size val="2"/>
            <c:spPr>
              <a:solidFill>
                <a:srgbClr val="00B050"/>
              </a:solidFill>
              <a:ln w="9525">
                <a:noFill/>
              </a:ln>
              <a:effectLst/>
            </c:spPr>
          </c:marker>
          <c:xVal>
            <c:numRef>
              <c:f>Solution!$BK$63:$BK$66</c:f>
              <c:numCache>
                <c:formatCode>0.0</c:formatCode>
                <c:ptCount val="4"/>
                <c:pt idx="0">
                  <c:v>0</c:v>
                </c:pt>
                <c:pt idx="1">
                  <c:v>0</c:v>
                </c:pt>
                <c:pt idx="2">
                  <c:v>-1.9</c:v>
                </c:pt>
                <c:pt idx="3">
                  <c:v>-1.9</c:v>
                </c:pt>
              </c:numCache>
            </c:numRef>
          </c:xVal>
          <c:yVal>
            <c:numRef>
              <c:f>Solution!$BL$63:$BL$66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6-02BD-4FCC-A03D-625C0E4D2895}"/>
            </c:ext>
          </c:extLst>
        </c:ser>
        <c:ser>
          <c:idx val="180"/>
          <c:order val="180"/>
          <c:tx>
            <c:v>Thigh R 95th 12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Solution!$BM$63:$BM$66</c:f>
              <c:numCache>
                <c:formatCode>0.0</c:formatCode>
                <c:ptCount val="4"/>
                <c:pt idx="0">
                  <c:v>0</c:v>
                </c:pt>
                <c:pt idx="1">
                  <c:v>0</c:v>
                </c:pt>
                <c:pt idx="2">
                  <c:v>-1.9</c:v>
                </c:pt>
                <c:pt idx="3">
                  <c:v>-1.9</c:v>
                </c:pt>
              </c:numCache>
            </c:numRef>
          </c:xVal>
          <c:yVal>
            <c:numRef>
              <c:f>Solution!$BN$63:$BN$66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7-02BD-4FCC-A03D-625C0E4D2895}"/>
            </c:ext>
          </c:extLst>
        </c:ser>
        <c:ser>
          <c:idx val="181"/>
          <c:order val="181"/>
          <c:tx>
            <c:v>Thigh L 5th 12</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Solution!$BP$63:$BP$66</c:f>
              <c:numCache>
                <c:formatCode>0.0</c:formatCode>
                <c:ptCount val="4"/>
                <c:pt idx="0">
                  <c:v>0</c:v>
                </c:pt>
                <c:pt idx="1">
                  <c:v>0</c:v>
                </c:pt>
                <c:pt idx="2">
                  <c:v>1.9</c:v>
                </c:pt>
                <c:pt idx="3">
                  <c:v>1.9</c:v>
                </c:pt>
              </c:numCache>
            </c:numRef>
          </c:xVal>
          <c:yVal>
            <c:numRef>
              <c:f>Solution!$BQ$63:$BQ$66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8-02BD-4FCC-A03D-625C0E4D2895}"/>
            </c:ext>
          </c:extLst>
        </c:ser>
        <c:ser>
          <c:idx val="182"/>
          <c:order val="182"/>
          <c:tx>
            <c:v>Thigh L Mean 12</c:v>
          </c:tx>
          <c:spPr>
            <a:ln w="19050" cap="rnd">
              <a:solidFill>
                <a:srgbClr val="00B050"/>
              </a:solidFill>
              <a:round/>
            </a:ln>
            <a:effectLst/>
          </c:spPr>
          <c:marker>
            <c:symbol val="circle"/>
            <c:size val="2"/>
            <c:spPr>
              <a:solidFill>
                <a:srgbClr val="00B050"/>
              </a:solidFill>
              <a:ln w="9525">
                <a:noFill/>
              </a:ln>
              <a:effectLst/>
            </c:spPr>
          </c:marker>
          <c:xVal>
            <c:numRef>
              <c:f>Solution!$BR$63:$BR$66</c:f>
              <c:numCache>
                <c:formatCode>0.0</c:formatCode>
                <c:ptCount val="4"/>
                <c:pt idx="0">
                  <c:v>0</c:v>
                </c:pt>
                <c:pt idx="1">
                  <c:v>0</c:v>
                </c:pt>
                <c:pt idx="2">
                  <c:v>1.9</c:v>
                </c:pt>
                <c:pt idx="3">
                  <c:v>1.9</c:v>
                </c:pt>
              </c:numCache>
            </c:numRef>
          </c:xVal>
          <c:yVal>
            <c:numRef>
              <c:f>Solution!$BS$63:$BS$66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9-02BD-4FCC-A03D-625C0E4D2895}"/>
            </c:ext>
          </c:extLst>
        </c:ser>
        <c:ser>
          <c:idx val="183"/>
          <c:order val="183"/>
          <c:tx>
            <c:v>Thigh L 95th 12</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Solution!$BT$63:$BT$66</c:f>
              <c:numCache>
                <c:formatCode>0.0</c:formatCode>
                <c:ptCount val="4"/>
                <c:pt idx="0">
                  <c:v>0</c:v>
                </c:pt>
                <c:pt idx="1">
                  <c:v>0</c:v>
                </c:pt>
                <c:pt idx="2">
                  <c:v>1.9</c:v>
                </c:pt>
                <c:pt idx="3">
                  <c:v>1.9</c:v>
                </c:pt>
              </c:numCache>
            </c:numRef>
          </c:xVal>
          <c:yVal>
            <c:numRef>
              <c:f>Solution!$BU$63:$BU$66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A-02BD-4FCC-A03D-625C0E4D2895}"/>
            </c:ext>
          </c:extLst>
        </c:ser>
        <c:ser>
          <c:idx val="184"/>
          <c:order val="184"/>
          <c:tx>
            <c:v>Thigh R 5th 13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Solution!$BI$67:$BI$70</c:f>
              <c:numCache>
                <c:formatCode>0.0</c:formatCode>
                <c:ptCount val="4"/>
                <c:pt idx="0">
                  <c:v>0</c:v>
                </c:pt>
                <c:pt idx="1">
                  <c:v>0</c:v>
                </c:pt>
                <c:pt idx="2">
                  <c:v>-1.9</c:v>
                </c:pt>
                <c:pt idx="3">
                  <c:v>-1.9</c:v>
                </c:pt>
              </c:numCache>
            </c:numRef>
          </c:xVal>
          <c:yVal>
            <c:numRef>
              <c:f>Solution!$BJ$67:$BJ$70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B-02BD-4FCC-A03D-625C0E4D2895}"/>
            </c:ext>
          </c:extLst>
        </c:ser>
        <c:ser>
          <c:idx val="185"/>
          <c:order val="185"/>
          <c:tx>
            <c:v>Thigh R Mean 13</c:v>
          </c:tx>
          <c:spPr>
            <a:ln w="19050" cap="rnd">
              <a:solidFill>
                <a:srgbClr val="00B050"/>
              </a:solidFill>
              <a:round/>
            </a:ln>
            <a:effectLst/>
          </c:spPr>
          <c:marker>
            <c:symbol val="circle"/>
            <c:size val="2"/>
            <c:spPr>
              <a:solidFill>
                <a:srgbClr val="00B050"/>
              </a:solidFill>
              <a:ln w="9525">
                <a:noFill/>
              </a:ln>
              <a:effectLst/>
            </c:spPr>
          </c:marker>
          <c:xVal>
            <c:numRef>
              <c:f>Solution!$BK$67:$BK$70</c:f>
              <c:numCache>
                <c:formatCode>0.0</c:formatCode>
                <c:ptCount val="4"/>
                <c:pt idx="0">
                  <c:v>0</c:v>
                </c:pt>
                <c:pt idx="1">
                  <c:v>0</c:v>
                </c:pt>
                <c:pt idx="2">
                  <c:v>-1.9</c:v>
                </c:pt>
                <c:pt idx="3">
                  <c:v>-1.9</c:v>
                </c:pt>
              </c:numCache>
            </c:numRef>
          </c:xVal>
          <c:yVal>
            <c:numRef>
              <c:f>Solution!$BL$67:$BL$70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C-02BD-4FCC-A03D-625C0E4D2895}"/>
            </c:ext>
          </c:extLst>
        </c:ser>
        <c:ser>
          <c:idx val="186"/>
          <c:order val="186"/>
          <c:tx>
            <c:v>Thigh R 95th 13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Solution!$BM$67:$BM$70</c:f>
              <c:numCache>
                <c:formatCode>0.0</c:formatCode>
                <c:ptCount val="4"/>
                <c:pt idx="0">
                  <c:v>0</c:v>
                </c:pt>
                <c:pt idx="1">
                  <c:v>0</c:v>
                </c:pt>
                <c:pt idx="2">
                  <c:v>-1.9</c:v>
                </c:pt>
                <c:pt idx="3">
                  <c:v>-1.9</c:v>
                </c:pt>
              </c:numCache>
            </c:numRef>
          </c:xVal>
          <c:yVal>
            <c:numRef>
              <c:f>Solution!$BN$67:$BN$70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D-02BD-4FCC-A03D-625C0E4D2895}"/>
            </c:ext>
          </c:extLst>
        </c:ser>
        <c:ser>
          <c:idx val="187"/>
          <c:order val="187"/>
          <c:tx>
            <c:v>Thigh L 5th 13</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Solution!$BP$67:$BP$70</c:f>
              <c:numCache>
                <c:formatCode>0.0</c:formatCode>
                <c:ptCount val="4"/>
                <c:pt idx="0">
                  <c:v>0</c:v>
                </c:pt>
                <c:pt idx="1">
                  <c:v>0</c:v>
                </c:pt>
                <c:pt idx="2">
                  <c:v>1.9</c:v>
                </c:pt>
                <c:pt idx="3">
                  <c:v>1.9</c:v>
                </c:pt>
              </c:numCache>
            </c:numRef>
          </c:xVal>
          <c:yVal>
            <c:numRef>
              <c:f>Solution!$BQ$67:$BQ$70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E-02BD-4FCC-A03D-625C0E4D2895}"/>
            </c:ext>
          </c:extLst>
        </c:ser>
        <c:ser>
          <c:idx val="188"/>
          <c:order val="188"/>
          <c:tx>
            <c:v>Thigh L Mean 13</c:v>
          </c:tx>
          <c:spPr>
            <a:ln w="19050" cap="rnd">
              <a:solidFill>
                <a:srgbClr val="00B050"/>
              </a:solidFill>
              <a:round/>
            </a:ln>
            <a:effectLst/>
          </c:spPr>
          <c:marker>
            <c:symbol val="circle"/>
            <c:size val="2"/>
            <c:spPr>
              <a:solidFill>
                <a:srgbClr val="00B050"/>
              </a:solidFill>
              <a:ln w="9525">
                <a:noFill/>
              </a:ln>
              <a:effectLst/>
            </c:spPr>
          </c:marker>
          <c:xVal>
            <c:numRef>
              <c:f>Solution!$BR$67:$BR$70</c:f>
              <c:numCache>
                <c:formatCode>0.0</c:formatCode>
                <c:ptCount val="4"/>
                <c:pt idx="0">
                  <c:v>0</c:v>
                </c:pt>
                <c:pt idx="1">
                  <c:v>0</c:v>
                </c:pt>
                <c:pt idx="2">
                  <c:v>1.9</c:v>
                </c:pt>
                <c:pt idx="3">
                  <c:v>1.9</c:v>
                </c:pt>
              </c:numCache>
            </c:numRef>
          </c:xVal>
          <c:yVal>
            <c:numRef>
              <c:f>Solution!$BS$67:$BS$70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DF-02BD-4FCC-A03D-625C0E4D2895}"/>
            </c:ext>
          </c:extLst>
        </c:ser>
        <c:ser>
          <c:idx val="189"/>
          <c:order val="189"/>
          <c:tx>
            <c:v>Thigh L 95th 13</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Solution!$BT$67:$BT$70</c:f>
              <c:numCache>
                <c:formatCode>0.0</c:formatCode>
                <c:ptCount val="4"/>
                <c:pt idx="0">
                  <c:v>0</c:v>
                </c:pt>
                <c:pt idx="1">
                  <c:v>0</c:v>
                </c:pt>
                <c:pt idx="2">
                  <c:v>1.9</c:v>
                </c:pt>
                <c:pt idx="3">
                  <c:v>1.9</c:v>
                </c:pt>
              </c:numCache>
            </c:numRef>
          </c:xVal>
          <c:yVal>
            <c:numRef>
              <c:f>Solution!$BU$67:$BU$70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0-02BD-4FCC-A03D-625C0E4D2895}"/>
            </c:ext>
          </c:extLst>
        </c:ser>
        <c:ser>
          <c:idx val="190"/>
          <c:order val="190"/>
          <c:tx>
            <c:v>Thighs R 5th 14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Solution!$BI$71:$BI$74</c:f>
              <c:numCache>
                <c:formatCode>0.0</c:formatCode>
                <c:ptCount val="4"/>
                <c:pt idx="0">
                  <c:v>0</c:v>
                </c:pt>
                <c:pt idx="1">
                  <c:v>0</c:v>
                </c:pt>
                <c:pt idx="2">
                  <c:v>-1.9</c:v>
                </c:pt>
                <c:pt idx="3">
                  <c:v>-1.9</c:v>
                </c:pt>
              </c:numCache>
            </c:numRef>
          </c:xVal>
          <c:yVal>
            <c:numRef>
              <c:f>Solution!$BJ$71:$BJ$74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1-02BD-4FCC-A03D-625C0E4D2895}"/>
            </c:ext>
          </c:extLst>
        </c:ser>
        <c:ser>
          <c:idx val="191"/>
          <c:order val="191"/>
          <c:tx>
            <c:v>Thighs R Mea n14</c:v>
          </c:tx>
          <c:spPr>
            <a:ln w="19050" cap="rnd">
              <a:solidFill>
                <a:srgbClr val="00B050"/>
              </a:solidFill>
              <a:round/>
            </a:ln>
            <a:effectLst/>
          </c:spPr>
          <c:marker>
            <c:symbol val="circle"/>
            <c:size val="2"/>
            <c:spPr>
              <a:solidFill>
                <a:srgbClr val="00B050"/>
              </a:solidFill>
              <a:ln w="9525">
                <a:noFill/>
              </a:ln>
              <a:effectLst/>
            </c:spPr>
          </c:marker>
          <c:xVal>
            <c:numRef>
              <c:f>Solution!$BK$71:$BK$74</c:f>
              <c:numCache>
                <c:formatCode>0.0</c:formatCode>
                <c:ptCount val="4"/>
                <c:pt idx="0">
                  <c:v>0</c:v>
                </c:pt>
                <c:pt idx="1">
                  <c:v>0</c:v>
                </c:pt>
                <c:pt idx="2">
                  <c:v>-1.9</c:v>
                </c:pt>
                <c:pt idx="3">
                  <c:v>-1.9</c:v>
                </c:pt>
              </c:numCache>
            </c:numRef>
          </c:xVal>
          <c:yVal>
            <c:numRef>
              <c:f>Solution!$BL$71:$BL$74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2-02BD-4FCC-A03D-625C0E4D2895}"/>
            </c:ext>
          </c:extLst>
        </c:ser>
        <c:ser>
          <c:idx val="192"/>
          <c:order val="192"/>
          <c:tx>
            <c:v>Thighs R 95th 14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Solution!$BM$71:$BM$74</c:f>
              <c:numCache>
                <c:formatCode>0.0</c:formatCode>
                <c:ptCount val="4"/>
                <c:pt idx="0">
                  <c:v>0</c:v>
                </c:pt>
                <c:pt idx="1">
                  <c:v>0</c:v>
                </c:pt>
                <c:pt idx="2">
                  <c:v>-1.9</c:v>
                </c:pt>
                <c:pt idx="3">
                  <c:v>-1.9</c:v>
                </c:pt>
              </c:numCache>
            </c:numRef>
          </c:xVal>
          <c:yVal>
            <c:numRef>
              <c:f>Solution!$BN$71:$BN$74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3-02BD-4FCC-A03D-625C0E4D2895}"/>
            </c:ext>
          </c:extLst>
        </c:ser>
        <c:ser>
          <c:idx val="193"/>
          <c:order val="193"/>
          <c:tx>
            <c:v>Thighs L 5th 14</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Solution!$BP$71:$BP$74</c:f>
              <c:numCache>
                <c:formatCode>0.0</c:formatCode>
                <c:ptCount val="4"/>
                <c:pt idx="0">
                  <c:v>0</c:v>
                </c:pt>
                <c:pt idx="1">
                  <c:v>0</c:v>
                </c:pt>
                <c:pt idx="2">
                  <c:v>1.9</c:v>
                </c:pt>
                <c:pt idx="3">
                  <c:v>1.9</c:v>
                </c:pt>
              </c:numCache>
            </c:numRef>
          </c:xVal>
          <c:yVal>
            <c:numRef>
              <c:f>Solution!$BQ$71:$BQ$74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4-02BD-4FCC-A03D-625C0E4D2895}"/>
            </c:ext>
          </c:extLst>
        </c:ser>
        <c:ser>
          <c:idx val="194"/>
          <c:order val="194"/>
          <c:tx>
            <c:v>Thighs L Mean 14</c:v>
          </c:tx>
          <c:spPr>
            <a:ln w="19050" cap="rnd">
              <a:solidFill>
                <a:srgbClr val="00B050"/>
              </a:solidFill>
              <a:round/>
            </a:ln>
            <a:effectLst/>
          </c:spPr>
          <c:marker>
            <c:symbol val="circle"/>
            <c:size val="2"/>
            <c:spPr>
              <a:solidFill>
                <a:srgbClr val="00B050"/>
              </a:solidFill>
              <a:ln w="9525">
                <a:noFill/>
              </a:ln>
              <a:effectLst/>
            </c:spPr>
          </c:marker>
          <c:xVal>
            <c:numRef>
              <c:f>Solution!$BR$71:$BR$74</c:f>
              <c:numCache>
                <c:formatCode>0.0</c:formatCode>
                <c:ptCount val="4"/>
                <c:pt idx="0">
                  <c:v>0</c:v>
                </c:pt>
                <c:pt idx="1">
                  <c:v>0</c:v>
                </c:pt>
                <c:pt idx="2">
                  <c:v>1.9</c:v>
                </c:pt>
                <c:pt idx="3">
                  <c:v>1.9</c:v>
                </c:pt>
              </c:numCache>
            </c:numRef>
          </c:xVal>
          <c:yVal>
            <c:numRef>
              <c:f>Solution!$BS$71:$BS$74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5-02BD-4FCC-A03D-625C0E4D2895}"/>
            </c:ext>
          </c:extLst>
        </c:ser>
        <c:ser>
          <c:idx val="195"/>
          <c:order val="195"/>
          <c:tx>
            <c:v>Thighs L 95th 14</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Solution!$BT$71:$BT$74</c:f>
              <c:numCache>
                <c:formatCode>0.0</c:formatCode>
                <c:ptCount val="4"/>
                <c:pt idx="0">
                  <c:v>0</c:v>
                </c:pt>
                <c:pt idx="1">
                  <c:v>0</c:v>
                </c:pt>
                <c:pt idx="2">
                  <c:v>1.9</c:v>
                </c:pt>
                <c:pt idx="3">
                  <c:v>1.9</c:v>
                </c:pt>
              </c:numCache>
            </c:numRef>
          </c:xVal>
          <c:yVal>
            <c:numRef>
              <c:f>Solution!$BU$71:$BU$74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6-02BD-4FCC-A03D-625C0E4D2895}"/>
            </c:ext>
          </c:extLst>
        </c:ser>
        <c:ser>
          <c:idx val="196"/>
          <c:order val="196"/>
          <c:tx>
            <c:v>Thigh R 5th 15</c:v>
          </c:tx>
          <c:spPr>
            <a:ln w="19050" cap="rnd">
              <a:solidFill>
                <a:schemeClr val="accent5">
                  <a:lumMod val="60000"/>
                  <a:lumOff val="40000"/>
                </a:schemeClr>
              </a:solidFill>
              <a:round/>
            </a:ln>
            <a:effectLst/>
          </c:spPr>
          <c:marker>
            <c:symbol val="circle"/>
            <c:size val="2"/>
            <c:spPr>
              <a:solidFill>
                <a:schemeClr val="accent5">
                  <a:lumMod val="40000"/>
                  <a:lumOff val="60000"/>
                </a:schemeClr>
              </a:solidFill>
              <a:ln w="9525">
                <a:noFill/>
              </a:ln>
              <a:effectLst/>
            </c:spPr>
          </c:marker>
          <c:xVal>
            <c:numRef>
              <c:f>Solution!$BI$75:$BI$78</c:f>
              <c:numCache>
                <c:formatCode>0.0</c:formatCode>
                <c:ptCount val="4"/>
                <c:pt idx="0">
                  <c:v>0</c:v>
                </c:pt>
                <c:pt idx="1">
                  <c:v>0</c:v>
                </c:pt>
                <c:pt idx="2">
                  <c:v>-1.9</c:v>
                </c:pt>
                <c:pt idx="3">
                  <c:v>-1.9</c:v>
                </c:pt>
              </c:numCache>
            </c:numRef>
          </c:xVal>
          <c:yVal>
            <c:numRef>
              <c:f>Solution!$BJ$75:$BJ$78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7-02BD-4FCC-A03D-625C0E4D2895}"/>
            </c:ext>
          </c:extLst>
        </c:ser>
        <c:ser>
          <c:idx val="197"/>
          <c:order val="197"/>
          <c:tx>
            <c:v>Thigh R Mean 15</c:v>
          </c:tx>
          <c:spPr>
            <a:ln w="19050" cap="rnd">
              <a:solidFill>
                <a:srgbClr val="00B050"/>
              </a:solidFill>
              <a:round/>
            </a:ln>
            <a:effectLst/>
          </c:spPr>
          <c:marker>
            <c:symbol val="circle"/>
            <c:size val="2"/>
            <c:spPr>
              <a:solidFill>
                <a:srgbClr val="00B050"/>
              </a:solidFill>
              <a:ln w="9525">
                <a:noFill/>
              </a:ln>
              <a:effectLst/>
            </c:spPr>
          </c:marker>
          <c:xVal>
            <c:numRef>
              <c:f>Solution!$BK$75:$BK$78</c:f>
              <c:numCache>
                <c:formatCode>0.0</c:formatCode>
                <c:ptCount val="4"/>
                <c:pt idx="0">
                  <c:v>0</c:v>
                </c:pt>
                <c:pt idx="1">
                  <c:v>0</c:v>
                </c:pt>
                <c:pt idx="2">
                  <c:v>-1.9</c:v>
                </c:pt>
                <c:pt idx="3">
                  <c:v>-1.9</c:v>
                </c:pt>
              </c:numCache>
            </c:numRef>
          </c:xVal>
          <c:yVal>
            <c:numRef>
              <c:f>Solution!$BL$75:$BL$78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8-02BD-4FCC-A03D-625C0E4D2895}"/>
            </c:ext>
          </c:extLst>
        </c:ser>
        <c:ser>
          <c:idx val="198"/>
          <c:order val="198"/>
          <c:tx>
            <c:v>Thigh R 95th 15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Solution!$BM$75:$BM$78</c:f>
              <c:numCache>
                <c:formatCode>0.0</c:formatCode>
                <c:ptCount val="4"/>
                <c:pt idx="0">
                  <c:v>0</c:v>
                </c:pt>
                <c:pt idx="1">
                  <c:v>0</c:v>
                </c:pt>
                <c:pt idx="2">
                  <c:v>-1.9</c:v>
                </c:pt>
                <c:pt idx="3">
                  <c:v>-1.9</c:v>
                </c:pt>
              </c:numCache>
            </c:numRef>
          </c:xVal>
          <c:yVal>
            <c:numRef>
              <c:f>Solution!$BN$75:$BN$78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9-02BD-4FCC-A03D-625C0E4D2895}"/>
            </c:ext>
          </c:extLst>
        </c:ser>
        <c:ser>
          <c:idx val="199"/>
          <c:order val="199"/>
          <c:tx>
            <c:v>Thigh L 5th 15</c:v>
          </c:tx>
          <c:spPr>
            <a:ln w="19050" cap="rnd">
              <a:solidFill>
                <a:schemeClr val="accent5">
                  <a:lumMod val="60000"/>
                  <a:lumOff val="40000"/>
                </a:schemeClr>
              </a:solidFill>
              <a:round/>
            </a:ln>
            <a:effectLst/>
          </c:spPr>
          <c:marker>
            <c:symbol val="circle"/>
            <c:size val="2"/>
            <c:spPr>
              <a:solidFill>
                <a:schemeClr val="accent5">
                  <a:lumMod val="60000"/>
                  <a:lumOff val="40000"/>
                </a:schemeClr>
              </a:solidFill>
              <a:ln w="9525">
                <a:noFill/>
              </a:ln>
              <a:effectLst/>
            </c:spPr>
          </c:marker>
          <c:xVal>
            <c:numRef>
              <c:f>Solution!$BP$75:$BP$78</c:f>
              <c:numCache>
                <c:formatCode>0.0</c:formatCode>
                <c:ptCount val="4"/>
                <c:pt idx="0">
                  <c:v>0</c:v>
                </c:pt>
                <c:pt idx="1">
                  <c:v>0</c:v>
                </c:pt>
                <c:pt idx="2">
                  <c:v>1.9</c:v>
                </c:pt>
                <c:pt idx="3">
                  <c:v>1.9</c:v>
                </c:pt>
              </c:numCache>
            </c:numRef>
          </c:xVal>
          <c:yVal>
            <c:numRef>
              <c:f>Solution!$BQ$75:$BQ$78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A-02BD-4FCC-A03D-625C0E4D2895}"/>
            </c:ext>
          </c:extLst>
        </c:ser>
        <c:ser>
          <c:idx val="200"/>
          <c:order val="200"/>
          <c:tx>
            <c:v>Thigh L Mean 15</c:v>
          </c:tx>
          <c:spPr>
            <a:ln w="19050" cap="rnd">
              <a:solidFill>
                <a:srgbClr val="00B050"/>
              </a:solidFill>
              <a:round/>
            </a:ln>
            <a:effectLst/>
          </c:spPr>
          <c:marker>
            <c:symbol val="circle"/>
            <c:size val="2"/>
            <c:spPr>
              <a:solidFill>
                <a:srgbClr val="00B050"/>
              </a:solidFill>
              <a:ln w="9525">
                <a:noFill/>
              </a:ln>
              <a:effectLst/>
            </c:spPr>
          </c:marker>
          <c:xVal>
            <c:numRef>
              <c:f>Solution!$BR$75:$BR$78</c:f>
              <c:numCache>
                <c:formatCode>0.0</c:formatCode>
                <c:ptCount val="4"/>
                <c:pt idx="0">
                  <c:v>0</c:v>
                </c:pt>
                <c:pt idx="1">
                  <c:v>0</c:v>
                </c:pt>
                <c:pt idx="2">
                  <c:v>1.9</c:v>
                </c:pt>
                <c:pt idx="3">
                  <c:v>1.9</c:v>
                </c:pt>
              </c:numCache>
            </c:numRef>
          </c:xVal>
          <c:yVal>
            <c:numRef>
              <c:f>Solution!$BS$75:$BS$78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B-02BD-4FCC-A03D-625C0E4D2895}"/>
            </c:ext>
          </c:extLst>
        </c:ser>
        <c:ser>
          <c:idx val="201"/>
          <c:order val="201"/>
          <c:tx>
            <c:v>Thigh L 95th 15</c:v>
          </c:tx>
          <c:spPr>
            <a:ln w="19050" cap="rnd">
              <a:solidFill>
                <a:schemeClr val="accent4">
                  <a:lumMod val="50000"/>
                </a:schemeClr>
              </a:solidFill>
              <a:round/>
            </a:ln>
            <a:effectLst/>
          </c:spPr>
          <c:marker>
            <c:symbol val="circle"/>
            <c:size val="2"/>
            <c:spPr>
              <a:solidFill>
                <a:schemeClr val="accent4">
                  <a:lumMod val="50000"/>
                </a:schemeClr>
              </a:solidFill>
              <a:ln w="9525">
                <a:noFill/>
              </a:ln>
              <a:effectLst/>
            </c:spPr>
          </c:marker>
          <c:xVal>
            <c:numRef>
              <c:f>Solution!$BT$75:$BT$78</c:f>
              <c:numCache>
                <c:formatCode>0.0</c:formatCode>
                <c:ptCount val="4"/>
                <c:pt idx="0">
                  <c:v>0</c:v>
                </c:pt>
                <c:pt idx="1">
                  <c:v>0</c:v>
                </c:pt>
                <c:pt idx="2">
                  <c:v>1.9</c:v>
                </c:pt>
                <c:pt idx="3">
                  <c:v>1.9</c:v>
                </c:pt>
              </c:numCache>
            </c:numRef>
          </c:xVal>
          <c:yVal>
            <c:numRef>
              <c:f>Solution!$BU$75:$BU$78</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EC-02BD-4FCC-A03D-625C0E4D2895}"/>
            </c:ext>
          </c:extLst>
        </c:ser>
        <c:ser>
          <c:idx val="202"/>
          <c:order val="202"/>
          <c:tx>
            <c:v>Crotch Strap</c:v>
          </c:tx>
          <c:spPr>
            <a:ln w="19050" cap="rnd">
              <a:solidFill>
                <a:schemeClr val="bg1">
                  <a:lumMod val="75000"/>
                </a:schemeClr>
              </a:solidFill>
              <a:round/>
            </a:ln>
            <a:effectLst/>
          </c:spPr>
          <c:marker>
            <c:symbol val="picture"/>
            <c:spPr>
              <a:blipFill dpi="0" rotWithShape="1">
                <a:blip xmlns:r="http://schemas.openxmlformats.org/officeDocument/2006/relationships" r:embed="rId1">
                  <a:alphaModFix amt="70000"/>
                </a:blip>
                <a:srcRect/>
                <a:stretch>
                  <a:fillRect/>
                </a:stretch>
              </a:blipFill>
              <a:ln w="9525">
                <a:solidFill>
                  <a:schemeClr val="accent5">
                    <a:lumMod val="70000"/>
                    <a:lumOff val="30000"/>
                  </a:schemeClr>
                </a:solidFill>
              </a:ln>
              <a:effectLst/>
            </c:spPr>
          </c:marker>
          <c:dPt>
            <c:idx val="0"/>
            <c:marker>
              <c:symbol val="none"/>
            </c:marker>
            <c:bubble3D val="0"/>
            <c:extLst>
              <c:ext xmlns:c16="http://schemas.microsoft.com/office/drawing/2014/chart" uri="{C3380CC4-5D6E-409C-BE32-E72D297353CC}">
                <c16:uniqueId val="{000000ED-02BD-4FCC-A03D-625C0E4D2895}"/>
              </c:ext>
            </c:extLst>
          </c:dPt>
          <c:dPt>
            <c:idx val="1"/>
            <c:marker>
              <c:spPr>
                <a:blipFill dpi="0" rotWithShape="1">
                  <a:blip xmlns:r="http://schemas.openxmlformats.org/officeDocument/2006/relationships" r:embed="rId2">
                    <a:alphaModFix amt="40000"/>
                  </a:blip>
                  <a:srcRect/>
                  <a:stretch>
                    <a:fillRect/>
                  </a:stretch>
                </a:blipFill>
                <a:ln>
                  <a:noFill/>
                </a:ln>
              </c:spPr>
            </c:marker>
            <c:bubble3D val="0"/>
            <c:spPr>
              <a:ln w="279400" cap="rnd">
                <a:noFill/>
                <a:round/>
              </a:ln>
              <a:effectLst/>
            </c:spPr>
            <c:extLst>
              <c:ext xmlns:c16="http://schemas.microsoft.com/office/drawing/2014/chart" uri="{C3380CC4-5D6E-409C-BE32-E72D297353CC}">
                <c16:uniqueId val="{000000EF-02BD-4FCC-A03D-625C0E4D2895}"/>
              </c:ext>
            </c:extLst>
          </c:dPt>
          <c:xVal>
            <c:numRef>
              <c:f>Solution!$CA$49:$CA$50</c:f>
              <c:numCache>
                <c:formatCode>General</c:formatCode>
                <c:ptCount val="2"/>
                <c:pt idx="0">
                  <c:v>0</c:v>
                </c:pt>
                <c:pt idx="1">
                  <c:v>0</c:v>
                </c:pt>
              </c:numCache>
            </c:numRef>
          </c:xVal>
          <c:yVal>
            <c:numRef>
              <c:f>Solution!$CC$49:$CC$50</c:f>
              <c:numCache>
                <c:formatCode>General</c:formatCode>
                <c:ptCount val="2"/>
                <c:pt idx="0">
                  <c:v>0</c:v>
                </c:pt>
                <c:pt idx="1">
                  <c:v>12.506000000000002</c:v>
                </c:pt>
              </c:numCache>
            </c:numRef>
          </c:yVal>
          <c:smooth val="1"/>
          <c:extLst>
            <c:ext xmlns:c16="http://schemas.microsoft.com/office/drawing/2014/chart" uri="{C3380CC4-5D6E-409C-BE32-E72D297353CC}">
              <c16:uniqueId val="{000000F0-02BD-4FCC-A03D-625C0E4D2895}"/>
            </c:ext>
          </c:extLst>
        </c:ser>
        <c:ser>
          <c:idx val="204"/>
          <c:order val="203"/>
          <c:tx>
            <c:v>Chest Clip Position</c:v>
          </c:tx>
          <c:spPr>
            <a:ln w="19050" cap="rnd">
              <a:noFill/>
              <a:round/>
            </a:ln>
            <a:effectLst/>
          </c:spPr>
          <c:marker>
            <c:symbol val="circle"/>
            <c:size val="5"/>
            <c:spPr>
              <a:solidFill>
                <a:schemeClr val="accent1">
                  <a:lumMod val="70000"/>
                </a:schemeClr>
              </a:solidFill>
              <a:ln w="9525">
                <a:noFill/>
              </a:ln>
              <a:effectLst/>
            </c:spPr>
          </c:marker>
          <c:dPt>
            <c:idx val="1"/>
            <c:marker>
              <c:symbol val="picture"/>
              <c:spPr>
                <a:blipFill dpi="0" rotWithShape="1">
                  <a:blip xmlns:r="http://schemas.openxmlformats.org/officeDocument/2006/relationships" r:embed="rId3">
                    <a:alphaModFix amt="60000"/>
                  </a:blip>
                  <a:srcRect/>
                  <a:stretch>
                    <a:fillRect/>
                  </a:stretch>
                </a:blipFill>
                <a:ln w="9525">
                  <a:noFill/>
                </a:ln>
                <a:effectLst/>
              </c:spPr>
            </c:marker>
            <c:bubble3D val="0"/>
            <c:extLst>
              <c:ext xmlns:c16="http://schemas.microsoft.com/office/drawing/2014/chart" uri="{C3380CC4-5D6E-409C-BE32-E72D297353CC}">
                <c16:uniqueId val="{000000F1-02BD-4FCC-A03D-625C0E4D2895}"/>
              </c:ext>
            </c:extLst>
          </c:dPt>
          <c:xVal>
            <c:numRef>
              <c:f>Solution!$CA$53:$CA$54</c:f>
              <c:numCache>
                <c:formatCode>General</c:formatCode>
                <c:ptCount val="2"/>
                <c:pt idx="0">
                  <c:v>0</c:v>
                </c:pt>
                <c:pt idx="1">
                  <c:v>0</c:v>
                </c:pt>
              </c:numCache>
            </c:numRef>
          </c:xVal>
          <c:yVal>
            <c:numRef>
              <c:f>Solution!$CC$53:$CC$54</c:f>
              <c:numCache>
                <c:formatCode>General</c:formatCode>
                <c:ptCount val="2"/>
                <c:pt idx="0">
                  <c:v>0</c:v>
                </c:pt>
                <c:pt idx="1">
                  <c:v>26.187199999999997</c:v>
                </c:pt>
              </c:numCache>
            </c:numRef>
          </c:yVal>
          <c:smooth val="1"/>
          <c:extLst>
            <c:ext xmlns:c16="http://schemas.microsoft.com/office/drawing/2014/chart" uri="{C3380CC4-5D6E-409C-BE32-E72D297353CC}">
              <c16:uniqueId val="{000000F2-02BD-4FCC-A03D-625C0E4D2895}"/>
            </c:ext>
          </c:extLst>
        </c:ser>
        <c:ser>
          <c:idx val="205"/>
          <c:order val="204"/>
          <c:tx>
            <c:v>Harness Length Left Outside Edge Max</c:v>
          </c:tx>
          <c:spPr>
            <a:ln w="47625">
              <a:solidFill>
                <a:schemeClr val="tx1">
                  <a:lumMod val="65000"/>
                  <a:lumOff val="35000"/>
                </a:schemeClr>
              </a:solidFill>
            </a:ln>
          </c:spPr>
          <c:marker>
            <c:symbol val="diamond"/>
            <c:size val="10"/>
            <c:spPr>
              <a:solidFill>
                <a:schemeClr val="tx1">
                  <a:lumMod val="50000"/>
                  <a:lumOff val="50000"/>
                </a:schemeClr>
              </a:solidFill>
              <a:ln>
                <a:solidFill>
                  <a:schemeClr val="tx1"/>
                </a:solidFill>
              </a:ln>
            </c:spPr>
          </c:marker>
          <c:xVal>
            <c:numRef>
              <c:f>Solution!$CG$20:$CG$25</c:f>
              <c:numCache>
                <c:formatCode>0.00</c:formatCode>
                <c:ptCount val="6"/>
                <c:pt idx="0">
                  <c:v>6.7309999999999999</c:v>
                </c:pt>
                <c:pt idx="1">
                  <c:v>7.8867000000000003</c:v>
                </c:pt>
                <c:pt idx="2">
                  <c:v>4.5</c:v>
                </c:pt>
                <c:pt idx="3">
                  <c:v>6</c:v>
                </c:pt>
                <c:pt idx="4">
                  <c:v>6.5</c:v>
                </c:pt>
                <c:pt idx="5">
                  <c:v>7.2289999999999992</c:v>
                </c:pt>
              </c:numCache>
            </c:numRef>
          </c:xVal>
          <c:yVal>
            <c:numRef>
              <c:f>Solution!$CI$20:$CI$25</c:f>
              <c:numCache>
                <c:formatCode>0.00</c:formatCode>
                <c:ptCount val="6"/>
                <c:pt idx="0">
                  <c:v>0</c:v>
                </c:pt>
                <c:pt idx="1">
                  <c:v>9.620000000000001</c:v>
                </c:pt>
                <c:pt idx="2">
                  <c:v>13.506000000000002</c:v>
                </c:pt>
                <c:pt idx="3">
                  <c:v>23.187199999999997</c:v>
                </c:pt>
                <c:pt idx="4">
                  <c:v>28.687199999999997</c:v>
                </c:pt>
                <c:pt idx="5">
                  <c:v>32.733999999999995</c:v>
                </c:pt>
              </c:numCache>
            </c:numRef>
          </c:yVal>
          <c:smooth val="1"/>
          <c:extLst>
            <c:ext xmlns:c16="http://schemas.microsoft.com/office/drawing/2014/chart" uri="{C3380CC4-5D6E-409C-BE32-E72D297353CC}">
              <c16:uniqueId val="{000000F3-02BD-4FCC-A03D-625C0E4D2895}"/>
            </c:ext>
          </c:extLst>
        </c:ser>
        <c:ser>
          <c:idx val="206"/>
          <c:order val="205"/>
          <c:tx>
            <c:v>Harness Length Right outside Edge Max</c:v>
          </c:tx>
          <c:spPr>
            <a:ln w="50800">
              <a:solidFill>
                <a:schemeClr val="tx1">
                  <a:lumMod val="65000"/>
                  <a:lumOff val="35000"/>
                </a:schemeClr>
              </a:solidFill>
            </a:ln>
          </c:spPr>
          <c:marker>
            <c:symbol val="diamond"/>
            <c:size val="10"/>
            <c:spPr>
              <a:solidFill>
                <a:schemeClr val="tx1">
                  <a:lumMod val="50000"/>
                  <a:lumOff val="50000"/>
                </a:schemeClr>
              </a:solidFill>
              <a:ln>
                <a:solidFill>
                  <a:schemeClr val="tx1"/>
                </a:solidFill>
              </a:ln>
            </c:spPr>
          </c:marker>
          <c:xVal>
            <c:numRef>
              <c:f>Solution!$CA$20:$CA$25</c:f>
              <c:numCache>
                <c:formatCode>0.00</c:formatCode>
                <c:ptCount val="6"/>
                <c:pt idx="0">
                  <c:v>-6.7309999999999999</c:v>
                </c:pt>
                <c:pt idx="1">
                  <c:v>-7.8867000000000003</c:v>
                </c:pt>
                <c:pt idx="2">
                  <c:v>-4.5</c:v>
                </c:pt>
                <c:pt idx="3">
                  <c:v>-6</c:v>
                </c:pt>
                <c:pt idx="4">
                  <c:v>-6.5</c:v>
                </c:pt>
                <c:pt idx="5">
                  <c:v>-7.2289999999999992</c:v>
                </c:pt>
              </c:numCache>
            </c:numRef>
          </c:xVal>
          <c:yVal>
            <c:numRef>
              <c:f>Solution!$CC$20:$CC$25</c:f>
              <c:numCache>
                <c:formatCode>0.00</c:formatCode>
                <c:ptCount val="6"/>
                <c:pt idx="0">
                  <c:v>0</c:v>
                </c:pt>
                <c:pt idx="1">
                  <c:v>9.620000000000001</c:v>
                </c:pt>
                <c:pt idx="2">
                  <c:v>13.506000000000002</c:v>
                </c:pt>
                <c:pt idx="3">
                  <c:v>23.187199999999997</c:v>
                </c:pt>
                <c:pt idx="4">
                  <c:v>28.687199999999997</c:v>
                </c:pt>
                <c:pt idx="5">
                  <c:v>32.733999999999995</c:v>
                </c:pt>
              </c:numCache>
            </c:numRef>
          </c:yVal>
          <c:smooth val="1"/>
          <c:extLst>
            <c:ext xmlns:c16="http://schemas.microsoft.com/office/drawing/2014/chart" uri="{C3380CC4-5D6E-409C-BE32-E72D297353CC}">
              <c16:uniqueId val="{000000F4-02BD-4FCC-A03D-625C0E4D2895}"/>
            </c:ext>
          </c:extLst>
        </c:ser>
        <c:ser>
          <c:idx val="209"/>
          <c:order val="206"/>
          <c:tx>
            <c:v>Harness Length Left Outside Edge Min</c:v>
          </c:tx>
          <c:spPr>
            <a:ln w="50800">
              <a:solidFill>
                <a:schemeClr val="tx1">
                  <a:lumMod val="50000"/>
                  <a:lumOff val="50000"/>
                </a:schemeClr>
              </a:solidFill>
            </a:ln>
          </c:spPr>
          <c:marker>
            <c:symbol val="diamond"/>
            <c:size val="10"/>
            <c:spPr>
              <a:ln>
                <a:solidFill>
                  <a:schemeClr val="tx1"/>
                </a:solidFill>
              </a:ln>
            </c:spPr>
          </c:marker>
          <c:xVal>
            <c:numRef>
              <c:f>Solution!$CD$20:$CD$25</c:f>
              <c:numCache>
                <c:formatCode>0.00</c:formatCode>
                <c:ptCount val="6"/>
                <c:pt idx="0">
                  <c:v>0</c:v>
                </c:pt>
                <c:pt idx="1">
                  <c:v>0</c:v>
                </c:pt>
                <c:pt idx="2">
                  <c:v>0</c:v>
                </c:pt>
                <c:pt idx="3">
                  <c:v>0</c:v>
                </c:pt>
                <c:pt idx="4">
                  <c:v>0</c:v>
                </c:pt>
                <c:pt idx="5">
                  <c:v>0</c:v>
                </c:pt>
              </c:numCache>
            </c:numRef>
          </c:xVal>
          <c:yVal>
            <c:numRef>
              <c:f>Solution!$CF$20:$CF$25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F5-02BD-4FCC-A03D-625C0E4D2895}"/>
            </c:ext>
          </c:extLst>
        </c:ser>
        <c:ser>
          <c:idx val="210"/>
          <c:order val="207"/>
          <c:tx>
            <c:v>Harness Length Right Outside Edge Min</c:v>
          </c:tx>
          <c:spPr>
            <a:ln w="50800">
              <a:solidFill>
                <a:schemeClr val="tx1">
                  <a:lumMod val="50000"/>
                  <a:lumOff val="50000"/>
                </a:schemeClr>
              </a:solidFill>
            </a:ln>
          </c:spPr>
          <c:marker>
            <c:symbol val="diamond"/>
            <c:size val="10"/>
            <c:spPr>
              <a:ln>
                <a:solidFill>
                  <a:schemeClr val="tx1"/>
                </a:solidFill>
              </a:ln>
            </c:spPr>
          </c:marker>
          <c:xVal>
            <c:numRef>
              <c:f>Solution!$BX$20:$BX$25</c:f>
              <c:numCache>
                <c:formatCode>0.00</c:formatCode>
                <c:ptCount val="6"/>
                <c:pt idx="0">
                  <c:v>0</c:v>
                </c:pt>
                <c:pt idx="1">
                  <c:v>0</c:v>
                </c:pt>
                <c:pt idx="2">
                  <c:v>0</c:v>
                </c:pt>
                <c:pt idx="3">
                  <c:v>0</c:v>
                </c:pt>
                <c:pt idx="4">
                  <c:v>0</c:v>
                </c:pt>
                <c:pt idx="5">
                  <c:v>0</c:v>
                </c:pt>
              </c:numCache>
            </c:numRef>
          </c:xVal>
          <c:yVal>
            <c:numRef>
              <c:f>Solution!$BZ$20:$BZ$25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F6-02BD-4FCC-A03D-625C0E4D2895}"/>
            </c:ext>
          </c:extLst>
        </c:ser>
        <c:ser>
          <c:idx val="213"/>
          <c:order val="208"/>
          <c:tx>
            <c:v>Harness Loop Style</c:v>
          </c:tx>
          <c:spPr>
            <a:ln w="50800">
              <a:solidFill>
                <a:schemeClr val="tx1">
                  <a:lumMod val="50000"/>
                  <a:lumOff val="50000"/>
                </a:schemeClr>
              </a:solidFill>
              <a:prstDash val="sysDash"/>
            </a:ln>
          </c:spPr>
          <c:marker>
            <c:symbol val="diamond"/>
            <c:size val="10"/>
            <c:spPr>
              <a:solidFill>
                <a:schemeClr val="bg1"/>
              </a:solidFill>
              <a:ln>
                <a:solidFill>
                  <a:schemeClr val="tx1"/>
                </a:solidFill>
              </a:ln>
            </c:spPr>
          </c:marker>
          <c:xVal>
            <c:numRef>
              <c:f>Solution!$CA$57:$CA$59</c:f>
              <c:numCache>
                <c:formatCode>0.0</c:formatCode>
                <c:ptCount val="3"/>
                <c:pt idx="0">
                  <c:v>-6.7309999999999999</c:v>
                </c:pt>
                <c:pt idx="1">
                  <c:v>0</c:v>
                </c:pt>
                <c:pt idx="2">
                  <c:v>6.7309999999999999</c:v>
                </c:pt>
              </c:numCache>
            </c:numRef>
          </c:xVal>
          <c:yVal>
            <c:numRef>
              <c:f>Solution!$CC$57:$CC$59</c:f>
              <c:numCache>
                <c:formatCode>0.0</c:formatCode>
                <c:ptCount val="3"/>
                <c:pt idx="0">
                  <c:v>0</c:v>
                </c:pt>
                <c:pt idx="1">
                  <c:v>-1</c:v>
                </c:pt>
                <c:pt idx="2">
                  <c:v>0</c:v>
                </c:pt>
              </c:numCache>
            </c:numRef>
          </c:yVal>
          <c:smooth val="1"/>
          <c:extLst>
            <c:ext xmlns:c16="http://schemas.microsoft.com/office/drawing/2014/chart" uri="{C3380CC4-5D6E-409C-BE32-E72D297353CC}">
              <c16:uniqueId val="{000000F7-02BD-4FCC-A03D-625C0E4D2895}"/>
            </c:ext>
          </c:extLst>
        </c:ser>
        <c:ser>
          <c:idx val="214"/>
          <c:order val="209"/>
          <c:tx>
            <c:v>Chest Depth Right Shoulder 5th</c:v>
          </c:tx>
          <c:spPr>
            <a:ln>
              <a:noFill/>
            </a:ln>
          </c:spPr>
          <c:marker>
            <c:symbol val="circle"/>
            <c:size val="5"/>
            <c:spPr>
              <a:solidFill>
                <a:schemeClr val="accent5">
                  <a:lumMod val="60000"/>
                  <a:lumOff val="40000"/>
                </a:schemeClr>
              </a:solidFill>
              <a:ln>
                <a:solidFill>
                  <a:schemeClr val="tx1"/>
                </a:solidFill>
              </a:ln>
            </c:spPr>
          </c:marker>
          <c:xVal>
            <c:numRef>
              <c:f>'Big Data'!$BS$3:$BS$45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Data'!$BG$3:$BG$45</c:f>
              <c:numCache>
                <c:formatCode>0.0</c:formatCode>
                <c:ptCount val="43"/>
                <c:pt idx="0">
                  <c:v>-9.1120000000000001</c:v>
                </c:pt>
                <c:pt idx="1">
                  <c:v>-10.128</c:v>
                </c:pt>
                <c:pt idx="2">
                  <c:v>-10.889999999999999</c:v>
                </c:pt>
                <c:pt idx="3">
                  <c:v>-11.398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8-02BD-4FCC-A03D-625C0E4D2895}"/>
            </c:ext>
          </c:extLst>
        </c:ser>
        <c:ser>
          <c:idx val="215"/>
          <c:order val="210"/>
          <c:tx>
            <c:v>Chest Depth Right Shoulder Mean</c:v>
          </c:tx>
          <c:spPr>
            <a:ln>
              <a:noFill/>
            </a:ln>
          </c:spPr>
          <c:marker>
            <c:symbol val="circle"/>
            <c:size val="5"/>
            <c:spPr>
              <a:solidFill>
                <a:srgbClr val="00B050"/>
              </a:solidFill>
              <a:ln>
                <a:solidFill>
                  <a:schemeClr val="tx1"/>
                </a:solidFill>
              </a:ln>
            </c:spPr>
          </c:marker>
          <c:xVal>
            <c:numRef>
              <c:f>'Big Data'!$BT$3:$BT$45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Data'!$BH$3:$BH$45</c:f>
              <c:numCache>
                <c:formatCode>0.0</c:formatCode>
                <c:ptCount val="43"/>
                <c:pt idx="0">
                  <c:v>-11.144</c:v>
                </c:pt>
                <c:pt idx="1">
                  <c:v>-12.16</c:v>
                </c:pt>
                <c:pt idx="2">
                  <c:v>-12.921999999999999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9-02BD-4FCC-A03D-625C0E4D2895}"/>
            </c:ext>
          </c:extLst>
        </c:ser>
        <c:ser>
          <c:idx val="216"/>
          <c:order val="211"/>
          <c:tx>
            <c:v>Chest Depth Right Shoulder 95th</c:v>
          </c:tx>
          <c:spPr>
            <a:ln>
              <a:noFill/>
            </a:ln>
          </c:spPr>
          <c:marker>
            <c:symbol val="circle"/>
            <c:size val="5"/>
            <c:spPr>
              <a:solidFill>
                <a:schemeClr val="accent4">
                  <a:lumMod val="50000"/>
                </a:schemeClr>
              </a:solidFill>
              <a:ln>
                <a:solidFill>
                  <a:schemeClr val="tx1"/>
                </a:solidFill>
              </a:ln>
            </c:spPr>
          </c:marker>
          <c:xVal>
            <c:numRef>
              <c:f>'Big Data'!$BU$3:$BU$45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Data'!$BI$3:$BI$45</c:f>
              <c:numCache>
                <c:formatCode>0.0</c:formatCode>
                <c:ptCount val="43"/>
                <c:pt idx="0">
                  <c:v>-13.176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A-02BD-4FCC-A03D-625C0E4D2895}"/>
            </c:ext>
          </c:extLst>
        </c:ser>
        <c:ser>
          <c:idx val="217"/>
          <c:order val="212"/>
          <c:tx>
            <c:v>Chest Depth Left Shoulder 5th</c:v>
          </c:tx>
          <c:spPr>
            <a:ln>
              <a:noFill/>
            </a:ln>
          </c:spPr>
          <c:marker>
            <c:symbol val="circle"/>
            <c:size val="5"/>
            <c:spPr>
              <a:solidFill>
                <a:schemeClr val="accent5">
                  <a:lumMod val="60000"/>
                  <a:lumOff val="40000"/>
                </a:schemeClr>
              </a:solidFill>
              <a:ln>
                <a:solidFill>
                  <a:schemeClr val="tx1"/>
                </a:solidFill>
              </a:ln>
            </c:spPr>
          </c:marker>
          <c:xVal>
            <c:numRef>
              <c:f>'Big Data'!$BW$3:$BW$45</c:f>
              <c:numCache>
                <c:formatCode>0.0</c:formatCode>
                <c:ptCount val="43"/>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Data'!$BG$3:$BG$45</c:f>
              <c:numCache>
                <c:formatCode>0.0</c:formatCode>
                <c:ptCount val="43"/>
                <c:pt idx="0">
                  <c:v>-9.1120000000000001</c:v>
                </c:pt>
                <c:pt idx="1">
                  <c:v>-10.128</c:v>
                </c:pt>
                <c:pt idx="2">
                  <c:v>-10.889999999999999</c:v>
                </c:pt>
                <c:pt idx="3">
                  <c:v>-11.398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B-02BD-4FCC-A03D-625C0E4D2895}"/>
            </c:ext>
          </c:extLst>
        </c:ser>
        <c:ser>
          <c:idx val="218"/>
          <c:order val="213"/>
          <c:tx>
            <c:v>Chest Depth Left Shoulder Mean</c:v>
          </c:tx>
          <c:spPr>
            <a:ln>
              <a:noFill/>
            </a:ln>
          </c:spPr>
          <c:marker>
            <c:symbol val="circle"/>
            <c:size val="5"/>
            <c:spPr>
              <a:solidFill>
                <a:srgbClr val="00B050"/>
              </a:solidFill>
              <a:ln>
                <a:solidFill>
                  <a:schemeClr val="tx1"/>
                </a:solidFill>
              </a:ln>
            </c:spPr>
          </c:marker>
          <c:xVal>
            <c:numRef>
              <c:f>'Big Data'!$BX$3:$BX$45</c:f>
              <c:numCache>
                <c:formatCode>0.0</c:formatCode>
                <c:ptCount val="43"/>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Data'!$BH$3:$BH$45</c:f>
              <c:numCache>
                <c:formatCode>0.0</c:formatCode>
                <c:ptCount val="43"/>
                <c:pt idx="0">
                  <c:v>-11.144</c:v>
                </c:pt>
                <c:pt idx="1">
                  <c:v>-12.16</c:v>
                </c:pt>
                <c:pt idx="2">
                  <c:v>-12.921999999999999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C-02BD-4FCC-A03D-625C0E4D2895}"/>
            </c:ext>
          </c:extLst>
        </c:ser>
        <c:ser>
          <c:idx val="219"/>
          <c:order val="214"/>
          <c:tx>
            <c:v>Chest Depth Right Shoulder 95th</c:v>
          </c:tx>
          <c:spPr>
            <a:ln>
              <a:noFill/>
            </a:ln>
          </c:spPr>
          <c:marker>
            <c:symbol val="circle"/>
            <c:size val="5"/>
            <c:spPr>
              <a:solidFill>
                <a:schemeClr val="accent4">
                  <a:lumMod val="50000"/>
                </a:schemeClr>
              </a:solidFill>
              <a:ln>
                <a:solidFill>
                  <a:schemeClr val="tx1"/>
                </a:solidFill>
              </a:ln>
            </c:spPr>
          </c:marker>
          <c:xVal>
            <c:numRef>
              <c:f>'Big Data'!$BY$3:$BY$45</c:f>
              <c:numCache>
                <c:formatCode>0.0</c:formatCode>
                <c:ptCount val="43"/>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Data'!$BI$3:$BI$45</c:f>
              <c:numCache>
                <c:formatCode>0.0</c:formatCode>
                <c:ptCount val="43"/>
                <c:pt idx="0">
                  <c:v>-13.176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0FD-02BD-4FCC-A03D-625C0E4D2895}"/>
            </c:ext>
          </c:extLst>
        </c:ser>
        <c:ser>
          <c:idx val="220"/>
          <c:order val="215"/>
          <c:tx>
            <c:v>Top View Harness Max Left Outer</c:v>
          </c:tx>
          <c:spPr>
            <a:ln w="50800">
              <a:solidFill>
                <a:schemeClr val="tx1">
                  <a:lumMod val="65000"/>
                  <a:lumOff val="35000"/>
                </a:schemeClr>
              </a:solidFill>
            </a:ln>
          </c:spPr>
          <c:marker>
            <c:symbol val="diamond"/>
            <c:size val="10"/>
            <c:spPr>
              <a:solidFill>
                <a:schemeClr val="tx1">
                  <a:lumMod val="50000"/>
                  <a:lumOff val="50000"/>
                </a:schemeClr>
              </a:solidFill>
              <a:ln w="9525">
                <a:solidFill>
                  <a:schemeClr val="tx1"/>
                </a:solidFill>
              </a:ln>
            </c:spPr>
          </c:marker>
          <c:xVal>
            <c:numRef>
              <c:f>Solution!$CG$20:$CG$25</c:f>
              <c:numCache>
                <c:formatCode>0.00</c:formatCode>
                <c:ptCount val="6"/>
                <c:pt idx="0">
                  <c:v>6.7309999999999999</c:v>
                </c:pt>
                <c:pt idx="1">
                  <c:v>7.8867000000000003</c:v>
                </c:pt>
                <c:pt idx="2">
                  <c:v>4.5</c:v>
                </c:pt>
                <c:pt idx="3">
                  <c:v>6</c:v>
                </c:pt>
                <c:pt idx="4">
                  <c:v>6.5</c:v>
                </c:pt>
                <c:pt idx="5">
                  <c:v>7.2289999999999992</c:v>
                </c:pt>
              </c:numCache>
            </c:numRef>
          </c:xVal>
          <c:yVal>
            <c:numRef>
              <c:f>Solution!$CH$20:$CH$25</c:f>
              <c:numCache>
                <c:formatCode>0.00</c:formatCode>
                <c:ptCount val="6"/>
                <c:pt idx="0">
                  <c:v>0</c:v>
                </c:pt>
                <c:pt idx="1">
                  <c:v>-11.620000000000001</c:v>
                </c:pt>
                <c:pt idx="2">
                  <c:v>-15.176</c:v>
                </c:pt>
                <c:pt idx="3">
                  <c:v>-15.176</c:v>
                </c:pt>
                <c:pt idx="4">
                  <c:v>-15.176</c:v>
                </c:pt>
                <c:pt idx="5">
                  <c:v>0</c:v>
                </c:pt>
              </c:numCache>
            </c:numRef>
          </c:yVal>
          <c:smooth val="1"/>
          <c:extLst>
            <c:ext xmlns:c16="http://schemas.microsoft.com/office/drawing/2014/chart" uri="{C3380CC4-5D6E-409C-BE32-E72D297353CC}">
              <c16:uniqueId val="{000000FE-02BD-4FCC-A03D-625C0E4D2895}"/>
            </c:ext>
          </c:extLst>
        </c:ser>
        <c:ser>
          <c:idx val="221"/>
          <c:order val="216"/>
          <c:tx>
            <c:v>Top View Harness Max Right Outer</c:v>
          </c:tx>
          <c:spPr>
            <a:ln w="50800">
              <a:solidFill>
                <a:schemeClr val="tx1">
                  <a:lumMod val="65000"/>
                  <a:lumOff val="35000"/>
                </a:schemeClr>
              </a:solidFill>
            </a:ln>
          </c:spPr>
          <c:marker>
            <c:symbol val="diamond"/>
            <c:size val="11"/>
            <c:spPr>
              <a:solidFill>
                <a:schemeClr val="tx1">
                  <a:lumMod val="50000"/>
                  <a:lumOff val="50000"/>
                </a:schemeClr>
              </a:solidFill>
              <a:ln>
                <a:solidFill>
                  <a:schemeClr val="tx1"/>
                </a:solidFill>
              </a:ln>
            </c:spPr>
          </c:marker>
          <c:xVal>
            <c:numRef>
              <c:f>Solution!$CA$20:$CA$25</c:f>
              <c:numCache>
                <c:formatCode>0.00</c:formatCode>
                <c:ptCount val="6"/>
                <c:pt idx="0">
                  <c:v>-6.7309999999999999</c:v>
                </c:pt>
                <c:pt idx="1">
                  <c:v>-7.8867000000000003</c:v>
                </c:pt>
                <c:pt idx="2">
                  <c:v>-4.5</c:v>
                </c:pt>
                <c:pt idx="3">
                  <c:v>-6</c:v>
                </c:pt>
                <c:pt idx="4">
                  <c:v>-6.5</c:v>
                </c:pt>
                <c:pt idx="5">
                  <c:v>-7.2289999999999992</c:v>
                </c:pt>
              </c:numCache>
            </c:numRef>
          </c:xVal>
          <c:yVal>
            <c:numRef>
              <c:f>Solution!$CB$20:$CB$25</c:f>
              <c:numCache>
                <c:formatCode>0.00</c:formatCode>
                <c:ptCount val="6"/>
                <c:pt idx="0">
                  <c:v>0</c:v>
                </c:pt>
                <c:pt idx="1">
                  <c:v>-11.620000000000001</c:v>
                </c:pt>
                <c:pt idx="2">
                  <c:v>-15.176</c:v>
                </c:pt>
                <c:pt idx="3">
                  <c:v>-15.176</c:v>
                </c:pt>
                <c:pt idx="4">
                  <c:v>-15.176</c:v>
                </c:pt>
                <c:pt idx="5">
                  <c:v>0</c:v>
                </c:pt>
              </c:numCache>
            </c:numRef>
          </c:yVal>
          <c:smooth val="1"/>
          <c:extLst>
            <c:ext xmlns:c16="http://schemas.microsoft.com/office/drawing/2014/chart" uri="{C3380CC4-5D6E-409C-BE32-E72D297353CC}">
              <c16:uniqueId val="{000000FF-02BD-4FCC-A03D-625C0E4D2895}"/>
            </c:ext>
          </c:extLst>
        </c:ser>
        <c:ser>
          <c:idx val="222"/>
          <c:order val="217"/>
          <c:tx>
            <c:v>Top View Harness Min Left Outer</c:v>
          </c:tx>
          <c:spPr>
            <a:ln w="50800">
              <a:solidFill>
                <a:schemeClr val="tx1">
                  <a:lumMod val="50000"/>
                  <a:lumOff val="50000"/>
                </a:schemeClr>
              </a:solidFill>
            </a:ln>
          </c:spPr>
          <c:marker>
            <c:symbol val="diamond"/>
            <c:size val="10"/>
            <c:spPr>
              <a:ln>
                <a:solidFill>
                  <a:schemeClr val="tx1"/>
                </a:solidFill>
              </a:ln>
            </c:spPr>
          </c:marker>
          <c:xVal>
            <c:numRef>
              <c:f>Solution!$CD$20:$CD$25</c:f>
              <c:numCache>
                <c:formatCode>0.00</c:formatCode>
                <c:ptCount val="6"/>
                <c:pt idx="0">
                  <c:v>0</c:v>
                </c:pt>
                <c:pt idx="1">
                  <c:v>0</c:v>
                </c:pt>
                <c:pt idx="2">
                  <c:v>0</c:v>
                </c:pt>
                <c:pt idx="3">
                  <c:v>0</c:v>
                </c:pt>
                <c:pt idx="4">
                  <c:v>0</c:v>
                </c:pt>
                <c:pt idx="5">
                  <c:v>0</c:v>
                </c:pt>
              </c:numCache>
            </c:numRef>
          </c:xVal>
          <c:yVal>
            <c:numRef>
              <c:f>Solution!$CE$20:$CE$25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100-02BD-4FCC-A03D-625C0E4D2895}"/>
            </c:ext>
          </c:extLst>
        </c:ser>
        <c:ser>
          <c:idx val="223"/>
          <c:order val="218"/>
          <c:tx>
            <c:v>Top View Harness Min Right Outer</c:v>
          </c:tx>
          <c:spPr>
            <a:ln w="50800">
              <a:solidFill>
                <a:schemeClr val="tx1">
                  <a:lumMod val="50000"/>
                  <a:lumOff val="50000"/>
                </a:schemeClr>
              </a:solidFill>
            </a:ln>
          </c:spPr>
          <c:marker>
            <c:symbol val="diamond"/>
            <c:size val="10"/>
            <c:spPr>
              <a:solidFill>
                <a:schemeClr val="accent5">
                  <a:lumMod val="20000"/>
                  <a:lumOff val="80000"/>
                </a:schemeClr>
              </a:solidFill>
              <a:ln>
                <a:solidFill>
                  <a:schemeClr val="tx1"/>
                </a:solidFill>
              </a:ln>
            </c:spPr>
          </c:marker>
          <c:xVal>
            <c:numRef>
              <c:f>Solution!$BX$20:$BX$25</c:f>
              <c:numCache>
                <c:formatCode>0.00</c:formatCode>
                <c:ptCount val="6"/>
                <c:pt idx="0">
                  <c:v>0</c:v>
                </c:pt>
                <c:pt idx="1">
                  <c:v>0</c:v>
                </c:pt>
                <c:pt idx="2">
                  <c:v>0</c:v>
                </c:pt>
                <c:pt idx="3">
                  <c:v>0</c:v>
                </c:pt>
                <c:pt idx="4">
                  <c:v>0</c:v>
                </c:pt>
                <c:pt idx="5">
                  <c:v>0</c:v>
                </c:pt>
              </c:numCache>
            </c:numRef>
          </c:xVal>
          <c:yVal>
            <c:numRef>
              <c:f>Solution!$BY$20:$BY$25</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101-02BD-4FCC-A03D-625C0E4D2895}"/>
            </c:ext>
          </c:extLst>
        </c:ser>
        <c:ser>
          <c:idx val="207"/>
          <c:order val="219"/>
          <c:tx>
            <c:v>Slot to Splitter Left</c:v>
          </c:tx>
          <c:marker>
            <c:symbol val="diamond"/>
            <c:size val="10"/>
            <c:spPr>
              <a:solidFill>
                <a:schemeClr val="bg1"/>
              </a:solidFill>
              <a:ln>
                <a:solidFill>
                  <a:schemeClr val="tx1"/>
                </a:solidFill>
              </a:ln>
            </c:spPr>
          </c:marker>
          <c:dPt>
            <c:idx val="1"/>
            <c:bubble3D val="0"/>
            <c:spPr>
              <a:ln w="50800">
                <a:solidFill>
                  <a:schemeClr val="tx1">
                    <a:lumMod val="50000"/>
                    <a:lumOff val="50000"/>
                  </a:schemeClr>
                </a:solidFill>
                <a:prstDash val="sysDash"/>
              </a:ln>
            </c:spPr>
            <c:extLst>
              <c:ext xmlns:c16="http://schemas.microsoft.com/office/drawing/2014/chart" uri="{C3380CC4-5D6E-409C-BE32-E72D297353CC}">
                <c16:uniqueId val="{00000103-02BD-4FCC-A03D-625C0E4D2895}"/>
              </c:ext>
            </c:extLst>
          </c:dPt>
          <c:xVal>
            <c:numRef>
              <c:f>Solution!$CC$62:$CC$63</c:f>
              <c:numCache>
                <c:formatCode>0.00</c:formatCode>
                <c:ptCount val="2"/>
                <c:pt idx="0">
                  <c:v>7.2289999999999992</c:v>
                </c:pt>
                <c:pt idx="1">
                  <c:v>2.2289999999999992</c:v>
                </c:pt>
              </c:numCache>
            </c:numRef>
          </c:xVal>
          <c:yVal>
            <c:numRef>
              <c:f>Solution!$CD$62:$CD$63</c:f>
              <c:numCache>
                <c:formatCode>0.00</c:formatCode>
                <c:ptCount val="2"/>
                <c:pt idx="0">
                  <c:v>32.733999999999995</c:v>
                </c:pt>
                <c:pt idx="1">
                  <c:v>27.733999999999995</c:v>
                </c:pt>
              </c:numCache>
            </c:numRef>
          </c:yVal>
          <c:smooth val="1"/>
          <c:extLst>
            <c:ext xmlns:c16="http://schemas.microsoft.com/office/drawing/2014/chart" uri="{C3380CC4-5D6E-409C-BE32-E72D297353CC}">
              <c16:uniqueId val="{00000104-02BD-4FCC-A03D-625C0E4D2895}"/>
            </c:ext>
          </c:extLst>
        </c:ser>
        <c:ser>
          <c:idx val="208"/>
          <c:order val="220"/>
          <c:tx>
            <c:v>Slot to Splitter Right</c:v>
          </c:tx>
          <c:spPr>
            <a:ln w="50800">
              <a:solidFill>
                <a:schemeClr val="tx1">
                  <a:lumMod val="50000"/>
                  <a:lumOff val="50000"/>
                </a:schemeClr>
              </a:solidFill>
              <a:prstDash val="sysDash"/>
            </a:ln>
          </c:spPr>
          <c:marker>
            <c:symbol val="diamond"/>
            <c:size val="10"/>
            <c:spPr>
              <a:solidFill>
                <a:schemeClr val="bg1"/>
              </a:solidFill>
              <a:ln>
                <a:solidFill>
                  <a:schemeClr val="tx1"/>
                </a:solidFill>
              </a:ln>
            </c:spPr>
          </c:marker>
          <c:xVal>
            <c:numRef>
              <c:f>Solution!$CA$62:$CA$63</c:f>
              <c:numCache>
                <c:formatCode>0.00</c:formatCode>
                <c:ptCount val="2"/>
                <c:pt idx="0">
                  <c:v>-7.2289999999999992</c:v>
                </c:pt>
                <c:pt idx="1">
                  <c:v>-2.2289999999999992</c:v>
                </c:pt>
              </c:numCache>
            </c:numRef>
          </c:xVal>
          <c:yVal>
            <c:numRef>
              <c:f>Solution!$CB$62:$CB$63</c:f>
              <c:numCache>
                <c:formatCode>0.00</c:formatCode>
                <c:ptCount val="2"/>
                <c:pt idx="0">
                  <c:v>32.733999999999995</c:v>
                </c:pt>
                <c:pt idx="1">
                  <c:v>27.733999999999995</c:v>
                </c:pt>
              </c:numCache>
            </c:numRef>
          </c:yVal>
          <c:smooth val="1"/>
          <c:extLst>
            <c:ext xmlns:c16="http://schemas.microsoft.com/office/drawing/2014/chart" uri="{C3380CC4-5D6E-409C-BE32-E72D297353CC}">
              <c16:uniqueId val="{00000105-02BD-4FCC-A03D-625C0E4D2895}"/>
            </c:ext>
          </c:extLst>
        </c:ser>
        <c:ser>
          <c:idx val="203"/>
          <c:order val="221"/>
          <c:tx>
            <c:v>Pythagorean x Axis</c:v>
          </c:tx>
          <c:spPr>
            <a:ln w="25400" cap="rnd">
              <a:solidFill>
                <a:srgbClr val="FF0000"/>
              </a:solidFill>
              <a:prstDash val="lgDashDotDot"/>
              <a:round/>
            </a:ln>
            <a:effectLst/>
          </c:spPr>
          <c:marker>
            <c:symbol val="none"/>
          </c:marker>
          <c:dLbls>
            <c:dLbl>
              <c:idx val="1"/>
              <c:layout>
                <c:manualLayout>
                  <c:x val="-4.1025644181065378E-2"/>
                  <c:y val="-1.029866284432200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106-02BD-4FCC-A03D-625C0E4D2895}"/>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Solution!$CF$49:$CF$50</c:f>
              <c:numCache>
                <c:formatCode>General</c:formatCode>
                <c:ptCount val="2"/>
                <c:pt idx="0">
                  <c:v>-25</c:v>
                </c:pt>
                <c:pt idx="1">
                  <c:v>25</c:v>
                </c:pt>
              </c:numCache>
            </c:numRef>
          </c:xVal>
          <c:yVal>
            <c:numRef>
              <c:f>Solution!$CG$49:$CG$50</c:f>
              <c:numCache>
                <c:formatCode>General</c:formatCode>
                <c:ptCount val="2"/>
                <c:pt idx="0">
                  <c:v>0</c:v>
                </c:pt>
                <c:pt idx="1">
                  <c:v>0</c:v>
                </c:pt>
              </c:numCache>
            </c:numRef>
          </c:yVal>
          <c:smooth val="1"/>
          <c:extLst>
            <c:ext xmlns:c16="http://schemas.microsoft.com/office/drawing/2014/chart" uri="{C3380CC4-5D6E-409C-BE32-E72D297353CC}">
              <c16:uniqueId val="{00000107-02BD-4FCC-A03D-625C0E4D2895}"/>
            </c:ext>
          </c:extLst>
        </c:ser>
        <c:ser>
          <c:idx val="211"/>
          <c:order val="222"/>
          <c:tx>
            <c:v>Pythagorean y Axis</c:v>
          </c:tx>
          <c:spPr>
            <a:ln w="25400">
              <a:solidFill>
                <a:srgbClr val="0070C0"/>
              </a:solidFill>
              <a:prstDash val="lgDashDotDot"/>
            </a:ln>
          </c:spPr>
          <c:dLbls>
            <c:dLbl>
              <c:idx val="1"/>
              <c:layout>
                <c:manualLayout>
                  <c:x val="-6.5445670479318582E-2"/>
                  <c:y val="1.647786055091521E-2"/>
                </c:manualLayout>
              </c:layout>
              <c:spPr>
                <a:noFill/>
                <a:ln>
                  <a:noFill/>
                </a:ln>
                <a:effectLst/>
              </c:spPr>
              <c:txPr>
                <a:bodyPr wrap="square" lIns="38100" tIns="19050" rIns="38100" bIns="19050" anchor="ctr">
                  <a:noAutofit/>
                </a:bodyPr>
                <a:lstStyle/>
                <a:p>
                  <a:pPr>
                    <a:defRPr b="1"/>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2363363222932766"/>
                      <c:h val="2.9047419098326928E-2"/>
                    </c:manualLayout>
                  </c15:layout>
                </c:ext>
                <c:ext xmlns:c16="http://schemas.microsoft.com/office/drawing/2014/chart" uri="{C3380CC4-5D6E-409C-BE32-E72D297353CC}">
                  <c16:uniqueId val="{00000108-02BD-4FCC-A03D-625C0E4D2895}"/>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Solution!$CH$49:$CH$50</c:f>
              <c:numCache>
                <c:formatCode>General</c:formatCode>
                <c:ptCount val="2"/>
                <c:pt idx="0">
                  <c:v>-25</c:v>
                </c:pt>
                <c:pt idx="1">
                  <c:v>-25</c:v>
                </c:pt>
              </c:numCache>
            </c:numRef>
          </c:xVal>
          <c:yVal>
            <c:numRef>
              <c:f>Solution!$CI$49:$CI$50</c:f>
              <c:numCache>
                <c:formatCode>General</c:formatCode>
                <c:ptCount val="2"/>
                <c:pt idx="0">
                  <c:v>0</c:v>
                </c:pt>
                <c:pt idx="1">
                  <c:v>-40</c:v>
                </c:pt>
              </c:numCache>
            </c:numRef>
          </c:yVal>
          <c:smooth val="1"/>
          <c:extLst>
            <c:ext xmlns:c16="http://schemas.microsoft.com/office/drawing/2014/chart" uri="{C3380CC4-5D6E-409C-BE32-E72D297353CC}">
              <c16:uniqueId val="{00000109-02BD-4FCC-A03D-625C0E4D2895}"/>
            </c:ext>
          </c:extLst>
        </c:ser>
        <c:ser>
          <c:idx val="212"/>
          <c:order val="223"/>
          <c:tx>
            <c:v>Pythagorean z Axis</c:v>
          </c:tx>
          <c:spPr>
            <a:ln w="25400">
              <a:solidFill>
                <a:schemeClr val="tx1"/>
              </a:solidFill>
              <a:prstDash val="lgDashDotDot"/>
            </a:ln>
          </c:spPr>
          <c:dLbls>
            <c:dLbl>
              <c:idx val="1"/>
              <c:layout>
                <c:manualLayout>
                  <c:x val="-7.3036568354845524E-2"/>
                  <c:y val="-2.7806349133752746E-2"/>
                </c:manualLayout>
              </c:layout>
              <c:spPr>
                <a:noFill/>
                <a:ln>
                  <a:noFill/>
                </a:ln>
                <a:effectLst/>
              </c:spPr>
              <c:txPr>
                <a:bodyPr wrap="square" lIns="38100" tIns="19050" rIns="38100" bIns="19050" anchor="ctr">
                  <a:noAutofit/>
                </a:bodyPr>
                <a:lstStyle/>
                <a:p>
                  <a:pPr>
                    <a:defRPr b="1"/>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154481932410905"/>
                      <c:h val="4.2435680795945535E-2"/>
                    </c:manualLayout>
                  </c15:layout>
                </c:ext>
                <c:ext xmlns:c16="http://schemas.microsoft.com/office/drawing/2014/chart" uri="{C3380CC4-5D6E-409C-BE32-E72D297353CC}">
                  <c16:uniqueId val="{0000010A-02BD-4FCC-A03D-625C0E4D2895}"/>
                </c:ext>
              </c:extLst>
            </c:dLbl>
            <c:spPr>
              <a:noFill/>
              <a:ln>
                <a:noFill/>
              </a:ln>
              <a:effectLst/>
            </c:spPr>
            <c:txPr>
              <a:bodyPr wrap="square" lIns="38100" tIns="19050" rIns="38100" bIns="19050" anchor="ctr">
                <a:spAutoFit/>
              </a:bodyPr>
              <a:lstStyle/>
              <a:p>
                <a:pPr>
                  <a:defRPr b="1"/>
                </a:pPr>
                <a:endParaRPr lang="zh-CN"/>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Solution!$CK$49:$CK$50</c:f>
              <c:numCache>
                <c:formatCode>General</c:formatCode>
                <c:ptCount val="2"/>
                <c:pt idx="0">
                  <c:v>-25</c:v>
                </c:pt>
                <c:pt idx="1">
                  <c:v>-25</c:v>
                </c:pt>
              </c:numCache>
            </c:numRef>
          </c:xVal>
          <c:yVal>
            <c:numRef>
              <c:f>Solution!$CL$49:$CL$50</c:f>
              <c:numCache>
                <c:formatCode>General</c:formatCode>
                <c:ptCount val="2"/>
                <c:pt idx="0">
                  <c:v>0</c:v>
                </c:pt>
                <c:pt idx="1">
                  <c:v>40</c:v>
                </c:pt>
              </c:numCache>
            </c:numRef>
          </c:yVal>
          <c:smooth val="1"/>
          <c:extLst>
            <c:ext xmlns:c16="http://schemas.microsoft.com/office/drawing/2014/chart" uri="{C3380CC4-5D6E-409C-BE32-E72D297353CC}">
              <c16:uniqueId val="{0000010B-02BD-4FCC-A03D-625C0E4D2895}"/>
            </c:ext>
          </c:extLst>
        </c:ser>
        <c:ser>
          <c:idx val="224"/>
          <c:order val="224"/>
          <c:tx>
            <c:v>Pan Depth 5th</c:v>
          </c:tx>
          <c:spPr>
            <a:ln>
              <a:noFill/>
            </a:ln>
          </c:spPr>
          <c:marker>
            <c:symbol val="dash"/>
            <c:size val="15"/>
            <c:spPr>
              <a:solidFill>
                <a:schemeClr val="accent5">
                  <a:lumMod val="60000"/>
                  <a:lumOff val="40000"/>
                </a:schemeClr>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Data'!$AM$3:$AM$45</c:f>
              <c:numCache>
                <c:formatCode>0.0</c:formatCode>
                <c:ptCount val="43"/>
                <c:pt idx="0">
                  <c:v>-11.611360000000001</c:v>
                </c:pt>
                <c:pt idx="1">
                  <c:v>-13.399520000000001</c:v>
                </c:pt>
                <c:pt idx="2">
                  <c:v>-16.752319999999997</c:v>
                </c:pt>
                <c:pt idx="3">
                  <c:v>-17.86992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C-02BD-4FCC-A03D-625C0E4D2895}"/>
            </c:ext>
          </c:extLst>
        </c:ser>
        <c:ser>
          <c:idx val="225"/>
          <c:order val="225"/>
          <c:tx>
            <c:v>Pan Depth Mean</c:v>
          </c:tx>
          <c:spPr>
            <a:ln>
              <a:noFill/>
            </a:ln>
          </c:spPr>
          <c:marker>
            <c:symbol val="dash"/>
            <c:size val="15"/>
            <c:spPr>
              <a:solidFill>
                <a:srgbClr val="00B050"/>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Data'!$AN$3:$AN$45</c:f>
              <c:numCache>
                <c:formatCode>0.0</c:formatCode>
                <c:ptCount val="43"/>
                <c:pt idx="0">
                  <c:v>-14.293600000000001</c:v>
                </c:pt>
                <c:pt idx="1">
                  <c:v>-16.975839999999998</c:v>
                </c:pt>
                <c:pt idx="2">
                  <c:v>-19.434560000000001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D-02BD-4FCC-A03D-625C0E4D2895}"/>
            </c:ext>
          </c:extLst>
        </c:ser>
        <c:ser>
          <c:idx val="226"/>
          <c:order val="226"/>
          <c:tx>
            <c:v>Pan Depth 95th</c:v>
          </c:tx>
          <c:spPr>
            <a:ln>
              <a:noFill/>
            </a:ln>
          </c:spPr>
          <c:marker>
            <c:symbol val="dash"/>
            <c:size val="15"/>
            <c:spPr>
              <a:solidFill>
                <a:schemeClr val="accent4">
                  <a:lumMod val="75000"/>
                </a:schemeClr>
              </a:solidFill>
              <a:ln>
                <a:solidFill>
                  <a:schemeClr val="tx1"/>
                </a:solidFill>
              </a:ln>
            </c:spPr>
          </c:marker>
          <c:xVal>
            <c:numRef>
              <c:f>'Big Data'!$Z$3:$Z$45</c:f>
              <c:numCache>
                <c:formatCode>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xVal>
          <c:yVal>
            <c:numRef>
              <c:f>'Big Data'!$AO$3:$AO$45</c:f>
              <c:numCache>
                <c:formatCode>0.0</c:formatCode>
                <c:ptCount val="43"/>
                <c:pt idx="0">
                  <c:v>-16.975839999999998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1"/>
          <c:extLst>
            <c:ext xmlns:c16="http://schemas.microsoft.com/office/drawing/2014/chart" uri="{C3380CC4-5D6E-409C-BE32-E72D297353CC}">
              <c16:uniqueId val="{0000010E-02BD-4FCC-A03D-625C0E4D2895}"/>
            </c:ext>
          </c:extLst>
        </c:ser>
        <c:ser>
          <c:idx val="227"/>
          <c:order val="227"/>
          <c:tx>
            <c:v>Show Splitter Plate</c:v>
          </c:tx>
          <c:spPr>
            <a:ln>
              <a:noFill/>
            </a:ln>
          </c:spPr>
          <c:marker>
            <c:symbol val="triangle"/>
            <c:size val="5"/>
          </c:marker>
          <c:dPt>
            <c:idx val="1"/>
            <c:marker>
              <c:symbol val="picture"/>
              <c:spPr>
                <a:blipFill dpi="0" rotWithShape="1">
                  <a:blip xmlns:r="http://schemas.openxmlformats.org/officeDocument/2006/relationships" r:embed="rId4">
                    <a:alphaModFix amt="30000"/>
                  </a:blip>
                  <a:srcRect/>
                  <a:stretch>
                    <a:fillRect/>
                  </a:stretch>
                </a:blipFill>
                <a:ln>
                  <a:noFill/>
                </a:ln>
              </c:spPr>
            </c:marker>
            <c:bubble3D val="0"/>
            <c:extLst>
              <c:ext xmlns:c16="http://schemas.microsoft.com/office/drawing/2014/chart" uri="{C3380CC4-5D6E-409C-BE32-E72D297353CC}">
                <c16:uniqueId val="{0000010F-02BD-4FCC-A03D-625C0E4D2895}"/>
              </c:ext>
            </c:extLst>
          </c:dPt>
          <c:xVal>
            <c:numRef>
              <c:f>Solution!$CC$65:$CC$66</c:f>
              <c:numCache>
                <c:formatCode>General</c:formatCode>
                <c:ptCount val="2"/>
                <c:pt idx="0">
                  <c:v>0</c:v>
                </c:pt>
                <c:pt idx="1">
                  <c:v>0</c:v>
                </c:pt>
              </c:numCache>
            </c:numRef>
          </c:xVal>
          <c:yVal>
            <c:numRef>
              <c:f>Solution!$CD$65:$CD$66</c:f>
              <c:numCache>
                <c:formatCode>0.00</c:formatCode>
                <c:ptCount val="2"/>
                <c:pt idx="0" formatCode="General">
                  <c:v>0</c:v>
                </c:pt>
                <c:pt idx="1">
                  <c:v>27.733999999999995</c:v>
                </c:pt>
              </c:numCache>
            </c:numRef>
          </c:yVal>
          <c:smooth val="1"/>
          <c:extLst>
            <c:ext xmlns:c16="http://schemas.microsoft.com/office/drawing/2014/chart" uri="{C3380CC4-5D6E-409C-BE32-E72D297353CC}">
              <c16:uniqueId val="{00000110-02BD-4FCC-A03D-625C0E4D2895}"/>
            </c:ext>
          </c:extLst>
        </c:ser>
        <c:ser>
          <c:idx val="228"/>
          <c:order val="228"/>
          <c:tx>
            <c:v>Locate CFA</c:v>
          </c:tx>
          <c:spPr>
            <a:ln>
              <a:noFill/>
            </a:ln>
          </c:spPr>
          <c:marker>
            <c:symbol val="square"/>
            <c:size val="8"/>
            <c:spPr>
              <a:ln>
                <a:noFill/>
              </a:ln>
            </c:spPr>
          </c:marker>
          <c:dPt>
            <c:idx val="0"/>
            <c:marker>
              <c:symbol val="square"/>
              <c:size val="2"/>
            </c:marker>
            <c:bubble3D val="0"/>
            <c:extLst>
              <c:ext xmlns:c16="http://schemas.microsoft.com/office/drawing/2014/chart" uri="{C3380CC4-5D6E-409C-BE32-E72D297353CC}">
                <c16:uniqueId val="{00000111-02BD-4FCC-A03D-625C0E4D2895}"/>
              </c:ext>
            </c:extLst>
          </c:dPt>
          <c:dPt>
            <c:idx val="1"/>
            <c:marker>
              <c:symbol val="picture"/>
              <c:spPr>
                <a:blipFill dpi="0" rotWithShape="1">
                  <a:blip xmlns:r="http://schemas.openxmlformats.org/officeDocument/2006/relationships" r:embed="rId5">
                    <a:alphaModFix amt="72000"/>
                  </a:blip>
                  <a:srcRect/>
                  <a:stretch>
                    <a:fillRect/>
                  </a:stretch>
                </a:blipFill>
                <a:ln>
                  <a:noFill/>
                </a:ln>
              </c:spPr>
            </c:marker>
            <c:bubble3D val="0"/>
            <c:extLst>
              <c:ext xmlns:c16="http://schemas.microsoft.com/office/drawing/2014/chart" uri="{C3380CC4-5D6E-409C-BE32-E72D297353CC}">
                <c16:uniqueId val="{00000112-02BD-4FCC-A03D-625C0E4D2895}"/>
              </c:ext>
            </c:extLst>
          </c:dPt>
          <c:xVal>
            <c:numRef>
              <c:f>Solution!$CC$69:$CC$70</c:f>
              <c:numCache>
                <c:formatCode>General</c:formatCode>
                <c:ptCount val="2"/>
                <c:pt idx="0">
                  <c:v>0</c:v>
                </c:pt>
                <c:pt idx="1">
                  <c:v>0</c:v>
                </c:pt>
              </c:numCache>
            </c:numRef>
          </c:xVal>
          <c:yVal>
            <c:numRef>
              <c:f>Solution!$CD$69:$CD$70</c:f>
              <c:numCache>
                <c:formatCode>General</c:formatCode>
                <c:ptCount val="2"/>
                <c:pt idx="0">
                  <c:v>0</c:v>
                </c:pt>
                <c:pt idx="1">
                  <c:v>-19.434560000000001</c:v>
                </c:pt>
              </c:numCache>
            </c:numRef>
          </c:yVal>
          <c:smooth val="1"/>
          <c:extLst>
            <c:ext xmlns:c16="http://schemas.microsoft.com/office/drawing/2014/chart" uri="{C3380CC4-5D6E-409C-BE32-E72D297353CC}">
              <c16:uniqueId val="{00000113-02BD-4FCC-A03D-625C0E4D2895}"/>
            </c:ext>
          </c:extLst>
        </c:ser>
        <c:ser>
          <c:idx val="229"/>
          <c:order val="229"/>
          <c:tx>
            <c:v>Plot Back Perimeter Surface</c:v>
          </c:tx>
          <c:spPr>
            <a:ln w="50800">
              <a:solidFill>
                <a:schemeClr val="tx1"/>
              </a:solidFill>
            </a:ln>
          </c:spPr>
          <c:marker>
            <c:symbol val="diamond"/>
            <c:size val="5"/>
            <c:spPr>
              <a:ln>
                <a:solidFill>
                  <a:schemeClr val="tx1"/>
                </a:solidFill>
              </a:ln>
            </c:spPr>
          </c:marker>
          <c:xVal>
            <c:numRef>
              <c:f>Solution!$CB$76:$CB$86</c:f>
              <c:numCache>
                <c:formatCode>0.0</c:formatCode>
                <c:ptCount val="11"/>
                <c:pt idx="0">
                  <c:v>-13.2</c:v>
                </c:pt>
                <c:pt idx="1">
                  <c:v>-14.32</c:v>
                </c:pt>
                <c:pt idx="2">
                  <c:v>-13.2</c:v>
                </c:pt>
                <c:pt idx="3">
                  <c:v>-13.2</c:v>
                </c:pt>
                <c:pt idx="4">
                  <c:v>-13.2</c:v>
                </c:pt>
                <c:pt idx="5">
                  <c:v>0</c:v>
                </c:pt>
                <c:pt idx="6">
                  <c:v>13.2</c:v>
                </c:pt>
                <c:pt idx="7">
                  <c:v>13.2</c:v>
                </c:pt>
                <c:pt idx="8">
                  <c:v>13.2</c:v>
                </c:pt>
                <c:pt idx="9">
                  <c:v>14.32</c:v>
                </c:pt>
                <c:pt idx="10">
                  <c:v>13.2</c:v>
                </c:pt>
              </c:numCache>
            </c:numRef>
          </c:xVal>
          <c:yVal>
            <c:numRef>
              <c:f>Solution!$CC$76:$CC$86</c:f>
              <c:numCache>
                <c:formatCode>0.0</c:formatCode>
                <c:ptCount val="11"/>
                <c:pt idx="0">
                  <c:v>-17.491104</c:v>
                </c:pt>
                <c:pt idx="1">
                  <c:v>-9.7172800000000006</c:v>
                </c:pt>
                <c:pt idx="2">
                  <c:v>0</c:v>
                </c:pt>
                <c:pt idx="3">
                  <c:v>26.25</c:v>
                </c:pt>
                <c:pt idx="4">
                  <c:v>52.5</c:v>
                </c:pt>
                <c:pt idx="5">
                  <c:v>52.5</c:v>
                </c:pt>
                <c:pt idx="6">
                  <c:v>52.5</c:v>
                </c:pt>
                <c:pt idx="7">
                  <c:v>26.25</c:v>
                </c:pt>
                <c:pt idx="8">
                  <c:v>0</c:v>
                </c:pt>
                <c:pt idx="9">
                  <c:v>-9.7172800000000006</c:v>
                </c:pt>
                <c:pt idx="10">
                  <c:v>-17.491104</c:v>
                </c:pt>
              </c:numCache>
            </c:numRef>
          </c:yVal>
          <c:smooth val="1"/>
          <c:extLst>
            <c:ext xmlns:c16="http://schemas.microsoft.com/office/drawing/2014/chart" uri="{C3380CC4-5D6E-409C-BE32-E72D297353CC}">
              <c16:uniqueId val="{00000114-02BD-4FCC-A03D-625C0E4D2895}"/>
            </c:ext>
          </c:extLst>
        </c:ser>
        <c:ser>
          <c:idx val="230"/>
          <c:order val="230"/>
          <c:tx>
            <c:v>Show Water Fall Perimeter</c:v>
          </c:tx>
          <c:spPr>
            <a:ln w="50800">
              <a:solidFill>
                <a:schemeClr val="tx1"/>
              </a:solidFill>
            </a:ln>
          </c:spPr>
          <c:marker>
            <c:symbol val="diamond"/>
            <c:size val="5"/>
            <c:spPr>
              <a:ln>
                <a:solidFill>
                  <a:schemeClr val="tx1"/>
                </a:solidFill>
              </a:ln>
            </c:spPr>
          </c:marker>
          <c:xVal>
            <c:numRef>
              <c:f>Solution!$CB$88:$CB$90</c:f>
              <c:numCache>
                <c:formatCode>0.0</c:formatCode>
                <c:ptCount val="3"/>
                <c:pt idx="0">
                  <c:v>13.2</c:v>
                </c:pt>
                <c:pt idx="1">
                  <c:v>0</c:v>
                </c:pt>
                <c:pt idx="2">
                  <c:v>-13.2</c:v>
                </c:pt>
              </c:numCache>
            </c:numRef>
          </c:xVal>
          <c:yVal>
            <c:numRef>
              <c:f>Solution!$CC$88:$CC$90</c:f>
              <c:numCache>
                <c:formatCode>0.0</c:formatCode>
                <c:ptCount val="3"/>
                <c:pt idx="0">
                  <c:v>-17.491104</c:v>
                </c:pt>
                <c:pt idx="1">
                  <c:v>-19.434560000000001</c:v>
                </c:pt>
                <c:pt idx="2">
                  <c:v>-17.491104</c:v>
                </c:pt>
              </c:numCache>
            </c:numRef>
          </c:yVal>
          <c:smooth val="1"/>
          <c:extLst>
            <c:ext xmlns:c16="http://schemas.microsoft.com/office/drawing/2014/chart" uri="{C3380CC4-5D6E-409C-BE32-E72D297353CC}">
              <c16:uniqueId val="{00000115-02BD-4FCC-A03D-625C0E4D2895}"/>
            </c:ext>
          </c:extLst>
        </c:ser>
        <c:ser>
          <c:idx val="231"/>
          <c:order val="231"/>
          <c:tx>
            <c:v>R129 Shield Min Left</c:v>
          </c:tx>
          <c:spPr>
            <a:ln w="44450">
              <a:solidFill>
                <a:srgbClr val="0070C0"/>
              </a:solidFill>
            </a:ln>
          </c:spPr>
          <c:xVal>
            <c:numRef>
              <c:f>'R129 Annex 18 Data'!$D$44:$D$45</c:f>
              <c:numCache>
                <c:formatCode>General</c:formatCode>
                <c:ptCount val="2"/>
                <c:pt idx="0">
                  <c:v>0</c:v>
                </c:pt>
                <c:pt idx="1">
                  <c:v>0</c:v>
                </c:pt>
              </c:numCache>
            </c:numRef>
          </c:xVal>
          <c:yVal>
            <c:numRef>
              <c:f>'R129 Annex 18 Data'!$G$44:$G$45</c:f>
              <c:numCache>
                <c:formatCode>General</c:formatCode>
                <c:ptCount val="2"/>
                <c:pt idx="0">
                  <c:v>0</c:v>
                </c:pt>
                <c:pt idx="1">
                  <c:v>0</c:v>
                </c:pt>
              </c:numCache>
            </c:numRef>
          </c:yVal>
          <c:smooth val="1"/>
          <c:extLst>
            <c:ext xmlns:c16="http://schemas.microsoft.com/office/drawing/2014/chart" uri="{C3380CC4-5D6E-409C-BE32-E72D297353CC}">
              <c16:uniqueId val="{00000116-02BD-4FCC-A03D-625C0E4D2895}"/>
            </c:ext>
          </c:extLst>
        </c:ser>
        <c:ser>
          <c:idx val="232"/>
          <c:order val="232"/>
          <c:tx>
            <c:v>R129 Shield Min Inside</c:v>
          </c:tx>
          <c:spPr>
            <a:ln w="44450">
              <a:solidFill>
                <a:srgbClr val="0070C0"/>
              </a:solidFill>
            </a:ln>
          </c:spPr>
          <c:marker>
            <c:symbol val="none"/>
          </c:marker>
          <c:xVal>
            <c:numRef>
              <c:f>'R129 Annex 18 Data'!$D$45:$D$46</c:f>
              <c:numCache>
                <c:formatCode>General</c:formatCode>
                <c:ptCount val="2"/>
                <c:pt idx="0">
                  <c:v>0</c:v>
                </c:pt>
                <c:pt idx="1">
                  <c:v>0</c:v>
                </c:pt>
              </c:numCache>
            </c:numRef>
          </c:xVal>
          <c:yVal>
            <c:numRef>
              <c:f>'R129 Annex 18 Data'!$G$45:$G$46</c:f>
              <c:numCache>
                <c:formatCode>General</c:formatCode>
                <c:ptCount val="2"/>
                <c:pt idx="0">
                  <c:v>0</c:v>
                </c:pt>
                <c:pt idx="1">
                  <c:v>0</c:v>
                </c:pt>
              </c:numCache>
            </c:numRef>
          </c:yVal>
          <c:smooth val="1"/>
          <c:extLst>
            <c:ext xmlns:c16="http://schemas.microsoft.com/office/drawing/2014/chart" uri="{C3380CC4-5D6E-409C-BE32-E72D297353CC}">
              <c16:uniqueId val="{00000117-02BD-4FCC-A03D-625C0E4D2895}"/>
            </c:ext>
          </c:extLst>
        </c:ser>
        <c:ser>
          <c:idx val="233"/>
          <c:order val="233"/>
          <c:tx>
            <c:v>R129 Shield Min Right</c:v>
          </c:tx>
          <c:spPr>
            <a:ln w="44450">
              <a:solidFill>
                <a:srgbClr val="0070C0"/>
              </a:solidFill>
            </a:ln>
          </c:spPr>
          <c:dPt>
            <c:idx val="1"/>
            <c:marker>
              <c:symbol val="none"/>
            </c:marker>
            <c:bubble3D val="0"/>
            <c:extLst>
              <c:ext xmlns:c16="http://schemas.microsoft.com/office/drawing/2014/chart" uri="{C3380CC4-5D6E-409C-BE32-E72D297353CC}">
                <c16:uniqueId val="{00000118-02BD-4FCC-A03D-625C0E4D2895}"/>
              </c:ext>
            </c:extLst>
          </c:dPt>
          <c:xVal>
            <c:numRef>
              <c:f>'R129 Annex 18 Data'!$D$46:$D$47</c:f>
              <c:numCache>
                <c:formatCode>General</c:formatCode>
                <c:ptCount val="2"/>
                <c:pt idx="0">
                  <c:v>0</c:v>
                </c:pt>
                <c:pt idx="1">
                  <c:v>0</c:v>
                </c:pt>
              </c:numCache>
            </c:numRef>
          </c:xVal>
          <c:yVal>
            <c:numRef>
              <c:f>'R129 Annex 18 Data'!$G$46:$G$47</c:f>
              <c:numCache>
                <c:formatCode>General</c:formatCode>
                <c:ptCount val="2"/>
                <c:pt idx="0">
                  <c:v>0</c:v>
                </c:pt>
                <c:pt idx="1">
                  <c:v>0</c:v>
                </c:pt>
              </c:numCache>
            </c:numRef>
          </c:yVal>
          <c:smooth val="1"/>
          <c:extLst>
            <c:ext xmlns:c16="http://schemas.microsoft.com/office/drawing/2014/chart" uri="{C3380CC4-5D6E-409C-BE32-E72D297353CC}">
              <c16:uniqueId val="{00000119-02BD-4FCC-A03D-625C0E4D2895}"/>
            </c:ext>
          </c:extLst>
        </c:ser>
        <c:ser>
          <c:idx val="234"/>
          <c:order val="234"/>
          <c:tx>
            <c:v>R129 Shield Min Top</c:v>
          </c:tx>
          <c:spPr>
            <a:ln w="44450">
              <a:solidFill>
                <a:srgbClr val="0070C0"/>
              </a:solidFill>
            </a:ln>
          </c:spPr>
          <c:marker>
            <c:symbol val="none"/>
          </c:marker>
          <c:xVal>
            <c:numRef>
              <c:f>'R129 Annex 18 Data'!$D$47:$D$48</c:f>
              <c:numCache>
                <c:formatCode>General</c:formatCode>
                <c:ptCount val="2"/>
                <c:pt idx="0">
                  <c:v>0</c:v>
                </c:pt>
                <c:pt idx="1">
                  <c:v>0</c:v>
                </c:pt>
              </c:numCache>
            </c:numRef>
          </c:xVal>
          <c:yVal>
            <c:numRef>
              <c:f>'R129 Annex 18 Data'!$G$47:$G$48</c:f>
              <c:numCache>
                <c:formatCode>General</c:formatCode>
                <c:ptCount val="2"/>
                <c:pt idx="0">
                  <c:v>0</c:v>
                </c:pt>
                <c:pt idx="1">
                  <c:v>0</c:v>
                </c:pt>
              </c:numCache>
            </c:numRef>
          </c:yVal>
          <c:smooth val="1"/>
          <c:extLst>
            <c:ext xmlns:c16="http://schemas.microsoft.com/office/drawing/2014/chart" uri="{C3380CC4-5D6E-409C-BE32-E72D297353CC}">
              <c16:uniqueId val="{0000011A-02BD-4FCC-A03D-625C0E4D2895}"/>
            </c:ext>
          </c:extLst>
        </c:ser>
        <c:ser>
          <c:idx val="235"/>
          <c:order val="235"/>
          <c:tx>
            <c:v>R129 Shield Max Left</c:v>
          </c:tx>
          <c:spPr>
            <a:ln w="44450">
              <a:solidFill>
                <a:srgbClr val="0070C0"/>
              </a:solidFill>
            </a:ln>
          </c:spPr>
          <c:marker>
            <c:symbol val="none"/>
          </c:marker>
          <c:xVal>
            <c:numRef>
              <c:f>'R129 Annex 18 Data'!$D$51:$D$52</c:f>
              <c:numCache>
                <c:formatCode>General</c:formatCode>
                <c:ptCount val="2"/>
                <c:pt idx="0">
                  <c:v>0</c:v>
                </c:pt>
                <c:pt idx="1">
                  <c:v>0</c:v>
                </c:pt>
              </c:numCache>
            </c:numRef>
          </c:xVal>
          <c:yVal>
            <c:numRef>
              <c:f>'R129 Annex 18 Data'!$G$51:$G$52</c:f>
              <c:numCache>
                <c:formatCode>General</c:formatCode>
                <c:ptCount val="2"/>
                <c:pt idx="0">
                  <c:v>0</c:v>
                </c:pt>
                <c:pt idx="1">
                  <c:v>0</c:v>
                </c:pt>
              </c:numCache>
            </c:numRef>
          </c:yVal>
          <c:smooth val="1"/>
          <c:extLst>
            <c:ext xmlns:c16="http://schemas.microsoft.com/office/drawing/2014/chart" uri="{C3380CC4-5D6E-409C-BE32-E72D297353CC}">
              <c16:uniqueId val="{0000011B-02BD-4FCC-A03D-625C0E4D2895}"/>
            </c:ext>
          </c:extLst>
        </c:ser>
        <c:ser>
          <c:idx val="236"/>
          <c:order val="236"/>
          <c:tx>
            <c:v>R129 Shield Max Inside</c:v>
          </c:tx>
          <c:spPr>
            <a:ln w="44450">
              <a:solidFill>
                <a:srgbClr val="0070C0"/>
              </a:solidFill>
            </a:ln>
          </c:spPr>
          <c:marker>
            <c:symbol val="none"/>
          </c:marker>
          <c:xVal>
            <c:numRef>
              <c:f>'R129 Annex 18 Data'!$D$52:$D$53</c:f>
              <c:numCache>
                <c:formatCode>General</c:formatCode>
                <c:ptCount val="2"/>
                <c:pt idx="0">
                  <c:v>0</c:v>
                </c:pt>
                <c:pt idx="1">
                  <c:v>0</c:v>
                </c:pt>
              </c:numCache>
            </c:numRef>
          </c:xVal>
          <c:yVal>
            <c:numRef>
              <c:f>'R129 Annex 18 Data'!$G$52:$G$53</c:f>
              <c:numCache>
                <c:formatCode>General</c:formatCode>
                <c:ptCount val="2"/>
                <c:pt idx="0">
                  <c:v>0</c:v>
                </c:pt>
                <c:pt idx="1">
                  <c:v>0</c:v>
                </c:pt>
              </c:numCache>
            </c:numRef>
          </c:yVal>
          <c:smooth val="1"/>
          <c:extLst>
            <c:ext xmlns:c16="http://schemas.microsoft.com/office/drawing/2014/chart" uri="{C3380CC4-5D6E-409C-BE32-E72D297353CC}">
              <c16:uniqueId val="{0000011C-02BD-4FCC-A03D-625C0E4D2895}"/>
            </c:ext>
          </c:extLst>
        </c:ser>
        <c:ser>
          <c:idx val="237"/>
          <c:order val="237"/>
          <c:tx>
            <c:v>R129 Shield Max Right</c:v>
          </c:tx>
          <c:spPr>
            <a:ln w="44450">
              <a:solidFill>
                <a:srgbClr val="0070C0"/>
              </a:solidFill>
            </a:ln>
          </c:spPr>
          <c:marker>
            <c:symbol val="none"/>
          </c:marker>
          <c:xVal>
            <c:numRef>
              <c:f>'R129 Annex 18 Data'!$D$53:$D$54</c:f>
              <c:numCache>
                <c:formatCode>General</c:formatCode>
                <c:ptCount val="2"/>
                <c:pt idx="0">
                  <c:v>0</c:v>
                </c:pt>
                <c:pt idx="1">
                  <c:v>0</c:v>
                </c:pt>
              </c:numCache>
            </c:numRef>
          </c:xVal>
          <c:yVal>
            <c:numRef>
              <c:f>'R129 Annex 18 Data'!$G$53:$G$54</c:f>
              <c:numCache>
                <c:formatCode>General</c:formatCode>
                <c:ptCount val="2"/>
                <c:pt idx="0">
                  <c:v>0</c:v>
                </c:pt>
                <c:pt idx="1">
                  <c:v>0</c:v>
                </c:pt>
              </c:numCache>
            </c:numRef>
          </c:yVal>
          <c:smooth val="1"/>
          <c:extLst>
            <c:ext xmlns:c16="http://schemas.microsoft.com/office/drawing/2014/chart" uri="{C3380CC4-5D6E-409C-BE32-E72D297353CC}">
              <c16:uniqueId val="{0000011D-02BD-4FCC-A03D-625C0E4D2895}"/>
            </c:ext>
          </c:extLst>
        </c:ser>
        <c:ser>
          <c:idx val="238"/>
          <c:order val="238"/>
          <c:tx>
            <c:v>R129 Shield Max Top</c:v>
          </c:tx>
          <c:spPr>
            <a:ln w="44450">
              <a:solidFill>
                <a:srgbClr val="0070C0"/>
              </a:solidFill>
            </a:ln>
          </c:spPr>
          <c:marker>
            <c:symbol val="none"/>
          </c:marker>
          <c:xVal>
            <c:numRef>
              <c:f>'R129 Annex 18 Data'!$D$54:$D$55</c:f>
              <c:numCache>
                <c:formatCode>General</c:formatCode>
                <c:ptCount val="2"/>
                <c:pt idx="0">
                  <c:v>0</c:v>
                </c:pt>
                <c:pt idx="1">
                  <c:v>0</c:v>
                </c:pt>
              </c:numCache>
            </c:numRef>
          </c:xVal>
          <c:yVal>
            <c:numRef>
              <c:f>'R129 Annex 18 Data'!$G$54:$G$55</c:f>
              <c:numCache>
                <c:formatCode>General</c:formatCode>
                <c:ptCount val="2"/>
                <c:pt idx="0">
                  <c:v>0</c:v>
                </c:pt>
                <c:pt idx="1">
                  <c:v>0</c:v>
                </c:pt>
              </c:numCache>
            </c:numRef>
          </c:yVal>
          <c:smooth val="1"/>
          <c:extLst>
            <c:ext xmlns:c16="http://schemas.microsoft.com/office/drawing/2014/chart" uri="{C3380CC4-5D6E-409C-BE32-E72D297353CC}">
              <c16:uniqueId val="{0000011E-02BD-4FCC-A03D-625C0E4D2895}"/>
            </c:ext>
          </c:extLst>
        </c:ser>
        <c:ser>
          <c:idx val="239"/>
          <c:order val="239"/>
          <c:tx>
            <c:v>Back Pad Thickness</c:v>
          </c:tx>
          <c:spPr>
            <a:ln w="53975">
              <a:solidFill>
                <a:schemeClr val="bg1">
                  <a:lumMod val="50000"/>
                </a:schemeClr>
              </a:solidFill>
            </a:ln>
          </c:spPr>
          <c:marker>
            <c:symbol val="none"/>
          </c:marker>
          <c:xVal>
            <c:numRef>
              <c:f>Solution!$CB$93:$CB$97</c:f>
              <c:numCache>
                <c:formatCode>General</c:formatCode>
                <c:ptCount val="5"/>
                <c:pt idx="0">
                  <c:v>-11.2</c:v>
                </c:pt>
                <c:pt idx="1">
                  <c:v>-11.2</c:v>
                </c:pt>
                <c:pt idx="2" formatCode="0">
                  <c:v>11.2</c:v>
                </c:pt>
                <c:pt idx="3" formatCode="0">
                  <c:v>11.2</c:v>
                </c:pt>
                <c:pt idx="4">
                  <c:v>-11.2</c:v>
                </c:pt>
              </c:numCache>
            </c:numRef>
          </c:xVal>
          <c:yVal>
            <c:numRef>
              <c:f>Solution!$CC$93:$CC$97</c:f>
              <c:numCache>
                <c:formatCode>General</c:formatCode>
                <c:ptCount val="5"/>
                <c:pt idx="0">
                  <c:v>0</c:v>
                </c:pt>
                <c:pt idx="1">
                  <c:v>-2</c:v>
                </c:pt>
                <c:pt idx="2">
                  <c:v>-2</c:v>
                </c:pt>
                <c:pt idx="3">
                  <c:v>0</c:v>
                </c:pt>
                <c:pt idx="4">
                  <c:v>0</c:v>
                </c:pt>
              </c:numCache>
            </c:numRef>
          </c:yVal>
          <c:smooth val="1"/>
          <c:extLst>
            <c:ext xmlns:c16="http://schemas.microsoft.com/office/drawing/2014/chart" uri="{C3380CC4-5D6E-409C-BE32-E72D297353CC}">
              <c16:uniqueId val="{0000011F-02BD-4FCC-A03D-625C0E4D2895}"/>
            </c:ext>
          </c:extLst>
        </c:ser>
        <c:ser>
          <c:idx val="240"/>
          <c:order val="240"/>
          <c:tx>
            <c:v>Seat Pad Thickness</c:v>
          </c:tx>
          <c:spPr>
            <a:ln w="50800">
              <a:solidFill>
                <a:schemeClr val="bg2">
                  <a:lumMod val="50000"/>
                </a:schemeClr>
              </a:solidFill>
            </a:ln>
          </c:spPr>
          <c:xVal>
            <c:numRef>
              <c:f>Solution!$CB$99:$CB$103</c:f>
              <c:numCache>
                <c:formatCode>General</c:formatCode>
                <c:ptCount val="5"/>
                <c:pt idx="0">
                  <c:v>-11.2</c:v>
                </c:pt>
                <c:pt idx="1">
                  <c:v>-11.2</c:v>
                </c:pt>
                <c:pt idx="2" formatCode="0">
                  <c:v>11.2</c:v>
                </c:pt>
                <c:pt idx="3" formatCode="0">
                  <c:v>11.2</c:v>
                </c:pt>
                <c:pt idx="4">
                  <c:v>-11.2</c:v>
                </c:pt>
              </c:numCache>
            </c:numRef>
          </c:xVal>
          <c:yVal>
            <c:numRef>
              <c:f>Solution!$CC$99:$CC$103</c:f>
              <c:numCache>
                <c:formatCode>General</c:formatCode>
                <c:ptCount val="5"/>
                <c:pt idx="0">
                  <c:v>0</c:v>
                </c:pt>
                <c:pt idx="1">
                  <c:v>2</c:v>
                </c:pt>
                <c:pt idx="2">
                  <c:v>2</c:v>
                </c:pt>
                <c:pt idx="3">
                  <c:v>0</c:v>
                </c:pt>
                <c:pt idx="4">
                  <c:v>0</c:v>
                </c:pt>
              </c:numCache>
            </c:numRef>
          </c:yVal>
          <c:smooth val="1"/>
          <c:extLst>
            <c:ext xmlns:c16="http://schemas.microsoft.com/office/drawing/2014/chart" uri="{C3380CC4-5D6E-409C-BE32-E72D297353CC}">
              <c16:uniqueId val="{00000120-02BD-4FCC-A03D-625C0E4D2895}"/>
            </c:ext>
          </c:extLst>
        </c:ser>
        <c:ser>
          <c:idx val="241"/>
          <c:order val="241"/>
          <c:tx>
            <c:v>Plot Side Pad Thickness</c:v>
          </c:tx>
          <c:spPr>
            <a:ln w="44450">
              <a:solidFill>
                <a:schemeClr val="bg2">
                  <a:lumMod val="50000"/>
                </a:schemeClr>
              </a:solidFill>
            </a:ln>
          </c:spPr>
          <c:xVal>
            <c:numRef>
              <c:f>Solution!$CK$76:$CK$86</c:f>
              <c:numCache>
                <c:formatCode>0.0</c:formatCode>
                <c:ptCount val="11"/>
                <c:pt idx="0">
                  <c:v>-11.2</c:v>
                </c:pt>
                <c:pt idx="1">
                  <c:v>-12.32</c:v>
                </c:pt>
                <c:pt idx="2">
                  <c:v>-11.2</c:v>
                </c:pt>
                <c:pt idx="3">
                  <c:v>-11.2</c:v>
                </c:pt>
                <c:pt idx="4">
                  <c:v>-11.2</c:v>
                </c:pt>
                <c:pt idx="5">
                  <c:v>0</c:v>
                </c:pt>
                <c:pt idx="6">
                  <c:v>11.2</c:v>
                </c:pt>
                <c:pt idx="7">
                  <c:v>11.2</c:v>
                </c:pt>
                <c:pt idx="8">
                  <c:v>11.2</c:v>
                </c:pt>
                <c:pt idx="9">
                  <c:v>12.32</c:v>
                </c:pt>
                <c:pt idx="10">
                  <c:v>11.2</c:v>
                </c:pt>
              </c:numCache>
            </c:numRef>
          </c:xVal>
          <c:yVal>
            <c:numRef>
              <c:f>Solution!$CL$76:$CL$86</c:f>
              <c:numCache>
                <c:formatCode>0.0</c:formatCode>
                <c:ptCount val="11"/>
                <c:pt idx="0">
                  <c:v>-17.491104</c:v>
                </c:pt>
                <c:pt idx="1">
                  <c:v>-9.7172800000000006</c:v>
                </c:pt>
                <c:pt idx="2">
                  <c:v>0</c:v>
                </c:pt>
                <c:pt idx="3">
                  <c:v>26.25</c:v>
                </c:pt>
                <c:pt idx="4">
                  <c:v>52.5</c:v>
                </c:pt>
                <c:pt idx="5">
                  <c:v>52.5</c:v>
                </c:pt>
                <c:pt idx="6">
                  <c:v>52.5</c:v>
                </c:pt>
                <c:pt idx="7">
                  <c:v>26.25</c:v>
                </c:pt>
                <c:pt idx="8">
                  <c:v>0</c:v>
                </c:pt>
                <c:pt idx="9">
                  <c:v>-9.7172800000000006</c:v>
                </c:pt>
                <c:pt idx="10">
                  <c:v>-17.491104</c:v>
                </c:pt>
              </c:numCache>
            </c:numRef>
          </c:yVal>
          <c:smooth val="1"/>
          <c:extLst>
            <c:ext xmlns:c16="http://schemas.microsoft.com/office/drawing/2014/chart" uri="{C3380CC4-5D6E-409C-BE32-E72D297353CC}">
              <c16:uniqueId val="{00000121-02BD-4FCC-A03D-625C0E4D2895}"/>
            </c:ext>
          </c:extLst>
        </c:ser>
        <c:dLbls>
          <c:showLegendKey val="0"/>
          <c:showVal val="0"/>
          <c:showCatName val="0"/>
          <c:showSerName val="0"/>
          <c:showPercent val="0"/>
          <c:showBubbleSize val="0"/>
        </c:dLbls>
        <c:axId val="405219744"/>
        <c:axId val="405220136"/>
      </c:scatterChart>
      <c:valAx>
        <c:axId val="405219744"/>
        <c:scaling>
          <c:orientation val="minMax"/>
          <c:max val="30"/>
          <c:min val="-30"/>
        </c:scaling>
        <c:delete val="0"/>
        <c:axPos val="b"/>
        <c:majorGridlines>
          <c:spPr>
            <a:ln w="9525" cap="flat" cmpd="sng" algn="ctr">
              <a:solidFill>
                <a:schemeClr val="tx1">
                  <a:lumMod val="50000"/>
                  <a:lumOff val="50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crossAx val="405220136"/>
        <c:crosses val="autoZero"/>
        <c:crossBetween val="midCat"/>
        <c:majorUnit val="5"/>
      </c:valAx>
      <c:valAx>
        <c:axId val="405220136"/>
        <c:scaling>
          <c:orientation val="minMax"/>
          <c:max val="85"/>
          <c:min val="-50"/>
        </c:scaling>
        <c:delete val="0"/>
        <c:axPos val="l"/>
        <c:majorGridlines>
          <c:spPr>
            <a:ln w="9525" cap="flat" cmpd="sng" algn="ctr">
              <a:solidFill>
                <a:schemeClr val="tx1">
                  <a:lumMod val="50000"/>
                  <a:lumOff val="50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crossAx val="405219744"/>
        <c:crosses val="autoZero"/>
        <c:crossBetween val="midCat"/>
        <c:maj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200" b="1" i="0" u="none" strike="noStrike" kern="1200" spc="0" baseline="0">
                <a:solidFill>
                  <a:schemeClr val="tx1">
                    <a:lumMod val="65000"/>
                    <a:lumOff val="35000"/>
                  </a:schemeClr>
                </a:solidFill>
                <a:latin typeface="+mn-lt"/>
                <a:ea typeface="+mn-ea"/>
                <a:cs typeface="+mn-cs"/>
              </a:defRPr>
            </a:pPr>
            <a:r>
              <a:rPr lang="en-US" sz="2800" b="1"/>
              <a:t>Lambs</a:t>
            </a:r>
            <a:r>
              <a:rPr lang="en-US" sz="2800" b="1" baseline="0"/>
              <a:t> Car Seat Harness Fitment</a:t>
            </a:r>
            <a:endParaRPr lang="en-US" sz="2800" b="1"/>
          </a:p>
        </c:rich>
      </c:tx>
      <c:overlay val="0"/>
      <c:spPr>
        <a:noFill/>
        <a:ln>
          <a:noFill/>
        </a:ln>
        <a:effectLst/>
      </c:spPr>
      <c:txPr>
        <a:bodyPr rot="0" spcFirstLastPara="1" vertOverflow="ellipsis" vert="horz" wrap="square" anchor="ctr" anchorCtr="1"/>
        <a:lstStyle/>
        <a:p>
          <a:pPr>
            <a:defRPr sz="3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9"/>
          <c:order val="0"/>
          <c:tx>
            <c:v>CAMI-Newborn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1.3229556551210884E-2"/>
                  <c:y val="2.820038928456420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0821958620489198"/>
                      <c:h val="2.7540579064904411E-2"/>
                    </c:manualLayout>
                  </c15:layout>
                </c:ext>
                <c:ext xmlns:c16="http://schemas.microsoft.com/office/drawing/2014/chart" uri="{C3380CC4-5D6E-409C-BE32-E72D297353CC}">
                  <c16:uniqueId val="{00000000-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Solution!$AN$26:$AN$29</c:f>
              <c:numCache>
                <c:formatCode>0.0</c:formatCode>
                <c:ptCount val="4"/>
                <c:pt idx="0">
                  <c:v>-6</c:v>
                </c:pt>
                <c:pt idx="1">
                  <c:v>-5.5200000000000005</c:v>
                </c:pt>
                <c:pt idx="2">
                  <c:v>-2.5760000000000005</c:v>
                </c:pt>
                <c:pt idx="3">
                  <c:v>0</c:v>
                </c:pt>
              </c:numCache>
            </c:numRef>
          </c:xVal>
          <c:yVal>
            <c:numRef>
              <c:f>Solution!$AO$26:$AO$29</c:f>
              <c:numCache>
                <c:formatCode>0.0</c:formatCode>
                <c:ptCount val="4"/>
                <c:pt idx="0">
                  <c:v>-2</c:v>
                </c:pt>
                <c:pt idx="1">
                  <c:v>-5.2200000000000006</c:v>
                </c:pt>
                <c:pt idx="2">
                  <c:v>-8.4400000000000013</c:v>
                </c:pt>
                <c:pt idx="3">
                  <c:v>-9</c:v>
                </c:pt>
              </c:numCache>
            </c:numRef>
          </c:yVal>
          <c:smooth val="1"/>
          <c:extLst>
            <c:ext xmlns:c16="http://schemas.microsoft.com/office/drawing/2014/chart" uri="{C3380CC4-5D6E-409C-BE32-E72D297353CC}">
              <c16:uniqueId val="{00000001-4D3D-4790-8CB8-1867A54F05A8}"/>
            </c:ext>
          </c:extLst>
        </c:ser>
        <c:ser>
          <c:idx val="10"/>
          <c:order val="1"/>
          <c:tx>
            <c:v>CAMI-6mo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3.7225042301184369E-2"/>
                  <c:y val="3.358208955223866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prstDash val="sysDash"/>
                      <a:round/>
                    </a:ln>
                    <a:effectLst/>
                  </c:spPr>
                </c15:leaderLines>
              </c:ext>
            </c:extLst>
          </c:dLbls>
          <c:xVal>
            <c:numRef>
              <c:f>Solution!$AN$33:$AN$36</c:f>
              <c:numCache>
                <c:formatCode>0.0</c:formatCode>
                <c:ptCount val="4"/>
                <c:pt idx="0">
                  <c:v>-7.5</c:v>
                </c:pt>
                <c:pt idx="1">
                  <c:v>-6.9</c:v>
                </c:pt>
                <c:pt idx="2">
                  <c:v>-4.0480000000000009</c:v>
                </c:pt>
                <c:pt idx="3">
                  <c:v>0</c:v>
                </c:pt>
              </c:numCache>
            </c:numRef>
          </c:xVal>
          <c:yVal>
            <c:numRef>
              <c:f>Solution!$AO$33:$AO$36</c:f>
              <c:numCache>
                <c:formatCode>0.0</c:formatCode>
                <c:ptCount val="4"/>
                <c:pt idx="0">
                  <c:v>-2</c:v>
                </c:pt>
                <c:pt idx="1">
                  <c:v>-7.0600000000000005</c:v>
                </c:pt>
                <c:pt idx="2">
                  <c:v>-12.120000000000001</c:v>
                </c:pt>
                <c:pt idx="3">
                  <c:v>-13</c:v>
                </c:pt>
              </c:numCache>
            </c:numRef>
          </c:yVal>
          <c:smooth val="1"/>
          <c:extLst>
            <c:ext xmlns:c16="http://schemas.microsoft.com/office/drawing/2014/chart" uri="{C3380CC4-5D6E-409C-BE32-E72D297353CC}">
              <c16:uniqueId val="{00000003-4D3D-4790-8CB8-1867A54F05A8}"/>
            </c:ext>
          </c:extLst>
        </c:ser>
        <c:ser>
          <c:idx val="11"/>
          <c:order val="2"/>
          <c:tx>
            <c:v>Q0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8138747884940772E-2"/>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Solution!$AN$42:$AN$45</c:f>
              <c:numCache>
                <c:formatCode>0.0</c:formatCode>
                <c:ptCount val="4"/>
                <c:pt idx="0">
                  <c:v>0</c:v>
                </c:pt>
                <c:pt idx="1">
                  <c:v>0</c:v>
                </c:pt>
                <c:pt idx="2">
                  <c:v>0</c:v>
                </c:pt>
                <c:pt idx="3">
                  <c:v>0</c:v>
                </c:pt>
              </c:numCache>
            </c:numRef>
          </c:xVal>
          <c:yVal>
            <c:numRef>
              <c:f>Solution!$AO$42:$AO$45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5-4D3D-4790-8CB8-1867A54F05A8}"/>
            </c:ext>
          </c:extLst>
        </c:ser>
        <c:ser>
          <c:idx val="12"/>
          <c:order val="3"/>
          <c:tx>
            <c:v>Q1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9678510998307953E-2"/>
                  <c:y val="1.21268656716417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Solution!$AN$49:$AN$52</c:f>
              <c:numCache>
                <c:formatCode>0.0</c:formatCode>
                <c:ptCount val="4"/>
                <c:pt idx="0">
                  <c:v>0</c:v>
                </c:pt>
                <c:pt idx="1">
                  <c:v>0</c:v>
                </c:pt>
                <c:pt idx="2">
                  <c:v>0</c:v>
                </c:pt>
                <c:pt idx="3">
                  <c:v>0</c:v>
                </c:pt>
              </c:numCache>
            </c:numRef>
          </c:xVal>
          <c:yVal>
            <c:numRef>
              <c:f>Solution!$AO$49:$AO$52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7-4D3D-4790-8CB8-1867A54F05A8}"/>
            </c:ext>
          </c:extLst>
        </c:ser>
        <c:ser>
          <c:idx val="13"/>
          <c:order val="4"/>
          <c:tx>
            <c:v>CRABI 12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40307615309946671"/>
                  <c:y val="2.310548655242473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Solution!$AN$54:$AN$57</c:f>
              <c:numCache>
                <c:formatCode>0.0</c:formatCode>
                <c:ptCount val="4"/>
                <c:pt idx="0">
                  <c:v>-8.5</c:v>
                </c:pt>
                <c:pt idx="1">
                  <c:v>-7.82</c:v>
                </c:pt>
                <c:pt idx="2">
                  <c:v>-4.1915200000000006</c:v>
                </c:pt>
                <c:pt idx="3">
                  <c:v>0</c:v>
                </c:pt>
              </c:numCache>
            </c:numRef>
          </c:xVal>
          <c:yVal>
            <c:numRef>
              <c:f>Solution!$AO$54:$AO$57</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9-4D3D-4790-8CB8-1867A54F05A8}"/>
            </c:ext>
          </c:extLst>
        </c:ser>
        <c:ser>
          <c:idx val="14"/>
          <c:order val="5"/>
          <c:tx>
            <c:v>Q1.5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9.9830795262267222E-2"/>
                  <c:y val="-2.33208955223881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Solution!$AN$63:$AN$66</c:f>
              <c:numCache>
                <c:formatCode>0.0</c:formatCode>
                <c:ptCount val="4"/>
                <c:pt idx="0">
                  <c:v>0</c:v>
                </c:pt>
                <c:pt idx="1">
                  <c:v>0</c:v>
                </c:pt>
                <c:pt idx="2">
                  <c:v>0</c:v>
                </c:pt>
                <c:pt idx="3">
                  <c:v>0</c:v>
                </c:pt>
              </c:numCache>
            </c:numRef>
          </c:xVal>
          <c:yVal>
            <c:numRef>
              <c:f>Solution!$AO$63:$AO$66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B-4D3D-4790-8CB8-1867A54F05A8}"/>
            </c:ext>
          </c:extLst>
        </c:ser>
        <c:ser>
          <c:idx val="15"/>
          <c:order val="6"/>
          <c:tx>
            <c:v>CRABI 18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25920962675843545"/>
                  <c:y val="-8.8020901152094828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Solution!$AN$68:$AN$71</c:f>
              <c:numCache>
                <c:formatCode>0.0</c:formatCode>
                <c:ptCount val="4"/>
                <c:pt idx="0">
                  <c:v>-8.5</c:v>
                </c:pt>
                <c:pt idx="1">
                  <c:v>-7.82</c:v>
                </c:pt>
                <c:pt idx="2">
                  <c:v>-4.1915200000000006</c:v>
                </c:pt>
                <c:pt idx="3">
                  <c:v>0</c:v>
                </c:pt>
              </c:numCache>
            </c:numRef>
          </c:xVal>
          <c:yVal>
            <c:numRef>
              <c:f>Solution!$AO$68:$AO$71</c:f>
              <c:numCache>
                <c:formatCode>0.0</c:formatCode>
                <c:ptCount val="4"/>
                <c:pt idx="0">
                  <c:v>-2</c:v>
                </c:pt>
                <c:pt idx="1">
                  <c:v>-7.2394000000000007</c:v>
                </c:pt>
                <c:pt idx="2">
                  <c:v>-12.478800000000001</c:v>
                </c:pt>
                <c:pt idx="3">
                  <c:v>-13.39</c:v>
                </c:pt>
              </c:numCache>
            </c:numRef>
          </c:yVal>
          <c:smooth val="1"/>
          <c:extLst>
            <c:ext xmlns:c16="http://schemas.microsoft.com/office/drawing/2014/chart" uri="{C3380CC4-5D6E-409C-BE32-E72D297353CC}">
              <c16:uniqueId val="{0000000D-4D3D-4790-8CB8-1867A54F05A8}"/>
            </c:ext>
          </c:extLst>
        </c:ser>
        <c:ser>
          <c:idx val="16"/>
          <c:order val="7"/>
          <c:tx>
            <c:v>Q3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1218274111675121E-2"/>
                  <c:y val="-9.3283582089553601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Solution!$AN$77:$AN$80</c:f>
              <c:numCache>
                <c:formatCode>0.0</c:formatCode>
                <c:ptCount val="4"/>
                <c:pt idx="0">
                  <c:v>0</c:v>
                </c:pt>
                <c:pt idx="1">
                  <c:v>0</c:v>
                </c:pt>
                <c:pt idx="2">
                  <c:v>0</c:v>
                </c:pt>
                <c:pt idx="3">
                  <c:v>0</c:v>
                </c:pt>
              </c:numCache>
            </c:numRef>
          </c:xVal>
          <c:yVal>
            <c:numRef>
              <c:f>Solution!$AO$77:$AO$80</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0F-4D3D-4790-8CB8-1867A54F05A8}"/>
            </c:ext>
          </c:extLst>
        </c:ser>
        <c:ser>
          <c:idx val="17"/>
          <c:order val="8"/>
          <c:tx>
            <c:v>HIII-3yr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4890016920473773"/>
                  <c:y val="1.8656716417909079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Solution!$AN$82:$AN$85</c:f>
              <c:numCache>
                <c:formatCode>0.0</c:formatCode>
                <c:ptCount val="4"/>
                <c:pt idx="0">
                  <c:v>0</c:v>
                </c:pt>
                <c:pt idx="1">
                  <c:v>0</c:v>
                </c:pt>
                <c:pt idx="2">
                  <c:v>0</c:v>
                </c:pt>
                <c:pt idx="3">
                  <c:v>0</c:v>
                </c:pt>
              </c:numCache>
            </c:numRef>
          </c:xVal>
          <c:yVal>
            <c:numRef>
              <c:f>Solution!$AO$82:$AO$85</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1-4D3D-4790-8CB8-1867A54F05A8}"/>
            </c:ext>
          </c:extLst>
        </c:ser>
        <c:ser>
          <c:idx val="18"/>
          <c:order val="9"/>
          <c:tx>
            <c:v>Q6 Hip</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6.4297800338409469E-2"/>
                  <c:y val="-2.798507462686567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Solution!$AN$91:$AN$94</c:f>
              <c:numCache>
                <c:formatCode>0.0</c:formatCode>
                <c:ptCount val="4"/>
                <c:pt idx="0">
                  <c:v>0</c:v>
                </c:pt>
                <c:pt idx="1">
                  <c:v>0</c:v>
                </c:pt>
                <c:pt idx="2">
                  <c:v>0</c:v>
                </c:pt>
                <c:pt idx="3">
                  <c:v>0</c:v>
                </c:pt>
              </c:numCache>
            </c:numRef>
          </c:xVal>
          <c:yVal>
            <c:numRef>
              <c:f>Solution!$AO$91:$AO$94</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3-4D3D-4790-8CB8-1867A54F05A8}"/>
            </c:ext>
          </c:extLst>
        </c:ser>
        <c:ser>
          <c:idx val="19"/>
          <c:order val="10"/>
          <c:tx>
            <c:v>HIII-6yr Hip</c:v>
          </c:tx>
          <c:spPr>
            <a:ln w="19050" cap="rnd">
              <a:solidFill>
                <a:srgbClr val="FF0000"/>
              </a:solidFill>
              <a:round/>
            </a:ln>
            <a:effectLst/>
          </c:spPr>
          <c:marker>
            <c:symbol val="circle"/>
            <c:size val="2"/>
            <c:spPr>
              <a:solidFill>
                <a:srgbClr val="FF0000"/>
              </a:solidFill>
              <a:ln w="9525">
                <a:solidFill>
                  <a:srgbClr val="FF0000"/>
                </a:solidFill>
              </a:ln>
              <a:effectLst/>
            </c:spPr>
          </c:marker>
          <c:xVal>
            <c:numRef>
              <c:f>Solution!$AN$96:$AN$99</c:f>
              <c:numCache>
                <c:formatCode>0.0</c:formatCode>
                <c:ptCount val="4"/>
                <c:pt idx="0">
                  <c:v>0</c:v>
                </c:pt>
                <c:pt idx="1">
                  <c:v>0</c:v>
                </c:pt>
                <c:pt idx="2">
                  <c:v>0</c:v>
                </c:pt>
                <c:pt idx="3">
                  <c:v>0</c:v>
                </c:pt>
              </c:numCache>
            </c:numRef>
          </c:xVal>
          <c:yVal>
            <c:numRef>
              <c:f>Solution!$AO$96:$AO$99</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4-4D3D-4790-8CB8-1867A54F05A8}"/>
            </c:ext>
          </c:extLst>
        </c:ser>
        <c:ser>
          <c:idx val="20"/>
          <c:order val="11"/>
          <c:tx>
            <c:v>HIII-6yr wtd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381993548492579"/>
                  <c:y val="3.9944681982476736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Solution!$AN$103:$AN$106</c:f>
              <c:numCache>
                <c:formatCode>0.0</c:formatCode>
                <c:ptCount val="4"/>
                <c:pt idx="0">
                  <c:v>0</c:v>
                </c:pt>
                <c:pt idx="1">
                  <c:v>0</c:v>
                </c:pt>
                <c:pt idx="2">
                  <c:v>0</c:v>
                </c:pt>
                <c:pt idx="3">
                  <c:v>0</c:v>
                </c:pt>
              </c:numCache>
            </c:numRef>
          </c:xVal>
          <c:yVal>
            <c:numRef>
              <c:f>Solution!$AO$103:$AO$106</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6-4D3D-4790-8CB8-1867A54F05A8}"/>
            </c:ext>
          </c:extLst>
        </c:ser>
        <c:ser>
          <c:idx val="21"/>
          <c:order val="12"/>
          <c:tx>
            <c:v>HIII-10yr Hip</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0.16550214757565868"/>
                  <c:y val="7.8941579852154339E-4"/>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Solution!$AN$110:$AN$113</c:f>
              <c:numCache>
                <c:formatCode>0.0</c:formatCode>
                <c:ptCount val="4"/>
                <c:pt idx="0">
                  <c:v>0</c:v>
                </c:pt>
                <c:pt idx="1">
                  <c:v>0</c:v>
                </c:pt>
                <c:pt idx="2">
                  <c:v>0</c:v>
                </c:pt>
                <c:pt idx="3">
                  <c:v>0</c:v>
                </c:pt>
              </c:numCache>
            </c:numRef>
          </c:xVal>
          <c:yVal>
            <c:numRef>
              <c:f>Solution!$AO$110:$AO$114</c:f>
              <c:numCache>
                <c:formatCode>0.0</c:formatCode>
                <c:ptCount val="5"/>
                <c:pt idx="0">
                  <c:v>-2</c:v>
                </c:pt>
                <c:pt idx="1">
                  <c:v>-2</c:v>
                </c:pt>
                <c:pt idx="2">
                  <c:v>-2</c:v>
                </c:pt>
                <c:pt idx="3">
                  <c:v>-2</c:v>
                </c:pt>
              </c:numCache>
            </c:numRef>
          </c:yVal>
          <c:smooth val="1"/>
          <c:extLst>
            <c:ext xmlns:c16="http://schemas.microsoft.com/office/drawing/2014/chart" uri="{C3380CC4-5D6E-409C-BE32-E72D297353CC}">
              <c16:uniqueId val="{00000018-4D3D-4790-8CB8-1867A54F05A8}"/>
            </c:ext>
          </c:extLst>
        </c:ser>
        <c:ser>
          <c:idx val="22"/>
          <c:order val="13"/>
          <c:tx>
            <c:v>Q10.5 Hip</c:v>
          </c:tx>
          <c:spPr>
            <a:ln w="19050" cap="rnd">
              <a:solidFill>
                <a:schemeClr val="accent5">
                  <a:lumMod val="80000"/>
                </a:schemeClr>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Solution!$AN$119:$AN$122</c:f>
              <c:numCache>
                <c:formatCode>0.0</c:formatCode>
                <c:ptCount val="4"/>
                <c:pt idx="0">
                  <c:v>0</c:v>
                </c:pt>
                <c:pt idx="1">
                  <c:v>0</c:v>
                </c:pt>
                <c:pt idx="2">
                  <c:v>0</c:v>
                </c:pt>
                <c:pt idx="3">
                  <c:v>0</c:v>
                </c:pt>
              </c:numCache>
            </c:numRef>
          </c:xVal>
          <c:yVal>
            <c:numRef>
              <c:f>Solution!$AO$119:$AO$122</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1A-4D3D-4790-8CB8-1867A54F05A8}"/>
            </c:ext>
          </c:extLst>
        </c:ser>
        <c:ser>
          <c:idx val="23"/>
          <c:order val="14"/>
          <c:tx>
            <c:v>Row 12 Left</c:v>
          </c:tx>
          <c:spPr>
            <a:ln w="50800" cap="rnd">
              <a:solidFill>
                <a:schemeClr val="tx1"/>
              </a:solidFill>
              <a:round/>
            </a:ln>
            <a:effectLst/>
          </c:spPr>
          <c:marker>
            <c:symbol val="circle"/>
            <c:size val="5"/>
            <c:spPr>
              <a:noFill/>
              <a:ln w="9525">
                <a:noFill/>
              </a:ln>
              <a:effectLst/>
            </c:spPr>
          </c:marker>
          <c:xVal>
            <c:numRef>
              <c:f>Solution!$AU$3:$AU$4</c:f>
              <c:numCache>
                <c:formatCode>0.0</c:formatCode>
                <c:ptCount val="2"/>
                <c:pt idx="0">
                  <c:v>0</c:v>
                </c:pt>
                <c:pt idx="1">
                  <c:v>0</c:v>
                </c:pt>
              </c:numCache>
            </c:numRef>
          </c:xVal>
          <c:yVal>
            <c:numRef>
              <c:f>Solution!$AV$3:$AV$4</c:f>
              <c:numCache>
                <c:formatCode>0.0</c:formatCode>
                <c:ptCount val="2"/>
                <c:pt idx="0">
                  <c:v>0</c:v>
                </c:pt>
                <c:pt idx="1">
                  <c:v>0</c:v>
                </c:pt>
              </c:numCache>
            </c:numRef>
          </c:yVal>
          <c:smooth val="1"/>
          <c:extLst>
            <c:ext xmlns:c16="http://schemas.microsoft.com/office/drawing/2014/chart" uri="{C3380CC4-5D6E-409C-BE32-E72D297353CC}">
              <c16:uniqueId val="{0000001B-4D3D-4790-8CB8-1867A54F05A8}"/>
            </c:ext>
          </c:extLst>
        </c:ser>
        <c:ser>
          <c:idx val="24"/>
          <c:order val="15"/>
          <c:tx>
            <c:v>Row 12 Right</c:v>
          </c:tx>
          <c:spPr>
            <a:ln w="50800" cap="rnd">
              <a:solidFill>
                <a:schemeClr val="tx1"/>
              </a:solidFill>
              <a:round/>
            </a:ln>
            <a:effectLst/>
          </c:spPr>
          <c:marker>
            <c:symbol val="circle"/>
            <c:size val="2"/>
            <c:spPr>
              <a:noFill/>
              <a:ln w="9525">
                <a:noFill/>
              </a:ln>
              <a:effectLst/>
            </c:spPr>
          </c:marker>
          <c:xVal>
            <c:numRef>
              <c:f>Solution!$BA$3:$BA$4</c:f>
              <c:numCache>
                <c:formatCode>0.0</c:formatCode>
                <c:ptCount val="2"/>
                <c:pt idx="0">
                  <c:v>0</c:v>
                </c:pt>
                <c:pt idx="1">
                  <c:v>0</c:v>
                </c:pt>
              </c:numCache>
            </c:numRef>
          </c:xVal>
          <c:yVal>
            <c:numRef>
              <c:f>Solution!$BB$3:$BB$4</c:f>
              <c:numCache>
                <c:formatCode>0.0</c:formatCode>
                <c:ptCount val="2"/>
                <c:pt idx="0">
                  <c:v>0</c:v>
                </c:pt>
                <c:pt idx="1">
                  <c:v>0</c:v>
                </c:pt>
              </c:numCache>
            </c:numRef>
          </c:yVal>
          <c:smooth val="1"/>
          <c:extLst>
            <c:ext xmlns:c16="http://schemas.microsoft.com/office/drawing/2014/chart" uri="{C3380CC4-5D6E-409C-BE32-E72D297353CC}">
              <c16:uniqueId val="{0000001C-4D3D-4790-8CB8-1867A54F05A8}"/>
            </c:ext>
          </c:extLst>
        </c:ser>
        <c:ser>
          <c:idx val="25"/>
          <c:order val="16"/>
          <c:tx>
            <c:v>Row 11 Left</c:v>
          </c:tx>
          <c:spPr>
            <a:ln w="50800" cap="rnd">
              <a:solidFill>
                <a:schemeClr val="tx1"/>
              </a:solidFill>
              <a:round/>
            </a:ln>
            <a:effectLst/>
          </c:spPr>
          <c:marker>
            <c:symbol val="circle"/>
            <c:size val="5"/>
            <c:spPr>
              <a:noFill/>
              <a:ln w="9525">
                <a:noFill/>
              </a:ln>
              <a:effectLst/>
            </c:spPr>
          </c:marker>
          <c:xVal>
            <c:numRef>
              <c:f>Solution!$AU$5:$AU$6</c:f>
              <c:numCache>
                <c:formatCode>0.0</c:formatCode>
                <c:ptCount val="2"/>
                <c:pt idx="0">
                  <c:v>0</c:v>
                </c:pt>
                <c:pt idx="1">
                  <c:v>0</c:v>
                </c:pt>
              </c:numCache>
            </c:numRef>
          </c:xVal>
          <c:yVal>
            <c:numRef>
              <c:f>Solution!$AV$5:$AV$6</c:f>
              <c:numCache>
                <c:formatCode>0.0</c:formatCode>
                <c:ptCount val="2"/>
                <c:pt idx="0">
                  <c:v>0</c:v>
                </c:pt>
                <c:pt idx="1">
                  <c:v>0</c:v>
                </c:pt>
              </c:numCache>
            </c:numRef>
          </c:yVal>
          <c:smooth val="1"/>
          <c:extLst>
            <c:ext xmlns:c16="http://schemas.microsoft.com/office/drawing/2014/chart" uri="{C3380CC4-5D6E-409C-BE32-E72D297353CC}">
              <c16:uniqueId val="{0000001D-4D3D-4790-8CB8-1867A54F05A8}"/>
            </c:ext>
          </c:extLst>
        </c:ser>
        <c:ser>
          <c:idx val="26"/>
          <c:order val="17"/>
          <c:tx>
            <c:v>Row 11 Right</c:v>
          </c:tx>
          <c:spPr>
            <a:ln w="50800" cap="rnd">
              <a:solidFill>
                <a:schemeClr val="tx1"/>
              </a:solidFill>
              <a:round/>
            </a:ln>
            <a:effectLst/>
          </c:spPr>
          <c:marker>
            <c:symbol val="circle"/>
            <c:size val="5"/>
            <c:spPr>
              <a:noFill/>
              <a:ln w="9525">
                <a:noFill/>
              </a:ln>
              <a:effectLst/>
            </c:spPr>
          </c:marker>
          <c:xVal>
            <c:numRef>
              <c:f>Solution!$BA$5:$BA$6</c:f>
              <c:numCache>
                <c:formatCode>0.0</c:formatCode>
                <c:ptCount val="2"/>
                <c:pt idx="0">
                  <c:v>0</c:v>
                </c:pt>
                <c:pt idx="1">
                  <c:v>0</c:v>
                </c:pt>
              </c:numCache>
            </c:numRef>
          </c:xVal>
          <c:yVal>
            <c:numRef>
              <c:f>Solution!$BB$5:$BB$6</c:f>
              <c:numCache>
                <c:formatCode>0.0</c:formatCode>
                <c:ptCount val="2"/>
                <c:pt idx="0">
                  <c:v>0</c:v>
                </c:pt>
                <c:pt idx="1">
                  <c:v>0</c:v>
                </c:pt>
              </c:numCache>
            </c:numRef>
          </c:yVal>
          <c:smooth val="1"/>
          <c:extLst>
            <c:ext xmlns:c16="http://schemas.microsoft.com/office/drawing/2014/chart" uri="{C3380CC4-5D6E-409C-BE32-E72D297353CC}">
              <c16:uniqueId val="{0000001E-4D3D-4790-8CB8-1867A54F05A8}"/>
            </c:ext>
          </c:extLst>
        </c:ser>
        <c:ser>
          <c:idx val="27"/>
          <c:order val="18"/>
          <c:tx>
            <c:v>Row 10 Left</c:v>
          </c:tx>
          <c:spPr>
            <a:ln w="50800" cap="rnd">
              <a:solidFill>
                <a:schemeClr val="tx1"/>
              </a:solidFill>
              <a:round/>
            </a:ln>
            <a:effectLst/>
          </c:spPr>
          <c:marker>
            <c:symbol val="circle"/>
            <c:size val="5"/>
            <c:spPr>
              <a:noFill/>
              <a:ln w="9525">
                <a:noFill/>
              </a:ln>
              <a:effectLst/>
            </c:spPr>
          </c:marker>
          <c:xVal>
            <c:numRef>
              <c:f>Solution!$AU$7:$AU$8</c:f>
              <c:numCache>
                <c:formatCode>0.0</c:formatCode>
                <c:ptCount val="2"/>
                <c:pt idx="0">
                  <c:v>0</c:v>
                </c:pt>
                <c:pt idx="1">
                  <c:v>0</c:v>
                </c:pt>
              </c:numCache>
            </c:numRef>
          </c:xVal>
          <c:yVal>
            <c:numRef>
              <c:f>Solution!$AV$7:$AV$8</c:f>
              <c:numCache>
                <c:formatCode>0.0</c:formatCode>
                <c:ptCount val="2"/>
                <c:pt idx="0">
                  <c:v>0</c:v>
                </c:pt>
                <c:pt idx="1">
                  <c:v>0</c:v>
                </c:pt>
              </c:numCache>
            </c:numRef>
          </c:yVal>
          <c:smooth val="1"/>
          <c:extLst>
            <c:ext xmlns:c16="http://schemas.microsoft.com/office/drawing/2014/chart" uri="{C3380CC4-5D6E-409C-BE32-E72D297353CC}">
              <c16:uniqueId val="{0000001F-4D3D-4790-8CB8-1867A54F05A8}"/>
            </c:ext>
          </c:extLst>
        </c:ser>
        <c:ser>
          <c:idx val="28"/>
          <c:order val="19"/>
          <c:tx>
            <c:v>Row 10 Right</c:v>
          </c:tx>
          <c:spPr>
            <a:ln w="50800" cap="rnd">
              <a:solidFill>
                <a:schemeClr val="tx1"/>
              </a:solidFill>
              <a:round/>
            </a:ln>
            <a:effectLst/>
          </c:spPr>
          <c:marker>
            <c:symbol val="circle"/>
            <c:size val="5"/>
            <c:spPr>
              <a:noFill/>
              <a:ln w="9525">
                <a:noFill/>
              </a:ln>
              <a:effectLst/>
            </c:spPr>
          </c:marker>
          <c:xVal>
            <c:numRef>
              <c:f>Solution!$BA$7:$BA$8</c:f>
              <c:numCache>
                <c:formatCode>0.0</c:formatCode>
                <c:ptCount val="2"/>
                <c:pt idx="0">
                  <c:v>0</c:v>
                </c:pt>
                <c:pt idx="1">
                  <c:v>0</c:v>
                </c:pt>
              </c:numCache>
            </c:numRef>
          </c:xVal>
          <c:yVal>
            <c:numRef>
              <c:f>Solution!$BB$7:$BB$8</c:f>
              <c:numCache>
                <c:formatCode>0.0</c:formatCode>
                <c:ptCount val="2"/>
                <c:pt idx="0">
                  <c:v>0</c:v>
                </c:pt>
                <c:pt idx="1">
                  <c:v>0</c:v>
                </c:pt>
              </c:numCache>
            </c:numRef>
          </c:yVal>
          <c:smooth val="1"/>
          <c:extLst>
            <c:ext xmlns:c16="http://schemas.microsoft.com/office/drawing/2014/chart" uri="{C3380CC4-5D6E-409C-BE32-E72D297353CC}">
              <c16:uniqueId val="{00000020-4D3D-4790-8CB8-1867A54F05A8}"/>
            </c:ext>
          </c:extLst>
        </c:ser>
        <c:ser>
          <c:idx val="29"/>
          <c:order val="20"/>
          <c:tx>
            <c:v>Row 9 Left</c:v>
          </c:tx>
          <c:spPr>
            <a:ln w="50800" cap="rnd">
              <a:solidFill>
                <a:schemeClr val="tx1"/>
              </a:solidFill>
              <a:round/>
            </a:ln>
            <a:effectLst/>
          </c:spPr>
          <c:marker>
            <c:symbol val="circle"/>
            <c:size val="5"/>
            <c:spPr>
              <a:noFill/>
              <a:ln w="9525">
                <a:noFill/>
              </a:ln>
              <a:effectLst/>
            </c:spPr>
          </c:marker>
          <c:xVal>
            <c:numRef>
              <c:f>Solution!$AU$9:$AU$10</c:f>
              <c:numCache>
                <c:formatCode>0.0</c:formatCode>
                <c:ptCount val="2"/>
                <c:pt idx="0">
                  <c:v>0</c:v>
                </c:pt>
                <c:pt idx="1">
                  <c:v>0</c:v>
                </c:pt>
              </c:numCache>
            </c:numRef>
          </c:xVal>
          <c:yVal>
            <c:numRef>
              <c:f>Solution!$AV$9:$AV$10</c:f>
              <c:numCache>
                <c:formatCode>0.0</c:formatCode>
                <c:ptCount val="2"/>
                <c:pt idx="0">
                  <c:v>0</c:v>
                </c:pt>
                <c:pt idx="1">
                  <c:v>0</c:v>
                </c:pt>
              </c:numCache>
            </c:numRef>
          </c:yVal>
          <c:smooth val="1"/>
          <c:extLst>
            <c:ext xmlns:c16="http://schemas.microsoft.com/office/drawing/2014/chart" uri="{C3380CC4-5D6E-409C-BE32-E72D297353CC}">
              <c16:uniqueId val="{00000021-4D3D-4790-8CB8-1867A54F05A8}"/>
            </c:ext>
          </c:extLst>
        </c:ser>
        <c:ser>
          <c:idx val="30"/>
          <c:order val="21"/>
          <c:tx>
            <c:v>Row 9 Right</c:v>
          </c:tx>
          <c:spPr>
            <a:ln w="50800" cap="rnd">
              <a:solidFill>
                <a:schemeClr val="tx1"/>
              </a:solidFill>
              <a:round/>
            </a:ln>
            <a:effectLst/>
          </c:spPr>
          <c:marker>
            <c:symbol val="circle"/>
            <c:size val="5"/>
            <c:spPr>
              <a:noFill/>
              <a:ln w="9525">
                <a:noFill/>
              </a:ln>
              <a:effectLst/>
            </c:spPr>
          </c:marker>
          <c:xVal>
            <c:numRef>
              <c:f>Solution!$BA$9:$BA$10</c:f>
              <c:numCache>
                <c:formatCode>0.0</c:formatCode>
                <c:ptCount val="2"/>
                <c:pt idx="0">
                  <c:v>0</c:v>
                </c:pt>
                <c:pt idx="1">
                  <c:v>0</c:v>
                </c:pt>
              </c:numCache>
            </c:numRef>
          </c:xVal>
          <c:yVal>
            <c:numRef>
              <c:f>Solution!$BB$9:$BB$10</c:f>
              <c:numCache>
                <c:formatCode>0.0</c:formatCode>
                <c:ptCount val="2"/>
                <c:pt idx="0">
                  <c:v>0</c:v>
                </c:pt>
                <c:pt idx="1">
                  <c:v>0</c:v>
                </c:pt>
              </c:numCache>
            </c:numRef>
          </c:yVal>
          <c:smooth val="1"/>
          <c:extLst>
            <c:ext xmlns:c16="http://schemas.microsoft.com/office/drawing/2014/chart" uri="{C3380CC4-5D6E-409C-BE32-E72D297353CC}">
              <c16:uniqueId val="{00000022-4D3D-4790-8CB8-1867A54F05A8}"/>
            </c:ext>
          </c:extLst>
        </c:ser>
        <c:ser>
          <c:idx val="31"/>
          <c:order val="22"/>
          <c:tx>
            <c:v>Row 8 Left</c:v>
          </c:tx>
          <c:spPr>
            <a:ln w="50800" cap="rnd">
              <a:solidFill>
                <a:schemeClr val="tx1"/>
              </a:solidFill>
              <a:round/>
            </a:ln>
            <a:effectLst/>
          </c:spPr>
          <c:marker>
            <c:symbol val="circle"/>
            <c:size val="5"/>
            <c:spPr>
              <a:noFill/>
              <a:ln w="9525">
                <a:noFill/>
              </a:ln>
              <a:effectLst/>
            </c:spPr>
          </c:marker>
          <c:xVal>
            <c:numRef>
              <c:f>Solution!$AU$11:$AU$12</c:f>
              <c:numCache>
                <c:formatCode>0.0</c:formatCode>
                <c:ptCount val="2"/>
                <c:pt idx="0">
                  <c:v>0</c:v>
                </c:pt>
                <c:pt idx="1">
                  <c:v>0</c:v>
                </c:pt>
              </c:numCache>
            </c:numRef>
          </c:xVal>
          <c:yVal>
            <c:numRef>
              <c:f>Solution!$AV$11:$AV$12</c:f>
              <c:numCache>
                <c:formatCode>0.0</c:formatCode>
                <c:ptCount val="2"/>
                <c:pt idx="0">
                  <c:v>0</c:v>
                </c:pt>
                <c:pt idx="1">
                  <c:v>0</c:v>
                </c:pt>
              </c:numCache>
            </c:numRef>
          </c:yVal>
          <c:smooth val="1"/>
          <c:extLst>
            <c:ext xmlns:c16="http://schemas.microsoft.com/office/drawing/2014/chart" uri="{C3380CC4-5D6E-409C-BE32-E72D297353CC}">
              <c16:uniqueId val="{00000023-4D3D-4790-8CB8-1867A54F05A8}"/>
            </c:ext>
          </c:extLst>
        </c:ser>
        <c:ser>
          <c:idx val="32"/>
          <c:order val="23"/>
          <c:tx>
            <c:v>Row 8 Right</c:v>
          </c:tx>
          <c:spPr>
            <a:ln w="50800" cap="rnd">
              <a:solidFill>
                <a:schemeClr val="tx1"/>
              </a:solidFill>
              <a:round/>
            </a:ln>
            <a:effectLst/>
          </c:spPr>
          <c:marker>
            <c:symbol val="circle"/>
            <c:size val="5"/>
            <c:spPr>
              <a:noFill/>
              <a:ln w="9525">
                <a:noFill/>
              </a:ln>
              <a:effectLst/>
            </c:spPr>
          </c:marker>
          <c:xVal>
            <c:numRef>
              <c:f>Solution!$BA$11:$BA$12</c:f>
              <c:numCache>
                <c:formatCode>0.0</c:formatCode>
                <c:ptCount val="2"/>
                <c:pt idx="0">
                  <c:v>0</c:v>
                </c:pt>
                <c:pt idx="1">
                  <c:v>0</c:v>
                </c:pt>
              </c:numCache>
            </c:numRef>
          </c:xVal>
          <c:yVal>
            <c:numRef>
              <c:f>Solution!$BB$11:$BB$12</c:f>
              <c:numCache>
                <c:formatCode>0.0</c:formatCode>
                <c:ptCount val="2"/>
                <c:pt idx="0">
                  <c:v>0</c:v>
                </c:pt>
                <c:pt idx="1">
                  <c:v>0</c:v>
                </c:pt>
              </c:numCache>
            </c:numRef>
          </c:yVal>
          <c:smooth val="1"/>
          <c:extLst>
            <c:ext xmlns:c16="http://schemas.microsoft.com/office/drawing/2014/chart" uri="{C3380CC4-5D6E-409C-BE32-E72D297353CC}">
              <c16:uniqueId val="{00000024-4D3D-4790-8CB8-1867A54F05A8}"/>
            </c:ext>
          </c:extLst>
        </c:ser>
        <c:ser>
          <c:idx val="33"/>
          <c:order val="24"/>
          <c:tx>
            <c:v>Row 7 Left</c:v>
          </c:tx>
          <c:spPr>
            <a:ln w="50800" cap="rnd">
              <a:solidFill>
                <a:schemeClr val="tx1"/>
              </a:solidFill>
              <a:round/>
            </a:ln>
            <a:effectLst/>
          </c:spPr>
          <c:marker>
            <c:symbol val="circle"/>
            <c:size val="5"/>
            <c:spPr>
              <a:noFill/>
              <a:ln w="9525">
                <a:noFill/>
              </a:ln>
              <a:effectLst/>
            </c:spPr>
          </c:marker>
          <c:xVal>
            <c:numRef>
              <c:f>Solution!$AU$13:$AU$14</c:f>
              <c:numCache>
                <c:formatCode>0.0</c:formatCode>
                <c:ptCount val="2"/>
                <c:pt idx="0">
                  <c:v>0</c:v>
                </c:pt>
                <c:pt idx="1">
                  <c:v>0</c:v>
                </c:pt>
              </c:numCache>
            </c:numRef>
          </c:xVal>
          <c:yVal>
            <c:numRef>
              <c:f>Solution!$AV$13:$AV$14</c:f>
              <c:numCache>
                <c:formatCode>0.0</c:formatCode>
                <c:ptCount val="2"/>
                <c:pt idx="0">
                  <c:v>0</c:v>
                </c:pt>
                <c:pt idx="1">
                  <c:v>0</c:v>
                </c:pt>
              </c:numCache>
            </c:numRef>
          </c:yVal>
          <c:smooth val="1"/>
          <c:extLst>
            <c:ext xmlns:c16="http://schemas.microsoft.com/office/drawing/2014/chart" uri="{C3380CC4-5D6E-409C-BE32-E72D297353CC}">
              <c16:uniqueId val="{00000025-4D3D-4790-8CB8-1867A54F05A8}"/>
            </c:ext>
          </c:extLst>
        </c:ser>
        <c:ser>
          <c:idx val="34"/>
          <c:order val="25"/>
          <c:tx>
            <c:v>Row 7 Right</c:v>
          </c:tx>
          <c:spPr>
            <a:ln w="50800" cap="rnd">
              <a:solidFill>
                <a:schemeClr val="tx1"/>
              </a:solidFill>
              <a:round/>
            </a:ln>
            <a:effectLst/>
          </c:spPr>
          <c:marker>
            <c:symbol val="circle"/>
            <c:size val="5"/>
            <c:spPr>
              <a:noFill/>
              <a:ln w="9525">
                <a:noFill/>
              </a:ln>
              <a:effectLst/>
            </c:spPr>
          </c:marker>
          <c:xVal>
            <c:numRef>
              <c:f>Solution!$BA$13:$BA$14</c:f>
              <c:numCache>
                <c:formatCode>0.0</c:formatCode>
                <c:ptCount val="2"/>
                <c:pt idx="0">
                  <c:v>0</c:v>
                </c:pt>
                <c:pt idx="1">
                  <c:v>0</c:v>
                </c:pt>
              </c:numCache>
            </c:numRef>
          </c:xVal>
          <c:yVal>
            <c:numRef>
              <c:f>Solution!$BB$13:$BB$14</c:f>
              <c:numCache>
                <c:formatCode>0.0</c:formatCode>
                <c:ptCount val="2"/>
                <c:pt idx="0">
                  <c:v>0</c:v>
                </c:pt>
                <c:pt idx="1">
                  <c:v>0</c:v>
                </c:pt>
              </c:numCache>
            </c:numRef>
          </c:yVal>
          <c:smooth val="1"/>
          <c:extLst>
            <c:ext xmlns:c16="http://schemas.microsoft.com/office/drawing/2014/chart" uri="{C3380CC4-5D6E-409C-BE32-E72D297353CC}">
              <c16:uniqueId val="{00000026-4D3D-4790-8CB8-1867A54F05A8}"/>
            </c:ext>
          </c:extLst>
        </c:ser>
        <c:ser>
          <c:idx val="35"/>
          <c:order val="26"/>
          <c:tx>
            <c:v>Row 6 Left</c:v>
          </c:tx>
          <c:spPr>
            <a:ln w="25400" cap="rnd">
              <a:gradFill>
                <a:gsLst>
                  <a:gs pos="0">
                    <a:srgbClr val="FF0000"/>
                  </a:gs>
                  <a:gs pos="56000">
                    <a:srgbClr val="0070C0"/>
                  </a:gs>
                  <a:gs pos="100000">
                    <a:schemeClr val="accent1">
                      <a:lumMod val="30000"/>
                      <a:lumOff val="70000"/>
                    </a:schemeClr>
                  </a:gs>
                </a:gsLst>
                <a:lin ang="5400000" scaled="1"/>
              </a:gradFill>
              <a:round/>
            </a:ln>
            <a:effectLst/>
          </c:spPr>
          <c:marker>
            <c:symbol val="circle"/>
            <c:size val="5"/>
            <c:spPr>
              <a:noFill/>
              <a:ln w="9525">
                <a:noFill/>
              </a:ln>
              <a:effectLst/>
            </c:spPr>
          </c:marker>
          <c:dPt>
            <c:idx val="1"/>
            <c:marker>
              <c:symbol val="circle"/>
              <c:size val="5"/>
              <c:spPr>
                <a:noFill/>
                <a:ln w="9525">
                  <a:noFill/>
                </a:ln>
                <a:effectLst/>
              </c:spPr>
            </c:marker>
            <c:bubble3D val="0"/>
            <c:spPr>
              <a:ln w="50800" cap="rnd">
                <a:solidFill>
                  <a:schemeClr val="tx1"/>
                </a:solidFill>
                <a:round/>
              </a:ln>
              <a:effectLst/>
            </c:spPr>
            <c:extLst>
              <c:ext xmlns:c16="http://schemas.microsoft.com/office/drawing/2014/chart" uri="{C3380CC4-5D6E-409C-BE32-E72D297353CC}">
                <c16:uniqueId val="{00000028-4D3D-4790-8CB8-1867A54F05A8}"/>
              </c:ext>
            </c:extLst>
          </c:dPt>
          <c:xVal>
            <c:numRef>
              <c:f>Solution!$AX$3:$AX$4</c:f>
              <c:numCache>
                <c:formatCode>0.0</c:formatCode>
                <c:ptCount val="2"/>
                <c:pt idx="0">
                  <c:v>0</c:v>
                </c:pt>
                <c:pt idx="1">
                  <c:v>0</c:v>
                </c:pt>
              </c:numCache>
            </c:numRef>
          </c:xVal>
          <c:yVal>
            <c:numRef>
              <c:f>Solution!$AY$3:$AY$4</c:f>
              <c:numCache>
                <c:formatCode>0.0</c:formatCode>
                <c:ptCount val="2"/>
                <c:pt idx="0">
                  <c:v>0</c:v>
                </c:pt>
                <c:pt idx="1">
                  <c:v>0</c:v>
                </c:pt>
              </c:numCache>
            </c:numRef>
          </c:yVal>
          <c:smooth val="1"/>
          <c:extLst>
            <c:ext xmlns:c16="http://schemas.microsoft.com/office/drawing/2014/chart" uri="{C3380CC4-5D6E-409C-BE32-E72D297353CC}">
              <c16:uniqueId val="{00000029-4D3D-4790-8CB8-1867A54F05A8}"/>
            </c:ext>
          </c:extLst>
        </c:ser>
        <c:ser>
          <c:idx val="36"/>
          <c:order val="27"/>
          <c:tx>
            <c:v>Row 6 Right</c:v>
          </c:tx>
          <c:spPr>
            <a:ln w="50800" cap="rnd">
              <a:solidFill>
                <a:schemeClr val="tx1"/>
              </a:solidFill>
              <a:round/>
            </a:ln>
            <a:effectLst/>
          </c:spPr>
          <c:marker>
            <c:symbol val="circle"/>
            <c:size val="5"/>
            <c:spPr>
              <a:noFill/>
              <a:ln w="9525">
                <a:noFill/>
              </a:ln>
              <a:effectLst/>
            </c:spPr>
          </c:marker>
          <c:xVal>
            <c:numRef>
              <c:f>Solution!$BD$3:$BD$4</c:f>
              <c:numCache>
                <c:formatCode>0.0</c:formatCode>
                <c:ptCount val="2"/>
                <c:pt idx="0">
                  <c:v>0</c:v>
                </c:pt>
                <c:pt idx="1">
                  <c:v>0</c:v>
                </c:pt>
              </c:numCache>
            </c:numRef>
          </c:xVal>
          <c:yVal>
            <c:numRef>
              <c:f>Solution!$BE$3:$BE$4</c:f>
              <c:numCache>
                <c:formatCode>0.0</c:formatCode>
                <c:ptCount val="2"/>
                <c:pt idx="0">
                  <c:v>0</c:v>
                </c:pt>
                <c:pt idx="1">
                  <c:v>0</c:v>
                </c:pt>
              </c:numCache>
            </c:numRef>
          </c:yVal>
          <c:smooth val="1"/>
          <c:extLst>
            <c:ext xmlns:c16="http://schemas.microsoft.com/office/drawing/2014/chart" uri="{C3380CC4-5D6E-409C-BE32-E72D297353CC}">
              <c16:uniqueId val="{0000002A-4D3D-4790-8CB8-1867A54F05A8}"/>
            </c:ext>
          </c:extLst>
        </c:ser>
        <c:ser>
          <c:idx val="37"/>
          <c:order val="28"/>
          <c:tx>
            <c:v>Row 5 Left</c:v>
          </c:tx>
          <c:spPr>
            <a:ln w="50800" cap="rnd">
              <a:solidFill>
                <a:schemeClr val="tx1"/>
              </a:solidFill>
              <a:round/>
            </a:ln>
            <a:effectLst/>
          </c:spPr>
          <c:marker>
            <c:symbol val="circle"/>
            <c:size val="5"/>
            <c:spPr>
              <a:noFill/>
              <a:ln w="9525">
                <a:noFill/>
              </a:ln>
              <a:effectLst/>
            </c:spPr>
          </c:marker>
          <c:xVal>
            <c:numRef>
              <c:f>Solution!$AX$5:$AX$6</c:f>
              <c:numCache>
                <c:formatCode>0.0</c:formatCode>
                <c:ptCount val="2"/>
                <c:pt idx="0">
                  <c:v>0</c:v>
                </c:pt>
                <c:pt idx="1">
                  <c:v>0</c:v>
                </c:pt>
              </c:numCache>
            </c:numRef>
          </c:xVal>
          <c:yVal>
            <c:numRef>
              <c:f>Solution!$AY$5:$AY$6</c:f>
              <c:numCache>
                <c:formatCode>0.0</c:formatCode>
                <c:ptCount val="2"/>
                <c:pt idx="0">
                  <c:v>0</c:v>
                </c:pt>
                <c:pt idx="1">
                  <c:v>0</c:v>
                </c:pt>
              </c:numCache>
            </c:numRef>
          </c:yVal>
          <c:smooth val="1"/>
          <c:extLst>
            <c:ext xmlns:c16="http://schemas.microsoft.com/office/drawing/2014/chart" uri="{C3380CC4-5D6E-409C-BE32-E72D297353CC}">
              <c16:uniqueId val="{0000002B-4D3D-4790-8CB8-1867A54F05A8}"/>
            </c:ext>
          </c:extLst>
        </c:ser>
        <c:ser>
          <c:idx val="38"/>
          <c:order val="29"/>
          <c:tx>
            <c:v>Row 5 Right</c:v>
          </c:tx>
          <c:spPr>
            <a:ln w="50800" cap="rnd">
              <a:solidFill>
                <a:schemeClr val="tx1"/>
              </a:solidFill>
              <a:round/>
            </a:ln>
            <a:effectLst/>
          </c:spPr>
          <c:marker>
            <c:symbol val="circle"/>
            <c:size val="5"/>
            <c:spPr>
              <a:noFill/>
              <a:ln w="9525">
                <a:noFill/>
              </a:ln>
              <a:effectLst/>
            </c:spPr>
          </c:marker>
          <c:xVal>
            <c:numRef>
              <c:f>Solution!$BD$5:$BD$6</c:f>
              <c:numCache>
                <c:formatCode>0.0</c:formatCode>
                <c:ptCount val="2"/>
                <c:pt idx="0">
                  <c:v>0</c:v>
                </c:pt>
                <c:pt idx="1">
                  <c:v>0</c:v>
                </c:pt>
              </c:numCache>
            </c:numRef>
          </c:xVal>
          <c:yVal>
            <c:numRef>
              <c:f>Solution!$BE$5:$BE$6</c:f>
              <c:numCache>
                <c:formatCode>0.0</c:formatCode>
                <c:ptCount val="2"/>
                <c:pt idx="0">
                  <c:v>0</c:v>
                </c:pt>
                <c:pt idx="1">
                  <c:v>0</c:v>
                </c:pt>
              </c:numCache>
            </c:numRef>
          </c:yVal>
          <c:smooth val="1"/>
          <c:extLst>
            <c:ext xmlns:c16="http://schemas.microsoft.com/office/drawing/2014/chart" uri="{C3380CC4-5D6E-409C-BE32-E72D297353CC}">
              <c16:uniqueId val="{0000002C-4D3D-4790-8CB8-1867A54F05A8}"/>
            </c:ext>
          </c:extLst>
        </c:ser>
        <c:ser>
          <c:idx val="39"/>
          <c:order val="30"/>
          <c:tx>
            <c:v>Row 4 Left</c:v>
          </c:tx>
          <c:spPr>
            <a:ln w="50800" cap="rnd">
              <a:solidFill>
                <a:schemeClr val="tx1"/>
              </a:solidFill>
              <a:round/>
            </a:ln>
            <a:effectLst/>
          </c:spPr>
          <c:marker>
            <c:symbol val="circle"/>
            <c:size val="5"/>
            <c:spPr>
              <a:noFill/>
              <a:ln w="9525">
                <a:noFill/>
              </a:ln>
              <a:effectLst/>
            </c:spPr>
          </c:marker>
          <c:xVal>
            <c:numRef>
              <c:f>Solution!$AX$7:$AX$8</c:f>
              <c:numCache>
                <c:formatCode>0.0</c:formatCode>
                <c:ptCount val="2"/>
                <c:pt idx="0">
                  <c:v>0</c:v>
                </c:pt>
                <c:pt idx="1">
                  <c:v>0</c:v>
                </c:pt>
              </c:numCache>
            </c:numRef>
          </c:xVal>
          <c:yVal>
            <c:numRef>
              <c:f>Solution!$AY$7:$AY$8</c:f>
              <c:numCache>
                <c:formatCode>0.0</c:formatCode>
                <c:ptCount val="2"/>
                <c:pt idx="0">
                  <c:v>0</c:v>
                </c:pt>
                <c:pt idx="1">
                  <c:v>0</c:v>
                </c:pt>
              </c:numCache>
            </c:numRef>
          </c:yVal>
          <c:smooth val="1"/>
          <c:extLst>
            <c:ext xmlns:c16="http://schemas.microsoft.com/office/drawing/2014/chart" uri="{C3380CC4-5D6E-409C-BE32-E72D297353CC}">
              <c16:uniqueId val="{0000002D-4D3D-4790-8CB8-1867A54F05A8}"/>
            </c:ext>
          </c:extLst>
        </c:ser>
        <c:ser>
          <c:idx val="40"/>
          <c:order val="31"/>
          <c:tx>
            <c:v>Row 4 Right</c:v>
          </c:tx>
          <c:spPr>
            <a:ln w="50800" cap="rnd">
              <a:solidFill>
                <a:schemeClr val="tx1"/>
              </a:solidFill>
              <a:round/>
            </a:ln>
            <a:effectLst/>
          </c:spPr>
          <c:marker>
            <c:symbol val="circle"/>
            <c:size val="5"/>
            <c:spPr>
              <a:noFill/>
              <a:ln w="9525">
                <a:noFill/>
              </a:ln>
              <a:effectLst/>
            </c:spPr>
          </c:marker>
          <c:xVal>
            <c:numRef>
              <c:f>Solution!$BD$7:$BD$8</c:f>
              <c:numCache>
                <c:formatCode>0.0</c:formatCode>
                <c:ptCount val="2"/>
                <c:pt idx="0">
                  <c:v>0</c:v>
                </c:pt>
                <c:pt idx="1">
                  <c:v>0</c:v>
                </c:pt>
              </c:numCache>
            </c:numRef>
          </c:xVal>
          <c:yVal>
            <c:numRef>
              <c:f>Solution!$BE$7:$BE$8</c:f>
              <c:numCache>
                <c:formatCode>0.0</c:formatCode>
                <c:ptCount val="2"/>
                <c:pt idx="0">
                  <c:v>0</c:v>
                </c:pt>
                <c:pt idx="1">
                  <c:v>0</c:v>
                </c:pt>
              </c:numCache>
            </c:numRef>
          </c:yVal>
          <c:smooth val="1"/>
          <c:extLst>
            <c:ext xmlns:c16="http://schemas.microsoft.com/office/drawing/2014/chart" uri="{C3380CC4-5D6E-409C-BE32-E72D297353CC}">
              <c16:uniqueId val="{0000002E-4D3D-4790-8CB8-1867A54F05A8}"/>
            </c:ext>
          </c:extLst>
        </c:ser>
        <c:ser>
          <c:idx val="41"/>
          <c:order val="32"/>
          <c:tx>
            <c:v>Row 3 Left</c:v>
          </c:tx>
          <c:spPr>
            <a:ln w="50800" cap="rnd">
              <a:solidFill>
                <a:schemeClr val="tx1"/>
              </a:solidFill>
              <a:round/>
            </a:ln>
            <a:effectLst/>
          </c:spPr>
          <c:marker>
            <c:symbol val="circle"/>
            <c:size val="5"/>
            <c:spPr>
              <a:noFill/>
              <a:ln w="9525">
                <a:noFill/>
              </a:ln>
              <a:effectLst/>
            </c:spPr>
          </c:marker>
          <c:xVal>
            <c:numRef>
              <c:f>Solution!$AX$9:$AX$10</c:f>
              <c:numCache>
                <c:formatCode>0.0</c:formatCode>
                <c:ptCount val="2"/>
                <c:pt idx="0">
                  <c:v>3.4289999999999998</c:v>
                </c:pt>
                <c:pt idx="1">
                  <c:v>7.2389999999999999</c:v>
                </c:pt>
              </c:numCache>
            </c:numRef>
          </c:xVal>
          <c:yVal>
            <c:numRef>
              <c:f>Solution!$AY$9:$AY$10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2F-4D3D-4790-8CB8-1867A54F05A8}"/>
            </c:ext>
          </c:extLst>
        </c:ser>
        <c:ser>
          <c:idx val="42"/>
          <c:order val="33"/>
          <c:tx>
            <c:v>Row 3 Right</c:v>
          </c:tx>
          <c:spPr>
            <a:ln w="50800" cap="rnd">
              <a:solidFill>
                <a:schemeClr val="tx1"/>
              </a:solidFill>
              <a:round/>
            </a:ln>
            <a:effectLst/>
          </c:spPr>
          <c:marker>
            <c:symbol val="circle"/>
            <c:size val="5"/>
            <c:spPr>
              <a:noFill/>
              <a:ln w="9525">
                <a:noFill/>
              </a:ln>
              <a:effectLst/>
            </c:spPr>
          </c:marker>
          <c:xVal>
            <c:numRef>
              <c:f>Solution!$BD$9:$BD$10</c:f>
              <c:numCache>
                <c:formatCode>0.0</c:formatCode>
                <c:ptCount val="2"/>
                <c:pt idx="0">
                  <c:v>-3.4289999999999998</c:v>
                </c:pt>
                <c:pt idx="1">
                  <c:v>-7.2389999999999999</c:v>
                </c:pt>
              </c:numCache>
            </c:numRef>
          </c:xVal>
          <c:yVal>
            <c:numRef>
              <c:f>Solution!$BE$9:$BE$10</c:f>
              <c:numCache>
                <c:formatCode>0.0</c:formatCode>
                <c:ptCount val="2"/>
                <c:pt idx="0">
                  <c:v>32.733999999999995</c:v>
                </c:pt>
                <c:pt idx="1">
                  <c:v>32.733999999999995</c:v>
                </c:pt>
              </c:numCache>
            </c:numRef>
          </c:yVal>
          <c:smooth val="1"/>
          <c:extLst>
            <c:ext xmlns:c16="http://schemas.microsoft.com/office/drawing/2014/chart" uri="{C3380CC4-5D6E-409C-BE32-E72D297353CC}">
              <c16:uniqueId val="{00000030-4D3D-4790-8CB8-1867A54F05A8}"/>
            </c:ext>
          </c:extLst>
        </c:ser>
        <c:ser>
          <c:idx val="43"/>
          <c:order val="34"/>
          <c:tx>
            <c:v>Row 2 Left</c:v>
          </c:tx>
          <c:spPr>
            <a:ln w="50800" cap="rnd">
              <a:solidFill>
                <a:schemeClr val="tx1"/>
              </a:solidFill>
              <a:round/>
            </a:ln>
            <a:effectLst/>
          </c:spPr>
          <c:marker>
            <c:symbol val="circle"/>
            <c:size val="5"/>
            <c:spPr>
              <a:noFill/>
              <a:ln w="9525">
                <a:noFill/>
              </a:ln>
              <a:effectLst/>
            </c:spPr>
          </c:marker>
          <c:xVal>
            <c:numRef>
              <c:f>Solution!$AX$11:$AX$12</c:f>
              <c:numCache>
                <c:formatCode>0.0</c:formatCode>
                <c:ptCount val="2"/>
                <c:pt idx="0">
                  <c:v>2.9209999999999998</c:v>
                </c:pt>
                <c:pt idx="1">
                  <c:v>6.7309999999999999</c:v>
                </c:pt>
              </c:numCache>
            </c:numRef>
          </c:xVal>
          <c:yVal>
            <c:numRef>
              <c:f>Solution!$AY$11:$AY$12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1-4D3D-4790-8CB8-1867A54F05A8}"/>
            </c:ext>
          </c:extLst>
        </c:ser>
        <c:ser>
          <c:idx val="44"/>
          <c:order val="35"/>
          <c:tx>
            <c:v>Row 2 Right</c:v>
          </c:tx>
          <c:spPr>
            <a:ln w="50800" cap="rnd">
              <a:solidFill>
                <a:schemeClr val="tx1"/>
              </a:solidFill>
              <a:round/>
            </a:ln>
            <a:effectLst/>
          </c:spPr>
          <c:marker>
            <c:symbol val="circle"/>
            <c:size val="5"/>
            <c:spPr>
              <a:noFill/>
              <a:ln w="9525">
                <a:noFill/>
              </a:ln>
              <a:effectLst/>
            </c:spPr>
          </c:marker>
          <c:xVal>
            <c:numRef>
              <c:f>Solution!$BD$11:$BD$12</c:f>
              <c:numCache>
                <c:formatCode>0.0</c:formatCode>
                <c:ptCount val="2"/>
                <c:pt idx="0">
                  <c:v>-2.9209999999999998</c:v>
                </c:pt>
                <c:pt idx="1">
                  <c:v>-6.7309999999999999</c:v>
                </c:pt>
              </c:numCache>
            </c:numRef>
          </c:xVal>
          <c:yVal>
            <c:numRef>
              <c:f>Solution!$BE$11:$BE$12</c:f>
              <c:numCache>
                <c:formatCode>0.0</c:formatCode>
                <c:ptCount val="2"/>
                <c:pt idx="0">
                  <c:v>28.161999999999999</c:v>
                </c:pt>
                <c:pt idx="1">
                  <c:v>28.161999999999999</c:v>
                </c:pt>
              </c:numCache>
            </c:numRef>
          </c:yVal>
          <c:smooth val="1"/>
          <c:extLst>
            <c:ext xmlns:c16="http://schemas.microsoft.com/office/drawing/2014/chart" uri="{C3380CC4-5D6E-409C-BE32-E72D297353CC}">
              <c16:uniqueId val="{00000032-4D3D-4790-8CB8-1867A54F05A8}"/>
            </c:ext>
          </c:extLst>
        </c:ser>
        <c:ser>
          <c:idx val="45"/>
          <c:order val="36"/>
          <c:tx>
            <c:v>Row 1 Left</c:v>
          </c:tx>
          <c:spPr>
            <a:ln w="50800" cap="rnd">
              <a:solidFill>
                <a:schemeClr val="tx1"/>
              </a:solidFill>
              <a:round/>
            </a:ln>
            <a:effectLst/>
          </c:spPr>
          <c:marker>
            <c:symbol val="circle"/>
            <c:size val="5"/>
            <c:spPr>
              <a:noFill/>
              <a:ln w="9525">
                <a:noFill/>
              </a:ln>
              <a:effectLst/>
            </c:spPr>
          </c:marker>
          <c:xVal>
            <c:numRef>
              <c:f>Solution!$AX$13:$AX$14</c:f>
              <c:numCache>
                <c:formatCode>0.0</c:formatCode>
                <c:ptCount val="2"/>
                <c:pt idx="0">
                  <c:v>2.4129999999999998</c:v>
                </c:pt>
                <c:pt idx="1">
                  <c:v>6.2229999999999999</c:v>
                </c:pt>
              </c:numCache>
            </c:numRef>
          </c:xVal>
          <c:yVal>
            <c:numRef>
              <c:f>Solution!$AY$13:$AY$14</c:f>
              <c:numCache>
                <c:formatCode>0.0</c:formatCode>
                <c:ptCount val="2"/>
                <c:pt idx="0">
                  <c:v>23.59</c:v>
                </c:pt>
                <c:pt idx="1">
                  <c:v>23.59</c:v>
                </c:pt>
              </c:numCache>
            </c:numRef>
          </c:yVal>
          <c:smooth val="1"/>
          <c:extLst>
            <c:ext xmlns:c16="http://schemas.microsoft.com/office/drawing/2014/chart" uri="{C3380CC4-5D6E-409C-BE32-E72D297353CC}">
              <c16:uniqueId val="{00000033-4D3D-4790-8CB8-1867A54F05A8}"/>
            </c:ext>
          </c:extLst>
        </c:ser>
        <c:ser>
          <c:idx val="46"/>
          <c:order val="37"/>
          <c:tx>
            <c:v>Row 1 Right</c:v>
          </c:tx>
          <c:spPr>
            <a:ln w="50800" cap="rnd">
              <a:solidFill>
                <a:schemeClr val="tx1"/>
              </a:solidFill>
              <a:round/>
            </a:ln>
            <a:effectLst/>
          </c:spPr>
          <c:marker>
            <c:symbol val="circle"/>
            <c:size val="5"/>
            <c:spPr>
              <a:noFill/>
              <a:ln w="9525">
                <a:noFill/>
              </a:ln>
              <a:effectLst/>
            </c:spPr>
          </c:marker>
          <c:xVal>
            <c:numRef>
              <c:f>Solution!$BD$13:$BD$14</c:f>
              <c:numCache>
                <c:formatCode>0.0</c:formatCode>
                <c:ptCount val="2"/>
                <c:pt idx="0">
                  <c:v>-2.4129999999999998</c:v>
                </c:pt>
                <c:pt idx="1">
                  <c:v>-6.2229999999999999</c:v>
                </c:pt>
              </c:numCache>
            </c:numRef>
          </c:xVal>
          <c:yVal>
            <c:numRef>
              <c:f>Solution!$BE$13:$BE$14</c:f>
              <c:numCache>
                <c:formatCode>0.0</c:formatCode>
                <c:ptCount val="2"/>
                <c:pt idx="0">
                  <c:v>23.59</c:v>
                </c:pt>
                <c:pt idx="1">
                  <c:v>23.59</c:v>
                </c:pt>
              </c:numCache>
            </c:numRef>
          </c:yVal>
          <c:smooth val="1"/>
          <c:extLst>
            <c:ext xmlns:c16="http://schemas.microsoft.com/office/drawing/2014/chart" uri="{C3380CC4-5D6E-409C-BE32-E72D297353CC}">
              <c16:uniqueId val="{00000034-4D3D-4790-8CB8-1867A54F05A8}"/>
            </c:ext>
          </c:extLst>
        </c:ser>
        <c:ser>
          <c:idx val="47"/>
          <c:order val="38"/>
          <c:tx>
            <c:v>Crotch 1</c:v>
          </c:tx>
          <c:spPr>
            <a:ln w="50800" cap="rnd">
              <a:solidFill>
                <a:schemeClr val="tx1"/>
              </a:solidFill>
              <a:round/>
            </a:ln>
            <a:effectLst/>
          </c:spPr>
          <c:marker>
            <c:symbol val="circle"/>
            <c:size val="5"/>
            <c:spPr>
              <a:noFill/>
              <a:ln w="9525">
                <a:noFill/>
              </a:ln>
              <a:effectLst/>
            </c:spPr>
          </c:marker>
          <c:xVal>
            <c:numRef>
              <c:f>Solution!$BA$26:$BA$27</c:f>
              <c:numCache>
                <c:formatCode>General</c:formatCode>
                <c:ptCount val="2"/>
                <c:pt idx="0">
                  <c:v>-1.9</c:v>
                </c:pt>
                <c:pt idx="1">
                  <c:v>1.9</c:v>
                </c:pt>
              </c:numCache>
            </c:numRef>
          </c:xVal>
          <c:yVal>
            <c:numRef>
              <c:f>Solution!$BB$26:$BB$27</c:f>
              <c:numCache>
                <c:formatCode>0.0</c:formatCode>
                <c:ptCount val="2"/>
                <c:pt idx="0">
                  <c:v>-13.641839999999998</c:v>
                </c:pt>
                <c:pt idx="1">
                  <c:v>-13.641839999999998</c:v>
                </c:pt>
              </c:numCache>
            </c:numRef>
          </c:yVal>
          <c:smooth val="1"/>
          <c:extLst>
            <c:ext xmlns:c16="http://schemas.microsoft.com/office/drawing/2014/chart" uri="{C3380CC4-5D6E-409C-BE32-E72D297353CC}">
              <c16:uniqueId val="{00000035-4D3D-4790-8CB8-1867A54F05A8}"/>
            </c:ext>
          </c:extLst>
        </c:ser>
        <c:ser>
          <c:idx val="48"/>
          <c:order val="39"/>
          <c:tx>
            <c:v>Crotch 2</c:v>
          </c:tx>
          <c:spPr>
            <a:ln w="47625" cap="rnd">
              <a:solidFill>
                <a:schemeClr val="tx1"/>
              </a:solidFill>
              <a:round/>
            </a:ln>
            <a:effectLst/>
          </c:spPr>
          <c:marker>
            <c:symbol val="circle"/>
            <c:size val="5"/>
            <c:spPr>
              <a:noFill/>
              <a:ln w="9525">
                <a:noFill/>
              </a:ln>
              <a:effectLst/>
            </c:spPr>
          </c:marker>
          <c:xVal>
            <c:numRef>
              <c:f>Solution!$BA$28:$BA$29</c:f>
              <c:numCache>
                <c:formatCode>General</c:formatCode>
                <c:ptCount val="2"/>
                <c:pt idx="0">
                  <c:v>0</c:v>
                </c:pt>
                <c:pt idx="1">
                  <c:v>0</c:v>
                </c:pt>
              </c:numCache>
            </c:numRef>
          </c:xVal>
          <c:yVal>
            <c:numRef>
              <c:f>Solution!$BB$28:$BB$29</c:f>
              <c:numCache>
                <c:formatCode>0.0</c:formatCode>
                <c:ptCount val="2"/>
                <c:pt idx="0">
                  <c:v>0</c:v>
                </c:pt>
                <c:pt idx="1">
                  <c:v>0</c:v>
                </c:pt>
              </c:numCache>
            </c:numRef>
          </c:yVal>
          <c:smooth val="1"/>
          <c:extLst>
            <c:ext xmlns:c16="http://schemas.microsoft.com/office/drawing/2014/chart" uri="{C3380CC4-5D6E-409C-BE32-E72D297353CC}">
              <c16:uniqueId val="{00000036-4D3D-4790-8CB8-1867A54F05A8}"/>
            </c:ext>
          </c:extLst>
        </c:ser>
        <c:ser>
          <c:idx val="49"/>
          <c:order val="40"/>
          <c:tx>
            <c:v>Crotch 3</c:v>
          </c:tx>
          <c:spPr>
            <a:ln w="50800" cap="rnd">
              <a:solidFill>
                <a:schemeClr val="tx1"/>
              </a:solidFill>
              <a:round/>
            </a:ln>
            <a:effectLst/>
          </c:spPr>
          <c:marker>
            <c:symbol val="circle"/>
            <c:size val="5"/>
            <c:spPr>
              <a:noFill/>
              <a:ln w="9525">
                <a:noFill/>
              </a:ln>
              <a:effectLst/>
            </c:spPr>
          </c:marker>
          <c:xVal>
            <c:numRef>
              <c:f>Solution!$BA$30:$BA$31</c:f>
              <c:numCache>
                <c:formatCode>General</c:formatCode>
                <c:ptCount val="2"/>
                <c:pt idx="0">
                  <c:v>0</c:v>
                </c:pt>
                <c:pt idx="1">
                  <c:v>0</c:v>
                </c:pt>
              </c:numCache>
            </c:numRef>
          </c:xVal>
          <c:yVal>
            <c:numRef>
              <c:f>Solution!$BB$30:$BB$31</c:f>
              <c:numCache>
                <c:formatCode>0.0</c:formatCode>
                <c:ptCount val="2"/>
                <c:pt idx="0">
                  <c:v>0</c:v>
                </c:pt>
                <c:pt idx="1">
                  <c:v>0</c:v>
                </c:pt>
              </c:numCache>
            </c:numRef>
          </c:yVal>
          <c:smooth val="1"/>
          <c:extLst>
            <c:ext xmlns:c16="http://schemas.microsoft.com/office/drawing/2014/chart" uri="{C3380CC4-5D6E-409C-BE32-E72D297353CC}">
              <c16:uniqueId val="{00000037-4D3D-4790-8CB8-1867A54F05A8}"/>
            </c:ext>
          </c:extLst>
        </c:ser>
        <c:ser>
          <c:idx val="50"/>
          <c:order val="41"/>
          <c:tx>
            <c:v>Crotch 4</c:v>
          </c:tx>
          <c:spPr>
            <a:ln w="50800" cap="rnd">
              <a:solidFill>
                <a:schemeClr val="tx1"/>
              </a:solidFill>
              <a:round/>
            </a:ln>
            <a:effectLst/>
          </c:spPr>
          <c:marker>
            <c:symbol val="circle"/>
            <c:size val="5"/>
            <c:spPr>
              <a:noFill/>
              <a:ln w="9525">
                <a:noFill/>
              </a:ln>
              <a:effectLst/>
            </c:spPr>
          </c:marker>
          <c:xVal>
            <c:numRef>
              <c:f>Solution!$BA$32:$BA$33</c:f>
              <c:numCache>
                <c:formatCode>General</c:formatCode>
                <c:ptCount val="2"/>
                <c:pt idx="0">
                  <c:v>0</c:v>
                </c:pt>
                <c:pt idx="1">
                  <c:v>0</c:v>
                </c:pt>
              </c:numCache>
            </c:numRef>
          </c:xVal>
          <c:yVal>
            <c:numRef>
              <c:f>Solution!$BB$32:$BB$33</c:f>
              <c:numCache>
                <c:formatCode>0.0</c:formatCode>
                <c:ptCount val="2"/>
                <c:pt idx="0">
                  <c:v>0</c:v>
                </c:pt>
                <c:pt idx="1">
                  <c:v>0</c:v>
                </c:pt>
              </c:numCache>
            </c:numRef>
          </c:yVal>
          <c:smooth val="1"/>
          <c:extLst>
            <c:ext xmlns:c16="http://schemas.microsoft.com/office/drawing/2014/chart" uri="{C3380CC4-5D6E-409C-BE32-E72D297353CC}">
              <c16:uniqueId val="{00000038-4D3D-4790-8CB8-1867A54F05A8}"/>
            </c:ext>
          </c:extLst>
        </c:ser>
        <c:ser>
          <c:idx val="51"/>
          <c:order val="42"/>
          <c:tx>
            <c:v>Hip Slot 1 Left</c:v>
          </c:tx>
          <c:spPr>
            <a:ln w="50800" cap="rnd">
              <a:solidFill>
                <a:schemeClr val="tx1"/>
              </a:solidFill>
              <a:round/>
            </a:ln>
            <a:effectLst/>
          </c:spPr>
          <c:marker>
            <c:symbol val="circle"/>
            <c:size val="5"/>
            <c:spPr>
              <a:noFill/>
              <a:ln w="9525">
                <a:noFill/>
              </a:ln>
              <a:effectLst/>
            </c:spPr>
          </c:marker>
          <c:xVal>
            <c:numRef>
              <c:f>Solution!$BA$36:$BA$37</c:f>
              <c:numCache>
                <c:formatCode>0.0</c:formatCode>
                <c:ptCount val="2"/>
                <c:pt idx="0">
                  <c:v>-6.7309999999999999</c:v>
                </c:pt>
                <c:pt idx="1">
                  <c:v>-6.7309999999999999</c:v>
                </c:pt>
              </c:numCache>
            </c:numRef>
          </c:xVal>
          <c:yVal>
            <c:numRef>
              <c:f>Solution!$BB$36:$BB$37</c:f>
              <c:numCache>
                <c:formatCode>0.0</c:formatCode>
                <c:ptCount val="2"/>
                <c:pt idx="0">
                  <c:v>0</c:v>
                </c:pt>
                <c:pt idx="1">
                  <c:v>-3.8</c:v>
                </c:pt>
              </c:numCache>
            </c:numRef>
          </c:yVal>
          <c:smooth val="1"/>
          <c:extLst>
            <c:ext xmlns:c16="http://schemas.microsoft.com/office/drawing/2014/chart" uri="{C3380CC4-5D6E-409C-BE32-E72D297353CC}">
              <c16:uniqueId val="{00000039-4D3D-4790-8CB8-1867A54F05A8}"/>
            </c:ext>
          </c:extLst>
        </c:ser>
        <c:ser>
          <c:idx val="52"/>
          <c:order val="43"/>
          <c:tx>
            <c:v>Hip Slot 1 Right</c:v>
          </c:tx>
          <c:spPr>
            <a:ln w="50800" cap="rnd">
              <a:solidFill>
                <a:schemeClr val="tx1"/>
              </a:solidFill>
              <a:round/>
            </a:ln>
            <a:effectLst/>
          </c:spPr>
          <c:marker>
            <c:symbol val="circle"/>
            <c:size val="5"/>
            <c:spPr>
              <a:noFill/>
              <a:ln w="9525">
                <a:noFill/>
              </a:ln>
              <a:effectLst/>
            </c:spPr>
          </c:marker>
          <c:xVal>
            <c:numRef>
              <c:f>Solution!$BD$36:$BD$37</c:f>
              <c:numCache>
                <c:formatCode>0.0</c:formatCode>
                <c:ptCount val="2"/>
                <c:pt idx="0">
                  <c:v>6.7309999999999999</c:v>
                </c:pt>
                <c:pt idx="1">
                  <c:v>6.7309999999999999</c:v>
                </c:pt>
              </c:numCache>
            </c:numRef>
          </c:xVal>
          <c:yVal>
            <c:numRef>
              <c:f>Solution!$BE$36:$BE$37</c:f>
              <c:numCache>
                <c:formatCode>0.0</c:formatCode>
                <c:ptCount val="2"/>
                <c:pt idx="0">
                  <c:v>0</c:v>
                </c:pt>
                <c:pt idx="1">
                  <c:v>-3.8</c:v>
                </c:pt>
              </c:numCache>
            </c:numRef>
          </c:yVal>
          <c:smooth val="1"/>
          <c:extLst>
            <c:ext xmlns:c16="http://schemas.microsoft.com/office/drawing/2014/chart" uri="{C3380CC4-5D6E-409C-BE32-E72D297353CC}">
              <c16:uniqueId val="{0000003A-4D3D-4790-8CB8-1867A54F05A8}"/>
            </c:ext>
          </c:extLst>
        </c:ser>
        <c:ser>
          <c:idx val="53"/>
          <c:order val="44"/>
          <c:tx>
            <c:v>Hip Slot 2 Left</c:v>
          </c:tx>
          <c:spPr>
            <a:ln w="50800" cap="rnd">
              <a:solidFill>
                <a:schemeClr val="tx1"/>
              </a:solidFill>
              <a:round/>
            </a:ln>
            <a:effectLst/>
          </c:spPr>
          <c:marker>
            <c:symbol val="circle"/>
            <c:size val="5"/>
            <c:spPr>
              <a:noFill/>
              <a:ln w="9525">
                <a:noFill/>
              </a:ln>
              <a:effectLst/>
            </c:spPr>
          </c:marker>
          <c:xVal>
            <c:numRef>
              <c:f>Solution!$BA$38:$BA$39</c:f>
              <c:numCache>
                <c:formatCode>0.0</c:formatCode>
                <c:ptCount val="2"/>
                <c:pt idx="0">
                  <c:v>0</c:v>
                </c:pt>
                <c:pt idx="1">
                  <c:v>0</c:v>
                </c:pt>
              </c:numCache>
            </c:numRef>
          </c:xVal>
          <c:yVal>
            <c:numRef>
              <c:f>Solution!$BB$38:$BB$39</c:f>
              <c:numCache>
                <c:formatCode>0.0</c:formatCode>
                <c:ptCount val="2"/>
                <c:pt idx="0">
                  <c:v>0</c:v>
                </c:pt>
                <c:pt idx="1">
                  <c:v>0</c:v>
                </c:pt>
              </c:numCache>
            </c:numRef>
          </c:yVal>
          <c:smooth val="1"/>
          <c:extLst>
            <c:ext xmlns:c16="http://schemas.microsoft.com/office/drawing/2014/chart" uri="{C3380CC4-5D6E-409C-BE32-E72D297353CC}">
              <c16:uniqueId val="{0000003B-4D3D-4790-8CB8-1867A54F05A8}"/>
            </c:ext>
          </c:extLst>
        </c:ser>
        <c:ser>
          <c:idx val="54"/>
          <c:order val="45"/>
          <c:tx>
            <c:v>Hip Slot 2 Right</c:v>
          </c:tx>
          <c:spPr>
            <a:ln w="50800" cap="rnd">
              <a:solidFill>
                <a:schemeClr val="tx1"/>
              </a:solidFill>
              <a:round/>
            </a:ln>
            <a:effectLst/>
          </c:spPr>
          <c:marker>
            <c:symbol val="circle"/>
            <c:size val="5"/>
            <c:spPr>
              <a:noFill/>
              <a:ln w="9525">
                <a:noFill/>
              </a:ln>
              <a:effectLst/>
            </c:spPr>
          </c:marker>
          <c:xVal>
            <c:numRef>
              <c:f>Solution!$BD$38:$BD$39</c:f>
              <c:numCache>
                <c:formatCode>0.0</c:formatCode>
                <c:ptCount val="2"/>
                <c:pt idx="0">
                  <c:v>0</c:v>
                </c:pt>
                <c:pt idx="1">
                  <c:v>0</c:v>
                </c:pt>
              </c:numCache>
            </c:numRef>
          </c:xVal>
          <c:yVal>
            <c:numRef>
              <c:f>Solution!$BE$38:$BE$39</c:f>
              <c:numCache>
                <c:formatCode>0.0</c:formatCode>
                <c:ptCount val="2"/>
                <c:pt idx="0">
                  <c:v>0</c:v>
                </c:pt>
                <c:pt idx="1">
                  <c:v>0</c:v>
                </c:pt>
              </c:numCache>
            </c:numRef>
          </c:yVal>
          <c:smooth val="1"/>
          <c:extLst>
            <c:ext xmlns:c16="http://schemas.microsoft.com/office/drawing/2014/chart" uri="{C3380CC4-5D6E-409C-BE32-E72D297353CC}">
              <c16:uniqueId val="{0000003C-4D3D-4790-8CB8-1867A54F05A8}"/>
            </c:ext>
          </c:extLst>
        </c:ser>
        <c:ser>
          <c:idx val="55"/>
          <c:order val="46"/>
          <c:tx>
            <c:v>Hip Slot 3 Left</c:v>
          </c:tx>
          <c:spPr>
            <a:ln w="50800" cap="rnd">
              <a:solidFill>
                <a:schemeClr val="tx1"/>
              </a:solidFill>
              <a:round/>
            </a:ln>
            <a:effectLst/>
          </c:spPr>
          <c:marker>
            <c:symbol val="circle"/>
            <c:size val="5"/>
            <c:spPr>
              <a:noFill/>
              <a:ln w="9525">
                <a:noFill/>
              </a:ln>
              <a:effectLst/>
            </c:spPr>
          </c:marker>
          <c:xVal>
            <c:numRef>
              <c:f>Solution!$BA$40:$BA$41</c:f>
              <c:numCache>
                <c:formatCode>0.0</c:formatCode>
                <c:ptCount val="2"/>
                <c:pt idx="0">
                  <c:v>0</c:v>
                </c:pt>
                <c:pt idx="1">
                  <c:v>0</c:v>
                </c:pt>
              </c:numCache>
            </c:numRef>
          </c:xVal>
          <c:yVal>
            <c:numRef>
              <c:f>Solution!$BB$40:$BB$41</c:f>
              <c:numCache>
                <c:formatCode>0.0</c:formatCode>
                <c:ptCount val="2"/>
                <c:pt idx="0">
                  <c:v>0</c:v>
                </c:pt>
                <c:pt idx="1">
                  <c:v>0</c:v>
                </c:pt>
              </c:numCache>
            </c:numRef>
          </c:yVal>
          <c:smooth val="1"/>
          <c:extLst>
            <c:ext xmlns:c16="http://schemas.microsoft.com/office/drawing/2014/chart" uri="{C3380CC4-5D6E-409C-BE32-E72D297353CC}">
              <c16:uniqueId val="{0000003D-4D3D-4790-8CB8-1867A54F05A8}"/>
            </c:ext>
          </c:extLst>
        </c:ser>
        <c:ser>
          <c:idx val="56"/>
          <c:order val="47"/>
          <c:tx>
            <c:v>Hip Slot 3 Right</c:v>
          </c:tx>
          <c:spPr>
            <a:ln w="50800" cap="rnd">
              <a:solidFill>
                <a:schemeClr val="tx1"/>
              </a:solidFill>
              <a:round/>
            </a:ln>
            <a:effectLst/>
          </c:spPr>
          <c:marker>
            <c:symbol val="circle"/>
            <c:size val="5"/>
            <c:spPr>
              <a:noFill/>
              <a:ln w="9525">
                <a:noFill/>
              </a:ln>
              <a:effectLst/>
            </c:spPr>
          </c:marker>
          <c:xVal>
            <c:numRef>
              <c:f>Solution!$BD$40:$BD$41</c:f>
              <c:numCache>
                <c:formatCode>0.0</c:formatCode>
                <c:ptCount val="2"/>
                <c:pt idx="0">
                  <c:v>0</c:v>
                </c:pt>
                <c:pt idx="1">
                  <c:v>0</c:v>
                </c:pt>
              </c:numCache>
            </c:numRef>
          </c:xVal>
          <c:yVal>
            <c:numRef>
              <c:f>Solution!$BE$40:$BE$41</c:f>
              <c:numCache>
                <c:formatCode>0.0</c:formatCode>
                <c:ptCount val="2"/>
                <c:pt idx="0">
                  <c:v>0</c:v>
                </c:pt>
                <c:pt idx="1">
                  <c:v>0</c:v>
                </c:pt>
              </c:numCache>
            </c:numRef>
          </c:yVal>
          <c:smooth val="1"/>
          <c:extLst>
            <c:ext xmlns:c16="http://schemas.microsoft.com/office/drawing/2014/chart" uri="{C3380CC4-5D6E-409C-BE32-E72D297353CC}">
              <c16:uniqueId val="{0000003E-4D3D-4790-8CB8-1867A54F05A8}"/>
            </c:ext>
          </c:extLst>
        </c:ser>
        <c:ser>
          <c:idx val="57"/>
          <c:order val="48"/>
          <c:tx>
            <c:v>Neck Ave Right</c:v>
          </c:tx>
          <c:spPr>
            <a:ln w="0" cap="rnd">
              <a:solidFill>
                <a:schemeClr val="bg1"/>
              </a:solidFill>
              <a:round/>
            </a:ln>
            <a:effectLst/>
          </c:spPr>
          <c:marker>
            <c:symbol val="circle"/>
            <c:size val="5"/>
            <c:spPr>
              <a:solidFill>
                <a:srgbClr val="00B050"/>
              </a:solidFill>
              <a:ln w="9525">
                <a:solidFill>
                  <a:schemeClr val="tx1"/>
                </a:solidFill>
              </a:ln>
              <a:effectLst/>
            </c:spPr>
          </c:marker>
          <c:xVal>
            <c:numRef>
              <c:f>'US Child Data'!$CB$3:$CB$17</c:f>
              <c:numCache>
                <c:formatCode>0.000</c:formatCode>
                <c:ptCount val="15"/>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Data'!$P$3:$P$17</c:f>
              <c:numCache>
                <c:formatCode>0.0</c:formatCode>
                <c:ptCount val="15"/>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3F-4D3D-4790-8CB8-1867A54F05A8}"/>
            </c:ext>
          </c:extLst>
        </c:ser>
        <c:ser>
          <c:idx val="58"/>
          <c:order val="49"/>
          <c:tx>
            <c:v>Neck Ave Left</c:v>
          </c:tx>
          <c:spPr>
            <a:ln w="0" cap="rnd">
              <a:solidFill>
                <a:schemeClr val="bg1"/>
              </a:solidFill>
              <a:round/>
            </a:ln>
            <a:effectLst/>
          </c:spPr>
          <c:marker>
            <c:symbol val="circle"/>
            <c:size val="5"/>
            <c:spPr>
              <a:solidFill>
                <a:srgbClr val="00B050"/>
              </a:solidFill>
              <a:ln w="9525">
                <a:solidFill>
                  <a:schemeClr val="tx1"/>
                </a:solidFill>
              </a:ln>
              <a:effectLst/>
            </c:spPr>
          </c:marker>
          <c:xVal>
            <c:numRef>
              <c:f>'US Child Data'!$CF$3:$CF$17</c:f>
              <c:numCache>
                <c:formatCode>0.000</c:formatCode>
                <c:ptCount val="15"/>
                <c:pt idx="0">
                  <c:v>2.9209999999999998</c:v>
                </c:pt>
                <c:pt idx="1">
                  <c:v>3.1749999999999998</c:v>
                </c:pt>
                <c:pt idx="2">
                  <c:v>3.4289999999999998</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Data'!$P$3:$P$17</c:f>
              <c:numCache>
                <c:formatCode>0.0</c:formatCode>
                <c:ptCount val="15"/>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0-4D3D-4790-8CB8-1867A54F05A8}"/>
            </c:ext>
          </c:extLst>
        </c:ser>
        <c:ser>
          <c:idx val="59"/>
          <c:order val="50"/>
          <c:tx>
            <c:v>Neck 5th Left</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Data'!$CE$3:$CE$17</c:f>
              <c:numCache>
                <c:formatCode>0.000</c:formatCode>
                <c:ptCount val="15"/>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1-4D3D-4790-8CB8-1867A54F05A8}"/>
            </c:ext>
          </c:extLst>
        </c:ser>
        <c:ser>
          <c:idx val="60"/>
          <c:order val="51"/>
          <c:tx>
            <c:v>Neck 5th Right</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Data'!$CA$3:$CA$17</c:f>
              <c:numCache>
                <c:formatCode>0.000</c:formatCode>
                <c:ptCount val="15"/>
                <c:pt idx="0">
                  <c:v>-2.4129999999999998</c:v>
                </c:pt>
                <c:pt idx="1">
                  <c:v>-2.6669999999999998</c:v>
                </c:pt>
                <c:pt idx="2">
                  <c:v>-2.9209999999999998</c:v>
                </c:pt>
                <c:pt idx="3">
                  <c:v>-2.9209999999999998</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2-4D3D-4790-8CB8-1867A54F05A8}"/>
            </c:ext>
          </c:extLst>
        </c:ser>
        <c:ser>
          <c:idx val="61"/>
          <c:order val="52"/>
          <c:tx>
            <c:v>Neck 95th Left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Data'!$CG$3:$CG$17</c:f>
              <c:numCache>
                <c:formatCode>0.000</c:formatCode>
                <c:ptCount val="15"/>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3-4D3D-4790-8CB8-1867A54F05A8}"/>
            </c:ext>
          </c:extLst>
        </c:ser>
        <c:ser>
          <c:idx val="62"/>
          <c:order val="53"/>
          <c:tx>
            <c:v>Neck 95th Right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Data'!$CC$3:$CC$17</c:f>
              <c:numCache>
                <c:formatCode>0.000</c:formatCode>
                <c:ptCount val="15"/>
                <c:pt idx="0">
                  <c:v>-3.4289999999999998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44-4D3D-4790-8CB8-1867A54F05A8}"/>
            </c:ext>
          </c:extLst>
        </c:ser>
        <c:ser>
          <c:idx val="67"/>
          <c:order val="54"/>
          <c:tx>
            <c:strRef>
              <c:f>'R129 Annex 18 Data'!$L$2</c:f>
              <c:strCache>
                <c:ptCount val="1"/>
                <c:pt idx="0">
                  <c:v>C Minimum Shoulder breadth cm 95%ile Left</c:v>
                </c:pt>
              </c:strCache>
            </c:strRef>
          </c:tx>
          <c:spPr>
            <a:ln w="50800" cap="rnd">
              <a:solidFill>
                <a:srgbClr val="0070C0"/>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'R129 Annex 18 Data'!$L$3:$L$25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5-4D3D-4790-8CB8-1867A54F05A8}"/>
            </c:ext>
          </c:extLst>
        </c:ser>
        <c:ser>
          <c:idx val="68"/>
          <c:order val="55"/>
          <c:tx>
            <c:strRef>
              <c:f>'R129 Annex 18 Data'!$M$2</c:f>
              <c:strCache>
                <c:ptCount val="1"/>
                <c:pt idx="0">
                  <c:v>C Minimum Shoulder breadth cm 95%ile Right</c:v>
                </c:pt>
              </c:strCache>
            </c:strRef>
          </c:tx>
          <c:spPr>
            <a:ln w="50800" cap="rnd">
              <a:solidFill>
                <a:srgbClr val="0070C0"/>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'R129 Annex 18 Data'!$M$3:$M$25</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46-4D3D-4790-8CB8-1867A54F05A8}"/>
            </c:ext>
          </c:extLst>
        </c:ser>
        <c:ser>
          <c:idx val="69"/>
          <c:order val="56"/>
          <c:tx>
            <c:v>Hip Slot 4 Left</c:v>
          </c:tx>
          <c:spPr>
            <a:ln w="50800" cap="rnd">
              <a:solidFill>
                <a:schemeClr val="tx1"/>
              </a:solidFill>
              <a:round/>
            </a:ln>
            <a:effectLst/>
          </c:spPr>
          <c:marker>
            <c:symbol val="circle"/>
            <c:size val="5"/>
            <c:spPr>
              <a:noFill/>
              <a:ln w="9525">
                <a:noFill/>
              </a:ln>
              <a:effectLst/>
            </c:spPr>
          </c:marker>
          <c:xVal>
            <c:numRef>
              <c:f>Solution!$BD$42:$BD$43</c:f>
              <c:numCache>
                <c:formatCode>0.0</c:formatCode>
                <c:ptCount val="2"/>
                <c:pt idx="0">
                  <c:v>0</c:v>
                </c:pt>
                <c:pt idx="1">
                  <c:v>0</c:v>
                </c:pt>
              </c:numCache>
            </c:numRef>
          </c:xVal>
          <c:yVal>
            <c:numRef>
              <c:f>Solution!$BE$42:$BE$43</c:f>
              <c:numCache>
                <c:formatCode>0.0</c:formatCode>
                <c:ptCount val="2"/>
                <c:pt idx="0">
                  <c:v>0</c:v>
                </c:pt>
                <c:pt idx="1">
                  <c:v>0</c:v>
                </c:pt>
              </c:numCache>
            </c:numRef>
          </c:yVal>
          <c:smooth val="1"/>
          <c:extLst>
            <c:ext xmlns:c16="http://schemas.microsoft.com/office/drawing/2014/chart" uri="{C3380CC4-5D6E-409C-BE32-E72D297353CC}">
              <c16:uniqueId val="{00000047-4D3D-4790-8CB8-1867A54F05A8}"/>
            </c:ext>
          </c:extLst>
        </c:ser>
        <c:ser>
          <c:idx val="70"/>
          <c:order val="57"/>
          <c:tx>
            <c:v>Hip Slot 4 Right</c:v>
          </c:tx>
          <c:spPr>
            <a:ln w="47625" cap="rnd">
              <a:solidFill>
                <a:schemeClr val="tx1"/>
              </a:solidFill>
              <a:round/>
            </a:ln>
            <a:effectLst/>
          </c:spPr>
          <c:marker>
            <c:symbol val="circle"/>
            <c:size val="5"/>
            <c:spPr>
              <a:noFill/>
              <a:ln w="9525">
                <a:noFill/>
              </a:ln>
              <a:effectLst/>
            </c:spPr>
          </c:marker>
          <c:xVal>
            <c:numRef>
              <c:f>Solution!$BA$42:$BA$43</c:f>
              <c:numCache>
                <c:formatCode>0.0</c:formatCode>
                <c:ptCount val="2"/>
                <c:pt idx="0">
                  <c:v>0</c:v>
                </c:pt>
                <c:pt idx="1">
                  <c:v>0</c:v>
                </c:pt>
              </c:numCache>
            </c:numRef>
          </c:xVal>
          <c:yVal>
            <c:numRef>
              <c:f>Solution!$BB$42:$BB$43</c:f>
              <c:numCache>
                <c:formatCode>0.0</c:formatCode>
                <c:ptCount val="2"/>
                <c:pt idx="0">
                  <c:v>0</c:v>
                </c:pt>
                <c:pt idx="1">
                  <c:v>0</c:v>
                </c:pt>
              </c:numCache>
            </c:numRef>
          </c:yVal>
          <c:smooth val="1"/>
          <c:extLst>
            <c:ext xmlns:c16="http://schemas.microsoft.com/office/drawing/2014/chart" uri="{C3380CC4-5D6E-409C-BE32-E72D297353CC}">
              <c16:uniqueId val="{00000048-4D3D-4790-8CB8-1867A54F05A8}"/>
            </c:ext>
          </c:extLst>
        </c:ser>
        <c:ser>
          <c:idx val="71"/>
          <c:order val="58"/>
          <c:tx>
            <c:v>Q10.5 Shoulder Left</c:v>
          </c:tx>
          <c:spPr>
            <a:ln w="19050" cap="rnd">
              <a:solidFill>
                <a:srgbClr val="0070C0"/>
              </a:solidFill>
              <a:round/>
            </a:ln>
            <a:effectLst/>
          </c:spPr>
          <c:marker>
            <c:symbol val="circle"/>
            <c:size val="2"/>
            <c:spPr>
              <a:solidFill>
                <a:schemeClr val="accent6">
                  <a:lumMod val="80000"/>
                  <a:lumOff val="20000"/>
                </a:schemeClr>
              </a:solidFill>
              <a:ln w="9525">
                <a:solidFill>
                  <a:srgbClr val="0070C0"/>
                </a:solidFill>
              </a:ln>
              <a:effectLst/>
            </c:spPr>
          </c:marker>
          <c:dLbls>
            <c:dLbl>
              <c:idx val="2"/>
              <c:layout>
                <c:manualLayout>
                  <c:x val="-1.6920473773266893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9-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Solution!$AU$118:$AU$120</c:f>
              <c:numCache>
                <c:formatCode>0.0</c:formatCode>
                <c:ptCount val="3"/>
                <c:pt idx="0">
                  <c:v>0</c:v>
                </c:pt>
                <c:pt idx="1">
                  <c:v>0</c:v>
                </c:pt>
                <c:pt idx="2">
                  <c:v>0</c:v>
                </c:pt>
              </c:numCache>
            </c:numRef>
          </c:xVal>
          <c:yVal>
            <c:numRef>
              <c:f>Solution!$AV$118:$AV$120</c:f>
              <c:numCache>
                <c:formatCode>0.0</c:formatCode>
                <c:ptCount val="3"/>
                <c:pt idx="0">
                  <c:v>0</c:v>
                </c:pt>
                <c:pt idx="1">
                  <c:v>0</c:v>
                </c:pt>
                <c:pt idx="2">
                  <c:v>0</c:v>
                </c:pt>
              </c:numCache>
            </c:numRef>
          </c:yVal>
          <c:smooth val="1"/>
          <c:extLst>
            <c:ext xmlns:c16="http://schemas.microsoft.com/office/drawing/2014/chart" uri="{C3380CC4-5D6E-409C-BE32-E72D297353CC}">
              <c16:uniqueId val="{0000004A-4D3D-4790-8CB8-1867A54F05A8}"/>
            </c:ext>
          </c:extLst>
        </c:ser>
        <c:ser>
          <c:idx val="74"/>
          <c:order val="59"/>
          <c:tx>
            <c:v>HIII-10yr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299284543746752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B-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Solution!$AX$111:$AX$113</c:f>
              <c:numCache>
                <c:formatCode>General</c:formatCode>
                <c:ptCount val="3"/>
                <c:pt idx="0">
                  <c:v>0</c:v>
                </c:pt>
                <c:pt idx="1">
                  <c:v>0</c:v>
                </c:pt>
                <c:pt idx="2">
                  <c:v>0</c:v>
                </c:pt>
              </c:numCache>
            </c:numRef>
          </c:xVal>
          <c:yVal>
            <c:numRef>
              <c:f>Solution!$AY$111:$AY$113</c:f>
              <c:numCache>
                <c:formatCode>0.0</c:formatCode>
                <c:ptCount val="3"/>
                <c:pt idx="0">
                  <c:v>0</c:v>
                </c:pt>
                <c:pt idx="1">
                  <c:v>0</c:v>
                </c:pt>
                <c:pt idx="2">
                  <c:v>0</c:v>
                </c:pt>
              </c:numCache>
            </c:numRef>
          </c:yVal>
          <c:smooth val="1"/>
          <c:extLst>
            <c:ext xmlns:c16="http://schemas.microsoft.com/office/drawing/2014/chart" uri="{C3380CC4-5D6E-409C-BE32-E72D297353CC}">
              <c16:uniqueId val="{0000004C-4D3D-4790-8CB8-1867A54F05A8}"/>
            </c:ext>
          </c:extLst>
        </c:ser>
        <c:ser>
          <c:idx val="76"/>
          <c:order val="60"/>
          <c:tx>
            <c:v>CAMI-Newborn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D-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Solution!$AX$27:$AX$29</c:f>
              <c:numCache>
                <c:formatCode>General</c:formatCode>
                <c:ptCount val="3"/>
                <c:pt idx="0">
                  <c:v>-6.4418181818181814</c:v>
                </c:pt>
                <c:pt idx="1">
                  <c:v>-8.493927272727273</c:v>
                </c:pt>
                <c:pt idx="2">
                  <c:v>-9</c:v>
                </c:pt>
              </c:numCache>
            </c:numRef>
          </c:xVal>
          <c:yVal>
            <c:numRef>
              <c:f>Solution!$AY$27:$AY$29</c:f>
              <c:numCache>
                <c:formatCode>0.0</c:formatCode>
                <c:ptCount val="3"/>
                <c:pt idx="0">
                  <c:v>26.7</c:v>
                </c:pt>
                <c:pt idx="1">
                  <c:v>26.060454545454544</c:v>
                </c:pt>
                <c:pt idx="2">
                  <c:v>24.141818181818181</c:v>
                </c:pt>
              </c:numCache>
            </c:numRef>
          </c:yVal>
          <c:smooth val="1"/>
          <c:extLst>
            <c:ext xmlns:c16="http://schemas.microsoft.com/office/drawing/2014/chart" uri="{C3380CC4-5D6E-409C-BE32-E72D297353CC}">
              <c16:uniqueId val="{0000004E-4D3D-4790-8CB8-1867A54F05A8}"/>
            </c:ext>
          </c:extLst>
        </c:ser>
        <c:ser>
          <c:idx val="78"/>
          <c:order val="61"/>
          <c:tx>
            <c:v>CAMI-6mo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F-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Solution!$AX$34:$AX$36</c:f>
              <c:numCache>
                <c:formatCode>General</c:formatCode>
                <c:ptCount val="3"/>
                <c:pt idx="0">
                  <c:v>-6.6736363636363638</c:v>
                </c:pt>
                <c:pt idx="1">
                  <c:v>-9.087863636363636</c:v>
                </c:pt>
                <c:pt idx="2">
                  <c:v>-9.5</c:v>
                </c:pt>
              </c:numCache>
            </c:numRef>
          </c:xVal>
          <c:yVal>
            <c:numRef>
              <c:f>Solution!$AY$34:$AY$36</c:f>
              <c:numCache>
                <c:formatCode>0.0</c:formatCode>
                <c:ptCount val="3"/>
                <c:pt idx="0">
                  <c:v>29</c:v>
                </c:pt>
                <c:pt idx="1">
                  <c:v>28.293409090909091</c:v>
                </c:pt>
                <c:pt idx="2">
                  <c:v>26.173636363636362</c:v>
                </c:pt>
              </c:numCache>
            </c:numRef>
          </c:yVal>
          <c:smooth val="1"/>
          <c:extLst>
            <c:ext xmlns:c16="http://schemas.microsoft.com/office/drawing/2014/chart" uri="{C3380CC4-5D6E-409C-BE32-E72D297353CC}">
              <c16:uniqueId val="{00000050-4D3D-4790-8CB8-1867A54F05A8}"/>
            </c:ext>
          </c:extLst>
        </c:ser>
        <c:ser>
          <c:idx val="80"/>
          <c:order val="62"/>
          <c:tx>
            <c:v>HIII-6yr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4641285956006769"/>
                  <c:y val="3.731343283582089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1-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Solution!$AX$97:$AX$99</c:f>
              <c:numCache>
                <c:formatCode>General</c:formatCode>
                <c:ptCount val="3"/>
                <c:pt idx="0">
                  <c:v>0</c:v>
                </c:pt>
                <c:pt idx="1">
                  <c:v>0</c:v>
                </c:pt>
                <c:pt idx="2">
                  <c:v>0</c:v>
                </c:pt>
              </c:numCache>
            </c:numRef>
          </c:xVal>
          <c:yVal>
            <c:numRef>
              <c:f>Solution!$AY$97:$AY$99</c:f>
              <c:numCache>
                <c:formatCode>0.0</c:formatCode>
                <c:ptCount val="3"/>
                <c:pt idx="0">
                  <c:v>0</c:v>
                </c:pt>
                <c:pt idx="1">
                  <c:v>0</c:v>
                </c:pt>
                <c:pt idx="2">
                  <c:v>0</c:v>
                </c:pt>
              </c:numCache>
            </c:numRef>
          </c:yVal>
          <c:smooth val="1"/>
          <c:extLst>
            <c:ext xmlns:c16="http://schemas.microsoft.com/office/drawing/2014/chart" uri="{C3380CC4-5D6E-409C-BE32-E72D297353CC}">
              <c16:uniqueId val="{00000052-4D3D-4790-8CB8-1867A54F05A8}"/>
            </c:ext>
          </c:extLst>
        </c:ser>
        <c:ser>
          <c:idx val="82"/>
          <c:order val="63"/>
          <c:tx>
            <c:v>HIII-6yr wtd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layout>
                <c:manualLayout>
                  <c:x val="-0.17892548329935914"/>
                  <c:y val="-4.6641791044776115E-3"/>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3-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Solution!$AX$104:$AX$106</c:f>
              <c:numCache>
                <c:formatCode>General</c:formatCode>
                <c:ptCount val="3"/>
                <c:pt idx="0">
                  <c:v>0</c:v>
                </c:pt>
                <c:pt idx="1">
                  <c:v>0</c:v>
                </c:pt>
                <c:pt idx="2">
                  <c:v>0</c:v>
                </c:pt>
              </c:numCache>
            </c:numRef>
          </c:xVal>
          <c:yVal>
            <c:numRef>
              <c:f>Solution!$AY$104:$AY$106</c:f>
              <c:numCache>
                <c:formatCode>0.0</c:formatCode>
                <c:ptCount val="3"/>
                <c:pt idx="0">
                  <c:v>0</c:v>
                </c:pt>
                <c:pt idx="1">
                  <c:v>0</c:v>
                </c:pt>
                <c:pt idx="2">
                  <c:v>0</c:v>
                </c:pt>
              </c:numCache>
            </c:numRef>
          </c:yVal>
          <c:smooth val="1"/>
          <c:extLst>
            <c:ext xmlns:c16="http://schemas.microsoft.com/office/drawing/2014/chart" uri="{C3380CC4-5D6E-409C-BE32-E72D297353CC}">
              <c16:uniqueId val="{00000054-4D3D-4790-8CB8-1867A54F05A8}"/>
            </c:ext>
          </c:extLst>
        </c:ser>
        <c:ser>
          <c:idx val="83"/>
          <c:order val="64"/>
          <c:tx>
            <c:v>Q6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5-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Solution!$AU$90:$AU$92</c:f>
              <c:numCache>
                <c:formatCode>0.0</c:formatCode>
                <c:ptCount val="3"/>
                <c:pt idx="0">
                  <c:v>0</c:v>
                </c:pt>
                <c:pt idx="1">
                  <c:v>0</c:v>
                </c:pt>
                <c:pt idx="2">
                  <c:v>0</c:v>
                </c:pt>
              </c:numCache>
            </c:numRef>
          </c:xVal>
          <c:yVal>
            <c:numRef>
              <c:f>Solution!$AV$90:$AV$92</c:f>
              <c:numCache>
                <c:formatCode>0.0</c:formatCode>
                <c:ptCount val="3"/>
                <c:pt idx="0">
                  <c:v>0</c:v>
                </c:pt>
                <c:pt idx="1">
                  <c:v>0</c:v>
                </c:pt>
                <c:pt idx="2">
                  <c:v>0</c:v>
                </c:pt>
              </c:numCache>
            </c:numRef>
          </c:yVal>
          <c:smooth val="1"/>
          <c:extLst>
            <c:ext xmlns:c16="http://schemas.microsoft.com/office/drawing/2014/chart" uri="{C3380CC4-5D6E-409C-BE32-E72D297353CC}">
              <c16:uniqueId val="{00000056-4D3D-4790-8CB8-1867A54F05A8}"/>
            </c:ext>
          </c:extLst>
        </c:ser>
        <c:ser>
          <c:idx val="86"/>
          <c:order val="65"/>
          <c:tx>
            <c:v>HIII-3yr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7-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Solution!$AX$83:$AX$85</c:f>
              <c:numCache>
                <c:formatCode>General</c:formatCode>
                <c:ptCount val="3"/>
                <c:pt idx="0">
                  <c:v>0</c:v>
                </c:pt>
                <c:pt idx="1">
                  <c:v>0</c:v>
                </c:pt>
                <c:pt idx="2">
                  <c:v>0</c:v>
                </c:pt>
              </c:numCache>
            </c:numRef>
          </c:xVal>
          <c:yVal>
            <c:numRef>
              <c:f>Solution!$AY$83:$AY$85</c:f>
              <c:numCache>
                <c:formatCode>0.0</c:formatCode>
                <c:ptCount val="3"/>
                <c:pt idx="0">
                  <c:v>0</c:v>
                </c:pt>
                <c:pt idx="1">
                  <c:v>0</c:v>
                </c:pt>
                <c:pt idx="2">
                  <c:v>0</c:v>
                </c:pt>
              </c:numCache>
            </c:numRef>
          </c:yVal>
          <c:smooth val="1"/>
          <c:extLst>
            <c:ext xmlns:c16="http://schemas.microsoft.com/office/drawing/2014/chart" uri="{C3380CC4-5D6E-409C-BE32-E72D297353CC}">
              <c16:uniqueId val="{00000058-4D3D-4790-8CB8-1867A54F05A8}"/>
            </c:ext>
          </c:extLst>
        </c:ser>
        <c:ser>
          <c:idx val="87"/>
          <c:order val="66"/>
          <c:tx>
            <c:v>Q0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3536379018612646E-2"/>
                  <c:y val="1.119402985074626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9-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Solution!$AU$41:$AU$43</c:f>
              <c:numCache>
                <c:formatCode>0.0</c:formatCode>
                <c:ptCount val="3"/>
                <c:pt idx="0">
                  <c:v>0</c:v>
                </c:pt>
                <c:pt idx="1">
                  <c:v>0</c:v>
                </c:pt>
                <c:pt idx="2">
                  <c:v>0</c:v>
                </c:pt>
              </c:numCache>
            </c:numRef>
          </c:xVal>
          <c:yVal>
            <c:numRef>
              <c:f>Solution!$AV$41:$AV$43</c:f>
              <c:numCache>
                <c:formatCode>0.0</c:formatCode>
                <c:ptCount val="3"/>
                <c:pt idx="0">
                  <c:v>0</c:v>
                </c:pt>
                <c:pt idx="1">
                  <c:v>0</c:v>
                </c:pt>
                <c:pt idx="2">
                  <c:v>0</c:v>
                </c:pt>
              </c:numCache>
            </c:numRef>
          </c:yVal>
          <c:smooth val="1"/>
          <c:extLst>
            <c:ext xmlns:c16="http://schemas.microsoft.com/office/drawing/2014/chart" uri="{C3380CC4-5D6E-409C-BE32-E72D297353CC}">
              <c16:uniqueId val="{0000005A-4D3D-4790-8CB8-1867A54F05A8}"/>
            </c:ext>
          </c:extLst>
        </c:ser>
        <c:ser>
          <c:idx val="89"/>
          <c:order val="67"/>
          <c:tx>
            <c:v>Q1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1.8612521150592216E-2"/>
                  <c:y val="1.212686567164172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B-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Solution!$AU$48:$AU$50</c:f>
              <c:numCache>
                <c:formatCode>0.0</c:formatCode>
                <c:ptCount val="3"/>
                <c:pt idx="0">
                  <c:v>0</c:v>
                </c:pt>
                <c:pt idx="1">
                  <c:v>0</c:v>
                </c:pt>
                <c:pt idx="2">
                  <c:v>0</c:v>
                </c:pt>
              </c:numCache>
            </c:numRef>
          </c:xVal>
          <c:yVal>
            <c:numRef>
              <c:f>Solution!$AV$48:$AV$50</c:f>
              <c:numCache>
                <c:formatCode>0.0</c:formatCode>
                <c:ptCount val="3"/>
                <c:pt idx="0">
                  <c:v>0</c:v>
                </c:pt>
                <c:pt idx="1">
                  <c:v>0</c:v>
                </c:pt>
                <c:pt idx="2">
                  <c:v>0</c:v>
                </c:pt>
              </c:numCache>
            </c:numRef>
          </c:yVal>
          <c:smooth val="1"/>
          <c:extLst>
            <c:ext xmlns:c16="http://schemas.microsoft.com/office/drawing/2014/chart" uri="{C3380CC4-5D6E-409C-BE32-E72D297353CC}">
              <c16:uniqueId val="{0000005C-4D3D-4790-8CB8-1867A54F05A8}"/>
            </c:ext>
          </c:extLst>
        </c:ser>
        <c:ser>
          <c:idx val="91"/>
          <c:order val="68"/>
          <c:tx>
            <c:v>Q3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D-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Solution!$AU$76:$AU$78</c:f>
              <c:numCache>
                <c:formatCode>0.0</c:formatCode>
                <c:ptCount val="3"/>
                <c:pt idx="0">
                  <c:v>0</c:v>
                </c:pt>
                <c:pt idx="1">
                  <c:v>0</c:v>
                </c:pt>
                <c:pt idx="2">
                  <c:v>0</c:v>
                </c:pt>
              </c:numCache>
            </c:numRef>
          </c:xVal>
          <c:yVal>
            <c:numRef>
              <c:f>Solution!$AV$76:$AV$78</c:f>
              <c:numCache>
                <c:formatCode>0.0</c:formatCode>
                <c:ptCount val="3"/>
                <c:pt idx="0">
                  <c:v>0</c:v>
                </c:pt>
                <c:pt idx="1">
                  <c:v>0</c:v>
                </c:pt>
                <c:pt idx="2">
                  <c:v>0</c:v>
                </c:pt>
              </c:numCache>
            </c:numRef>
          </c:yVal>
          <c:smooth val="1"/>
          <c:extLst>
            <c:ext xmlns:c16="http://schemas.microsoft.com/office/drawing/2014/chart" uri="{C3380CC4-5D6E-409C-BE32-E72D297353CC}">
              <c16:uniqueId val="{0000005E-4D3D-4790-8CB8-1867A54F05A8}"/>
            </c:ext>
          </c:extLst>
        </c:ser>
        <c:ser>
          <c:idx val="94"/>
          <c:order val="69"/>
          <c:tx>
            <c:v>CRABI 18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F-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Solution!$AX$69:$AX$71</c:f>
              <c:numCache>
                <c:formatCode>General</c:formatCode>
                <c:ptCount val="3"/>
                <c:pt idx="0">
                  <c:v>-7.1372727272727277</c:v>
                </c:pt>
                <c:pt idx="1">
                  <c:v>-10.727304545454544</c:v>
                </c:pt>
                <c:pt idx="2">
                  <c:v>-11.2</c:v>
                </c:pt>
              </c:numCache>
            </c:numRef>
          </c:xVal>
          <c:yVal>
            <c:numRef>
              <c:f>Solution!$AY$69:$AY$71</c:f>
              <c:numCache>
                <c:formatCode>0.0</c:formatCode>
                <c:ptCount val="3"/>
                <c:pt idx="0">
                  <c:v>34.5</c:v>
                </c:pt>
                <c:pt idx="1">
                  <c:v>33.484318181818182</c:v>
                </c:pt>
                <c:pt idx="2">
                  <c:v>30.437272727272727</c:v>
                </c:pt>
              </c:numCache>
            </c:numRef>
          </c:yVal>
          <c:smooth val="1"/>
          <c:extLst>
            <c:ext xmlns:c16="http://schemas.microsoft.com/office/drawing/2014/chart" uri="{C3380CC4-5D6E-409C-BE32-E72D297353CC}">
              <c16:uniqueId val="{00000060-4D3D-4790-8CB8-1867A54F05A8}"/>
            </c:ext>
          </c:extLst>
        </c:ser>
        <c:ser>
          <c:idx val="95"/>
          <c:order val="70"/>
          <c:tx>
            <c:v>Q1.5 Shoulder Left</c:v>
          </c:tx>
          <c:spPr>
            <a:ln w="19050" cap="rnd">
              <a:solidFill>
                <a:srgbClr val="0070C0"/>
              </a:solidFill>
              <a:round/>
            </a:ln>
            <a:effectLst/>
          </c:spPr>
          <c:marker>
            <c:symbol val="circle"/>
            <c:size val="2"/>
            <c:spPr>
              <a:solidFill>
                <a:srgbClr val="0070C0"/>
              </a:solidFill>
              <a:ln w="9525">
                <a:solidFill>
                  <a:srgbClr val="0070C0"/>
                </a:solidFill>
              </a:ln>
              <a:effectLst/>
            </c:spPr>
          </c:marker>
          <c:dLbls>
            <c:dLbl>
              <c:idx val="2"/>
              <c:layout>
                <c:manualLayout>
                  <c:x val="8.4602368866328256E-3"/>
                  <c:y val="6.52985074626858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1-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Solution!$AU$62:$AU$64</c:f>
              <c:numCache>
                <c:formatCode>0.0</c:formatCode>
                <c:ptCount val="3"/>
                <c:pt idx="0">
                  <c:v>0</c:v>
                </c:pt>
                <c:pt idx="1">
                  <c:v>0</c:v>
                </c:pt>
                <c:pt idx="2">
                  <c:v>0</c:v>
                </c:pt>
              </c:numCache>
            </c:numRef>
          </c:xVal>
          <c:yVal>
            <c:numRef>
              <c:f>Solution!$AV$62:$AV$64</c:f>
              <c:numCache>
                <c:formatCode>0.0</c:formatCode>
                <c:ptCount val="3"/>
                <c:pt idx="0">
                  <c:v>0</c:v>
                </c:pt>
                <c:pt idx="1">
                  <c:v>0</c:v>
                </c:pt>
                <c:pt idx="2">
                  <c:v>0</c:v>
                </c:pt>
              </c:numCache>
            </c:numRef>
          </c:yVal>
          <c:smooth val="1"/>
          <c:extLst>
            <c:ext xmlns:c16="http://schemas.microsoft.com/office/drawing/2014/chart" uri="{C3380CC4-5D6E-409C-BE32-E72D297353CC}">
              <c16:uniqueId val="{00000062-4D3D-4790-8CB8-1867A54F05A8}"/>
            </c:ext>
          </c:extLst>
        </c:ser>
        <c:ser>
          <c:idx val="98"/>
          <c:order val="71"/>
          <c:tx>
            <c:v>CRABI 12 Shoulder Right</c:v>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3-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Solution!$AX$55:$AX$57</c:f>
              <c:numCache>
                <c:formatCode>General</c:formatCode>
                <c:ptCount val="3"/>
                <c:pt idx="0">
                  <c:v>-6.9054545454545462</c:v>
                </c:pt>
                <c:pt idx="1">
                  <c:v>-10.182163636363635</c:v>
                </c:pt>
                <c:pt idx="2">
                  <c:v>-10.65</c:v>
                </c:pt>
              </c:numCache>
            </c:numRef>
          </c:xVal>
          <c:yVal>
            <c:numRef>
              <c:f>Solution!$AY$55:$AY$57</c:f>
              <c:numCache>
                <c:formatCode>0.0</c:formatCode>
                <c:ptCount val="3"/>
                <c:pt idx="0">
                  <c:v>32.700000000000003</c:v>
                </c:pt>
                <c:pt idx="1">
                  <c:v>31.763863636363638</c:v>
                </c:pt>
                <c:pt idx="2">
                  <c:v>28.95545454545455</c:v>
                </c:pt>
              </c:numCache>
            </c:numRef>
          </c:yVal>
          <c:smooth val="1"/>
          <c:extLst>
            <c:ext xmlns:c16="http://schemas.microsoft.com/office/drawing/2014/chart" uri="{C3380CC4-5D6E-409C-BE32-E72D297353CC}">
              <c16:uniqueId val="{00000064-4D3D-4790-8CB8-1867A54F05A8}"/>
            </c:ext>
          </c:extLst>
        </c:ser>
        <c:ser>
          <c:idx val="99"/>
          <c:order val="72"/>
          <c:tx>
            <c:v>UMTRI Seated 5th</c:v>
          </c:tx>
          <c:spPr>
            <a:ln w="0" cap="rnd">
              <a:solidFill>
                <a:schemeClr val="bg1"/>
              </a:solidFill>
              <a:round/>
            </a:ln>
            <a:effectLst/>
          </c:spPr>
          <c:marker>
            <c:symbol val="dash"/>
            <c:size val="15"/>
            <c:spPr>
              <a:solidFill>
                <a:schemeClr val="accent5">
                  <a:lumMod val="60000"/>
                  <a:lumOff val="40000"/>
                </a:schemeClr>
              </a:solidFill>
              <a:ln w="9525">
                <a:solidFill>
                  <a:schemeClr val="tx1"/>
                </a:solidFill>
              </a:ln>
              <a:effectLst/>
            </c:spPr>
          </c:marker>
          <c:xVal>
            <c:numRef>
              <c:f>'US Child Data'!$Z$3:$Z$17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Data'!$K$3:$K$17</c:f>
              <c:numCache>
                <c:formatCode>0.0</c:formatCode>
                <c:ptCount val="15"/>
                <c:pt idx="0">
                  <c:v>33.75</c:v>
                </c:pt>
                <c:pt idx="1">
                  <c:v>40.353999999999999</c:v>
                </c:pt>
                <c:pt idx="2">
                  <c:v>45.433999999999997</c:v>
                </c:pt>
                <c:pt idx="3">
                  <c:v>47.973999999999997</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5-4D3D-4790-8CB8-1867A54F05A8}"/>
            </c:ext>
          </c:extLst>
        </c:ser>
        <c:ser>
          <c:idx val="100"/>
          <c:order val="73"/>
          <c:tx>
            <c:v>UMTRI Seated Mean</c:v>
          </c:tx>
          <c:spPr>
            <a:ln w="0" cap="rnd">
              <a:solidFill>
                <a:schemeClr val="bg1"/>
              </a:solidFill>
              <a:round/>
            </a:ln>
            <a:effectLst/>
          </c:spPr>
          <c:marker>
            <c:symbol val="dash"/>
            <c:size val="15"/>
            <c:spPr>
              <a:solidFill>
                <a:srgbClr val="00B050"/>
              </a:solidFill>
              <a:ln w="9525">
                <a:solidFill>
                  <a:schemeClr val="tx1"/>
                </a:solidFill>
              </a:ln>
              <a:effectLst/>
            </c:spPr>
          </c:marker>
          <c:xVal>
            <c:numRef>
              <c:f>'US Child Data'!$Z$3:$Z$17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Data'!$L$3:$L$17</c:f>
              <c:numCache>
                <c:formatCode>0.0</c:formatCode>
                <c:ptCount val="15"/>
                <c:pt idx="0">
                  <c:v>39.845999999999997</c:v>
                </c:pt>
                <c:pt idx="1">
                  <c:v>45.942</c:v>
                </c:pt>
                <c:pt idx="2">
                  <c:v>50.006</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6-4D3D-4790-8CB8-1867A54F05A8}"/>
            </c:ext>
          </c:extLst>
        </c:ser>
        <c:ser>
          <c:idx val="101"/>
          <c:order val="74"/>
          <c:tx>
            <c:v>UMTRI Seated 95th</c:v>
          </c:tx>
          <c:spPr>
            <a:ln w="0" cap="rnd">
              <a:solidFill>
                <a:schemeClr val="bg1"/>
              </a:solidFill>
              <a:round/>
            </a:ln>
            <a:effectLst/>
          </c:spPr>
          <c:marker>
            <c:symbol val="dash"/>
            <c:size val="15"/>
            <c:spPr>
              <a:solidFill>
                <a:schemeClr val="accent4">
                  <a:lumMod val="50000"/>
                </a:schemeClr>
              </a:solidFill>
              <a:ln w="9525">
                <a:solidFill>
                  <a:schemeClr val="tx1"/>
                </a:solidFill>
              </a:ln>
              <a:effectLst/>
            </c:spPr>
          </c:marker>
          <c:xVal>
            <c:numRef>
              <c:f>'US Child Data'!$Z$3:$Z$17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Data'!$M$3:$M$17</c:f>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7-4D3D-4790-8CB8-1867A54F05A8}"/>
            </c:ext>
          </c:extLst>
        </c:ser>
        <c:ser>
          <c:idx val="0"/>
          <c:order val="75"/>
          <c:tx>
            <c:v>UMTRI Crotch 5th Depth</c:v>
          </c:tx>
          <c:spPr>
            <a:ln w="19050" cap="rnd">
              <a:solidFill>
                <a:schemeClr val="accent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Data'!$Z$3:$Z$11</c:f>
              <c:numCache>
                <c:formatCode>0.0</c:formatCode>
                <c:ptCount val="9"/>
                <c:pt idx="0">
                  <c:v>0</c:v>
                </c:pt>
                <c:pt idx="1">
                  <c:v>0</c:v>
                </c:pt>
                <c:pt idx="2">
                  <c:v>0</c:v>
                </c:pt>
                <c:pt idx="3">
                  <c:v>0</c:v>
                </c:pt>
                <c:pt idx="4">
                  <c:v>0</c:v>
                </c:pt>
                <c:pt idx="5">
                  <c:v>0</c:v>
                </c:pt>
                <c:pt idx="6">
                  <c:v>0</c:v>
                </c:pt>
                <c:pt idx="7">
                  <c:v>0</c:v>
                </c:pt>
                <c:pt idx="8">
                  <c:v>0</c:v>
                </c:pt>
              </c:numCache>
            </c:numRef>
          </c:xVal>
          <c:yVal>
            <c:numRef>
              <c:f>'US Child Data'!$AA$42:$AA$50</c:f>
              <c:numCache>
                <c:formatCode>0.00</c:formatCode>
                <c:ptCount val="9"/>
              </c:numCache>
            </c:numRef>
          </c:yVal>
          <c:smooth val="1"/>
          <c:extLst>
            <c:ext xmlns:c16="http://schemas.microsoft.com/office/drawing/2014/chart" uri="{C3380CC4-5D6E-409C-BE32-E72D297353CC}">
              <c16:uniqueId val="{00000068-4D3D-4790-8CB8-1867A54F05A8}"/>
            </c:ext>
          </c:extLst>
        </c:ser>
        <c:ser>
          <c:idx val="1"/>
          <c:order val="76"/>
          <c:tx>
            <c:v>UMTRI Mean Crotch Depth</c:v>
          </c:tx>
          <c:spPr>
            <a:ln w="19050" cap="rnd">
              <a:solidFill>
                <a:schemeClr val="accent2"/>
              </a:solidFill>
              <a:round/>
            </a:ln>
            <a:effectLst/>
          </c:spPr>
          <c:marker>
            <c:symbol val="circle"/>
            <c:size val="5"/>
            <c:spPr>
              <a:solidFill>
                <a:srgbClr val="00B050"/>
              </a:solidFill>
              <a:ln w="9525">
                <a:solidFill>
                  <a:schemeClr val="tx1"/>
                </a:solidFill>
              </a:ln>
              <a:effectLst/>
            </c:spPr>
          </c:marker>
          <c:xVal>
            <c:numRef>
              <c:f>'US Child Data'!$Z$3:$Z$11</c:f>
              <c:numCache>
                <c:formatCode>0.0</c:formatCode>
                <c:ptCount val="9"/>
                <c:pt idx="0">
                  <c:v>0</c:v>
                </c:pt>
                <c:pt idx="1">
                  <c:v>0</c:v>
                </c:pt>
                <c:pt idx="2">
                  <c:v>0</c:v>
                </c:pt>
                <c:pt idx="3">
                  <c:v>0</c:v>
                </c:pt>
                <c:pt idx="4">
                  <c:v>0</c:v>
                </c:pt>
                <c:pt idx="5">
                  <c:v>0</c:v>
                </c:pt>
                <c:pt idx="6">
                  <c:v>0</c:v>
                </c:pt>
                <c:pt idx="7">
                  <c:v>0</c:v>
                </c:pt>
                <c:pt idx="8">
                  <c:v>0</c:v>
                </c:pt>
              </c:numCache>
            </c:numRef>
          </c:xVal>
          <c:yVal>
            <c:numRef>
              <c:f>'US Child Data'!$AB$42:$AB$50</c:f>
              <c:numCache>
                <c:formatCode>0.00</c:formatCode>
                <c:ptCount val="9"/>
              </c:numCache>
            </c:numRef>
          </c:yVal>
          <c:smooth val="1"/>
          <c:extLst>
            <c:ext xmlns:c16="http://schemas.microsoft.com/office/drawing/2014/chart" uri="{C3380CC4-5D6E-409C-BE32-E72D297353CC}">
              <c16:uniqueId val="{00000069-4D3D-4790-8CB8-1867A54F05A8}"/>
            </c:ext>
          </c:extLst>
        </c:ser>
        <c:ser>
          <c:idx val="2"/>
          <c:order val="77"/>
          <c:tx>
            <c:v>UMTRI 95th Crotch Depth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Data'!$Z$3:$Z$11</c:f>
              <c:numCache>
                <c:formatCode>0.0</c:formatCode>
                <c:ptCount val="9"/>
                <c:pt idx="0">
                  <c:v>0</c:v>
                </c:pt>
                <c:pt idx="1">
                  <c:v>0</c:v>
                </c:pt>
                <c:pt idx="2">
                  <c:v>0</c:v>
                </c:pt>
                <c:pt idx="3">
                  <c:v>0</c:v>
                </c:pt>
                <c:pt idx="4">
                  <c:v>0</c:v>
                </c:pt>
                <c:pt idx="5">
                  <c:v>0</c:v>
                </c:pt>
                <c:pt idx="6">
                  <c:v>0</c:v>
                </c:pt>
                <c:pt idx="7">
                  <c:v>0</c:v>
                </c:pt>
                <c:pt idx="8">
                  <c:v>0</c:v>
                </c:pt>
              </c:numCache>
            </c:numRef>
          </c:xVal>
          <c:yVal>
            <c:numRef>
              <c:f>'US Child Data'!$AC$42:$AC$50</c:f>
              <c:numCache>
                <c:formatCode>0.00</c:formatCode>
                <c:ptCount val="9"/>
              </c:numCache>
            </c:numRef>
          </c:yVal>
          <c:smooth val="1"/>
          <c:extLst>
            <c:ext xmlns:c16="http://schemas.microsoft.com/office/drawing/2014/chart" uri="{C3380CC4-5D6E-409C-BE32-E72D297353CC}">
              <c16:uniqueId val="{0000006A-4D3D-4790-8CB8-1867A54F05A8}"/>
            </c:ext>
          </c:extLst>
        </c:ser>
        <c:ser>
          <c:idx val="3"/>
          <c:order val="78"/>
          <c:tx>
            <c:v>UMTRI Hip Width Left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Data'!$BO$3:$BO$17</c:f>
              <c:numCache>
                <c:formatCode>0.0</c:formatCode>
                <c:ptCount val="15"/>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numCache>
            </c:numRef>
          </c:xVal>
          <c:yVal>
            <c:numRef>
              <c:f>'US Child Data'!$BN$3:$BN$17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B-4D3D-4790-8CB8-1867A54F05A8}"/>
            </c:ext>
          </c:extLst>
        </c:ser>
        <c:ser>
          <c:idx val="4"/>
          <c:order val="79"/>
          <c:tx>
            <c:v>UMTRI Hip Width Right 5th</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Data'!$BK$3:$BK$17</c:f>
              <c:numCache>
                <c:formatCode>0.0</c:formatCode>
                <c:ptCount val="15"/>
                <c:pt idx="0">
                  <c:v>-4.6989999999999998</c:v>
                </c:pt>
                <c:pt idx="1">
                  <c:v>-6.2229999999999999</c:v>
                </c:pt>
                <c:pt idx="2">
                  <c:v>-7.4930000000000003</c:v>
                </c:pt>
                <c:pt idx="3">
                  <c:v>-6.9850000000000003</c:v>
                </c:pt>
                <c:pt idx="4">
                  <c:v>0</c:v>
                </c:pt>
                <c:pt idx="5">
                  <c:v>0</c:v>
                </c:pt>
                <c:pt idx="6">
                  <c:v>0</c:v>
                </c:pt>
                <c:pt idx="7">
                  <c:v>0</c:v>
                </c:pt>
                <c:pt idx="8">
                  <c:v>0</c:v>
                </c:pt>
                <c:pt idx="9">
                  <c:v>0</c:v>
                </c:pt>
                <c:pt idx="10">
                  <c:v>0</c:v>
                </c:pt>
                <c:pt idx="11">
                  <c:v>0</c:v>
                </c:pt>
                <c:pt idx="12">
                  <c:v>0</c:v>
                </c:pt>
                <c:pt idx="13">
                  <c:v>0</c:v>
                </c:pt>
                <c:pt idx="14">
                  <c:v>0</c:v>
                </c:pt>
              </c:numCache>
            </c:numRef>
          </c:xVal>
          <c:yVal>
            <c:numRef>
              <c:f>'US Child Data'!$BN$3:$BN$17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C-4D3D-4790-8CB8-1867A54F05A8}"/>
            </c:ext>
          </c:extLst>
        </c:ser>
        <c:ser>
          <c:idx val="5"/>
          <c:order val="80"/>
          <c:tx>
            <c:v>UMTRI Hip Width Left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'US Child Data'!$BP$3:$BP$17</c:f>
              <c:numCache>
                <c:formatCode>0.0</c:formatCode>
                <c:ptCount val="15"/>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Data'!$BN$3:$BN$17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D-4D3D-4790-8CB8-1867A54F05A8}"/>
            </c:ext>
          </c:extLst>
        </c:ser>
        <c:ser>
          <c:idx val="6"/>
          <c:order val="81"/>
          <c:tx>
            <c:v>UMTRI Hip Width Right Mean</c:v>
          </c:tx>
          <c:spPr>
            <a:ln w="0" cap="rnd">
              <a:solidFill>
                <a:schemeClr val="bg1"/>
              </a:solidFill>
              <a:round/>
            </a:ln>
            <a:effectLst/>
          </c:spPr>
          <c:marker>
            <c:symbol val="circle"/>
            <c:size val="5"/>
            <c:spPr>
              <a:solidFill>
                <a:srgbClr val="00B050"/>
              </a:solidFill>
              <a:ln w="9525">
                <a:solidFill>
                  <a:schemeClr val="tx1"/>
                </a:solidFill>
              </a:ln>
              <a:effectLst/>
            </c:spPr>
          </c:marker>
          <c:xVal>
            <c:numRef>
              <c:f>'US Child Data'!$BL$3:$BL$17</c:f>
              <c:numCache>
                <c:formatCode>0.0</c:formatCode>
                <c:ptCount val="15"/>
                <c:pt idx="0">
                  <c:v>-6.7309999999999999</c:v>
                </c:pt>
                <c:pt idx="1">
                  <c:v>-7.7469999999999999</c:v>
                </c:pt>
                <c:pt idx="2">
                  <c:v>-8.5090000000000003</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Data'!$BN$3:$BN$17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E-4D3D-4790-8CB8-1867A54F05A8}"/>
            </c:ext>
          </c:extLst>
        </c:ser>
        <c:ser>
          <c:idx val="7"/>
          <c:order val="82"/>
          <c:tx>
            <c:v>UMTRI Hip Width Left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Data'!$BQ$3:$BQ$17</c:f>
              <c:numCache>
                <c:formatCode>0.0</c:formatCode>
                <c:ptCount val="15"/>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Data'!$BN$3:$BN$17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6F-4D3D-4790-8CB8-1867A54F05A8}"/>
            </c:ext>
          </c:extLst>
        </c:ser>
        <c:ser>
          <c:idx val="8"/>
          <c:order val="83"/>
          <c:tx>
            <c:v>UMTRI Hip Width Right 95th</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Data'!$BM$3:$BM$17</c:f>
              <c:numCache>
                <c:formatCode>0.0</c:formatCode>
                <c:ptCount val="15"/>
                <c:pt idx="0">
                  <c:v>-8.7629999999999999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Data'!$BN$3:$BN$17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0-4D3D-4790-8CB8-1867A54F05A8}"/>
            </c:ext>
          </c:extLst>
        </c:ser>
        <c:ser>
          <c:idx val="64"/>
          <c:order val="84"/>
          <c:tx>
            <c:v>UMTRI Shoulder Breadth 5th Left</c:v>
          </c:tx>
          <c:spPr>
            <a:ln w="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Data'!$BW$3:$BW$17</c:f>
              <c:numCache>
                <c:formatCode>0.00</c:formatCode>
                <c:ptCount val="15"/>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1-4D3D-4790-8CB8-1867A54F05A8}"/>
            </c:ext>
          </c:extLst>
        </c:ser>
        <c:ser>
          <c:idx val="63"/>
          <c:order val="85"/>
          <c:tx>
            <c:v>UMTRI Shoulder Breadth 5th Right</c:v>
          </c:tx>
          <c:spPr>
            <a:ln w="19050" cap="rnd">
              <a:solidFill>
                <a:schemeClr val="bg1"/>
              </a:solidFill>
              <a:round/>
            </a:ln>
            <a:effectLst/>
          </c:spPr>
          <c:marker>
            <c:symbol val="circle"/>
            <c:size val="5"/>
            <c:spPr>
              <a:solidFill>
                <a:schemeClr val="accent5">
                  <a:lumMod val="60000"/>
                  <a:lumOff val="40000"/>
                </a:schemeClr>
              </a:solidFill>
              <a:ln w="9525">
                <a:solidFill>
                  <a:schemeClr val="tx1"/>
                </a:solidFill>
              </a:ln>
              <a:effectLst/>
            </c:spPr>
          </c:marker>
          <c:xVal>
            <c:numRef>
              <c:f>'US Child Data'!$BS$3:$BS$17</c:f>
              <c:numCache>
                <c:formatCode>0.0</c:formatCode>
                <c:ptCount val="15"/>
                <c:pt idx="0">
                  <c:v>-6.35</c:v>
                </c:pt>
                <c:pt idx="1">
                  <c:v>-8.2550000000000008</c:v>
                </c:pt>
                <c:pt idx="2">
                  <c:v>-9.3979999999999997</c:v>
                </c:pt>
                <c:pt idx="3">
                  <c:v>-9.9060000000000006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2-4D3D-4790-8CB8-1867A54F05A8}"/>
            </c:ext>
          </c:extLst>
        </c:ser>
        <c:ser>
          <c:idx val="66"/>
          <c:order val="86"/>
          <c:tx>
            <c:v>UMTRI Shoulder Breadth Mean Left</c:v>
          </c:tx>
          <c:spPr>
            <a:ln w="0" cap="rnd">
              <a:solidFill>
                <a:schemeClr val="bg1"/>
              </a:solidFill>
              <a:round/>
            </a:ln>
            <a:effectLst/>
          </c:spPr>
          <c:marker>
            <c:symbol val="circle"/>
            <c:size val="5"/>
            <c:spPr>
              <a:solidFill>
                <a:srgbClr val="00B050"/>
              </a:solidFill>
              <a:ln w="9525">
                <a:solidFill>
                  <a:schemeClr val="tx1"/>
                </a:solidFill>
              </a:ln>
              <a:effectLst/>
            </c:spPr>
          </c:marker>
          <c:xVal>
            <c:numRef>
              <c:f>'US Child Data'!$BX$3:$BX$17</c:f>
              <c:numCache>
                <c:formatCode>0.00</c:formatCode>
                <c:ptCount val="15"/>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Data'!$P$3:$P$17</c:f>
              <c:numCache>
                <c:formatCode>0.0</c:formatCode>
                <c:ptCount val="15"/>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3-4D3D-4790-8CB8-1867A54F05A8}"/>
            </c:ext>
          </c:extLst>
        </c:ser>
        <c:ser>
          <c:idx val="65"/>
          <c:order val="87"/>
          <c:tx>
            <c:v>UMTRI Shoulder Breadth Mean Right</c:v>
          </c:tx>
          <c:spPr>
            <a:ln w="0" cap="rnd">
              <a:solidFill>
                <a:schemeClr val="bg1"/>
              </a:solidFill>
              <a:round/>
            </a:ln>
            <a:effectLst/>
          </c:spPr>
          <c:marker>
            <c:symbol val="circle"/>
            <c:size val="5"/>
            <c:spPr>
              <a:solidFill>
                <a:srgbClr val="00B050"/>
              </a:solidFill>
              <a:ln w="9525">
                <a:solidFill>
                  <a:schemeClr val="tx1"/>
                </a:solidFill>
              </a:ln>
              <a:effectLst/>
            </c:spPr>
          </c:marker>
          <c:xVal>
            <c:numRef>
              <c:f>'US Child Data'!$BT$3:$BT$17</c:f>
              <c:numCache>
                <c:formatCode>0.0</c:formatCode>
                <c:ptCount val="15"/>
                <c:pt idx="0">
                  <c:v>-8.1280000000000001</c:v>
                </c:pt>
                <c:pt idx="1">
                  <c:v>-9.7789999999999999</c:v>
                </c:pt>
                <c:pt idx="2">
                  <c:v>-10.667999999999999</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Data'!$P$3:$P$17</c:f>
              <c:numCache>
                <c:formatCode>0.0</c:formatCode>
                <c:ptCount val="15"/>
                <c:pt idx="0">
                  <c:v>27.146000000000001</c:v>
                </c:pt>
                <c:pt idx="1">
                  <c:v>30.956000000000003</c:v>
                </c:pt>
                <c:pt idx="2">
                  <c:v>32.733999999999995</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4-4D3D-4790-8CB8-1867A54F05A8}"/>
            </c:ext>
          </c:extLst>
        </c:ser>
        <c:ser>
          <c:idx val="103"/>
          <c:order val="88"/>
          <c:tx>
            <c:v>UMTRI Shoulder Breadth 95th Left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Data'!$BY$3:$BY$17</c:f>
              <c:numCache>
                <c:formatCode>0.00</c:formatCode>
                <c:ptCount val="15"/>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5-4D3D-4790-8CB8-1867A54F05A8}"/>
            </c:ext>
          </c:extLst>
        </c:ser>
        <c:ser>
          <c:idx val="102"/>
          <c:order val="89"/>
          <c:tx>
            <c:v>UMTRI Shoulder Breadth 95th Right</c:v>
          </c:tx>
          <c:spPr>
            <a:ln w="0" cap="rnd">
              <a:solidFill>
                <a:schemeClr val="bg1"/>
              </a:solidFill>
              <a:round/>
            </a:ln>
            <a:effectLst/>
          </c:spPr>
          <c:marker>
            <c:symbol val="circle"/>
            <c:size val="5"/>
            <c:spPr>
              <a:solidFill>
                <a:schemeClr val="accent4">
                  <a:lumMod val="50000"/>
                </a:schemeClr>
              </a:solidFill>
              <a:ln w="9525">
                <a:solidFill>
                  <a:schemeClr val="tx1"/>
                </a:solidFill>
              </a:ln>
              <a:effectLst/>
            </c:spPr>
          </c:marker>
          <c:xVal>
            <c:numRef>
              <c:f>'US Child Data'!$BU$3:$BU$17</c:f>
              <c:numCache>
                <c:formatCode>0.0</c:formatCode>
                <c:ptCount val="15"/>
                <c:pt idx="0">
                  <c:v>-9.9060000000000006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76-4D3D-4790-8CB8-1867A54F05A8}"/>
            </c:ext>
          </c:extLst>
        </c:ser>
        <c:ser>
          <c:idx val="104"/>
          <c:order val="90"/>
          <c:tx>
            <c:v>CAMI-Newborn Seated Height</c:v>
          </c:tx>
          <c:spPr>
            <a:ln w="19050" cap="rnd">
              <a:solidFill>
                <a:schemeClr val="accent3">
                  <a:lumMod val="50000"/>
                  <a:lumOff val="50000"/>
                </a:schemeClr>
              </a:solidFill>
              <a:round/>
            </a:ln>
            <a:effectLst/>
          </c:spPr>
          <c:marker>
            <c:symbol val="dash"/>
            <c:size val="15"/>
            <c:spPr>
              <a:solidFill>
                <a:srgbClr val="FF0000"/>
              </a:solidFill>
              <a:ln w="9525">
                <a:solidFill>
                  <a:schemeClr val="tx1"/>
                </a:solidFill>
              </a:ln>
              <a:effectLst/>
            </c:spPr>
          </c:marker>
          <c:dLbls>
            <c:dLbl>
              <c:idx val="0"/>
              <c:layout>
                <c:manualLayout>
                  <c:x val="-0.24305663629036514"/>
                  <c:y val="-1.1002179470285711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0.19883680302192627"/>
                      <c:h val="2.3089025950831486E-2"/>
                    </c:manualLayout>
                  </c15:layout>
                </c:ext>
                <c:ext xmlns:c16="http://schemas.microsoft.com/office/drawing/2014/chart" uri="{C3380CC4-5D6E-409C-BE32-E72D297353CC}">
                  <c16:uniqueId val="{00000077-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Solution!$AH$20</c:f>
              <c:numCache>
                <c:formatCode>General</c:formatCode>
                <c:ptCount val="1"/>
                <c:pt idx="0">
                  <c:v>0</c:v>
                </c:pt>
              </c:numCache>
            </c:numRef>
          </c:xVal>
          <c:yVal>
            <c:numRef>
              <c:f>Solution!$AA$20</c:f>
              <c:numCache>
                <c:formatCode>0.0</c:formatCode>
                <c:ptCount val="1"/>
                <c:pt idx="0">
                  <c:v>36.299999999999997</c:v>
                </c:pt>
              </c:numCache>
            </c:numRef>
          </c:yVal>
          <c:smooth val="1"/>
          <c:extLst>
            <c:ext xmlns:c16="http://schemas.microsoft.com/office/drawing/2014/chart" uri="{C3380CC4-5D6E-409C-BE32-E72D297353CC}">
              <c16:uniqueId val="{00000078-4D3D-4790-8CB8-1867A54F05A8}"/>
            </c:ext>
          </c:extLst>
        </c:ser>
        <c:ser>
          <c:idx val="105"/>
          <c:order val="91"/>
          <c:tx>
            <c:v>CAMI-6mo Seated Height</c:v>
          </c:tx>
          <c:spPr>
            <a:ln w="19050" cap="rnd">
              <a:solidFill>
                <a:schemeClr val="accent4">
                  <a:lumMod val="50000"/>
                  <a:lumOff val="5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Solution!$AH$21</c:f>
              <c:numCache>
                <c:formatCode>General</c:formatCode>
                <c:ptCount val="1"/>
                <c:pt idx="0">
                  <c:v>0</c:v>
                </c:pt>
              </c:numCache>
            </c:numRef>
          </c:xVal>
          <c:yVal>
            <c:numRef>
              <c:f>Solution!$AA$21</c:f>
              <c:numCache>
                <c:formatCode>0.0</c:formatCode>
                <c:ptCount val="1"/>
                <c:pt idx="0">
                  <c:v>46.45</c:v>
                </c:pt>
              </c:numCache>
            </c:numRef>
          </c:yVal>
          <c:smooth val="1"/>
          <c:extLst>
            <c:ext xmlns:c16="http://schemas.microsoft.com/office/drawing/2014/chart" uri="{C3380CC4-5D6E-409C-BE32-E72D297353CC}">
              <c16:uniqueId val="{00000079-4D3D-4790-8CB8-1867A54F05A8}"/>
            </c:ext>
          </c:extLst>
        </c:ser>
        <c:ser>
          <c:idx val="106"/>
          <c:order val="92"/>
          <c:tx>
            <c:v>Q0 Seated Height</c:v>
          </c:tx>
          <c:spPr>
            <a:ln w="19050" cap="rnd">
              <a:solidFill>
                <a:schemeClr val="accent5">
                  <a:lumMod val="50000"/>
                  <a:lumOff val="50000"/>
                </a:schemeClr>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Solution!$AH$22</c:f>
              <c:numCache>
                <c:formatCode>General</c:formatCode>
                <c:ptCount val="1"/>
                <c:pt idx="0">
                  <c:v>0</c:v>
                </c:pt>
              </c:numCache>
            </c:numRef>
          </c:xVal>
          <c:yVal>
            <c:numRef>
              <c:f>Solution!$AA$22</c:f>
              <c:numCache>
                <c:formatCode>0.0</c:formatCode>
                <c:ptCount val="1"/>
                <c:pt idx="0">
                  <c:v>0</c:v>
                </c:pt>
              </c:numCache>
            </c:numRef>
          </c:yVal>
          <c:smooth val="1"/>
          <c:extLst>
            <c:ext xmlns:c16="http://schemas.microsoft.com/office/drawing/2014/chart" uri="{C3380CC4-5D6E-409C-BE32-E72D297353CC}">
              <c16:uniqueId val="{0000007A-4D3D-4790-8CB8-1867A54F05A8}"/>
            </c:ext>
          </c:extLst>
        </c:ser>
        <c:ser>
          <c:idx val="107"/>
          <c:order val="93"/>
          <c:tx>
            <c:v>Q1 Seated Height</c:v>
          </c:tx>
          <c:spPr>
            <a:ln w="19050" cap="rnd">
              <a:solidFill>
                <a:schemeClr val="accent6">
                  <a:lumMod val="50000"/>
                  <a:lumOff val="50000"/>
                </a:schemeClr>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Solution!$AH$23</c:f>
              <c:numCache>
                <c:formatCode>General</c:formatCode>
                <c:ptCount val="1"/>
                <c:pt idx="0">
                  <c:v>0</c:v>
                </c:pt>
              </c:numCache>
            </c:numRef>
          </c:xVal>
          <c:yVal>
            <c:numRef>
              <c:f>Solution!$AA$23</c:f>
              <c:numCache>
                <c:formatCode>0.0</c:formatCode>
                <c:ptCount val="1"/>
                <c:pt idx="0">
                  <c:v>0</c:v>
                </c:pt>
              </c:numCache>
            </c:numRef>
          </c:yVal>
          <c:smooth val="1"/>
          <c:extLst>
            <c:ext xmlns:c16="http://schemas.microsoft.com/office/drawing/2014/chart" uri="{C3380CC4-5D6E-409C-BE32-E72D297353CC}">
              <c16:uniqueId val="{0000007B-4D3D-4790-8CB8-1867A54F05A8}"/>
            </c:ext>
          </c:extLst>
        </c:ser>
        <c:ser>
          <c:idx val="108"/>
          <c:order val="94"/>
          <c:tx>
            <c:v>CRABI 12 Seated Height</c:v>
          </c:tx>
          <c:spPr>
            <a:ln w="19050" cap="rnd">
              <a:solidFill>
                <a:schemeClr val="accent1"/>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Solution!$AH$24</c:f>
              <c:numCache>
                <c:formatCode>General</c:formatCode>
                <c:ptCount val="1"/>
                <c:pt idx="0">
                  <c:v>0</c:v>
                </c:pt>
              </c:numCache>
            </c:numRef>
          </c:xVal>
          <c:yVal>
            <c:numRef>
              <c:f>Solution!$AA$24</c:f>
              <c:numCache>
                <c:formatCode>0.0</c:formatCode>
                <c:ptCount val="1"/>
                <c:pt idx="0">
                  <c:v>50</c:v>
                </c:pt>
              </c:numCache>
            </c:numRef>
          </c:yVal>
          <c:smooth val="1"/>
          <c:extLst>
            <c:ext xmlns:c16="http://schemas.microsoft.com/office/drawing/2014/chart" uri="{C3380CC4-5D6E-409C-BE32-E72D297353CC}">
              <c16:uniqueId val="{0000007C-4D3D-4790-8CB8-1867A54F05A8}"/>
            </c:ext>
          </c:extLst>
        </c:ser>
        <c:ser>
          <c:idx val="109"/>
          <c:order val="95"/>
          <c:tx>
            <c:v>Q1.5 Seated Height</c:v>
          </c:tx>
          <c:spPr>
            <a:ln w="19050" cap="rnd">
              <a:solidFill>
                <a:schemeClr val="accent2"/>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Solution!$AH$25</c:f>
              <c:numCache>
                <c:formatCode>General</c:formatCode>
                <c:ptCount val="1"/>
                <c:pt idx="0">
                  <c:v>0</c:v>
                </c:pt>
              </c:numCache>
            </c:numRef>
          </c:xVal>
          <c:yVal>
            <c:numRef>
              <c:f>Solution!$AA$25</c:f>
              <c:numCache>
                <c:formatCode>0.0</c:formatCode>
                <c:ptCount val="1"/>
                <c:pt idx="0">
                  <c:v>0</c:v>
                </c:pt>
              </c:numCache>
            </c:numRef>
          </c:yVal>
          <c:smooth val="1"/>
          <c:extLst>
            <c:ext xmlns:c16="http://schemas.microsoft.com/office/drawing/2014/chart" uri="{C3380CC4-5D6E-409C-BE32-E72D297353CC}">
              <c16:uniqueId val="{0000007D-4D3D-4790-8CB8-1867A54F05A8}"/>
            </c:ext>
          </c:extLst>
        </c:ser>
        <c:ser>
          <c:idx val="110"/>
          <c:order val="96"/>
          <c:tx>
            <c:v>CRABI 18 Seated Height</c:v>
          </c:tx>
          <c:spPr>
            <a:ln w="19050" cap="rnd">
              <a:solidFill>
                <a:schemeClr val="accent3"/>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Solution!$AH$26</c:f>
              <c:numCache>
                <c:formatCode>General</c:formatCode>
                <c:ptCount val="1"/>
                <c:pt idx="0">
                  <c:v>0</c:v>
                </c:pt>
              </c:numCache>
            </c:numRef>
          </c:xVal>
          <c:yVal>
            <c:numRef>
              <c:f>Solution!$AA$26</c:f>
              <c:numCache>
                <c:formatCode>0.0</c:formatCode>
                <c:ptCount val="1"/>
                <c:pt idx="0">
                  <c:v>52.5</c:v>
                </c:pt>
              </c:numCache>
            </c:numRef>
          </c:yVal>
          <c:smooth val="1"/>
          <c:extLst>
            <c:ext xmlns:c16="http://schemas.microsoft.com/office/drawing/2014/chart" uri="{C3380CC4-5D6E-409C-BE32-E72D297353CC}">
              <c16:uniqueId val="{0000007E-4D3D-4790-8CB8-1867A54F05A8}"/>
            </c:ext>
          </c:extLst>
        </c:ser>
        <c:ser>
          <c:idx val="111"/>
          <c:order val="97"/>
          <c:tx>
            <c:v>Q3 Seated Height</c:v>
          </c:tx>
          <c:spPr>
            <a:ln w="19050" cap="rnd">
              <a:solidFill>
                <a:schemeClr val="accent4"/>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Solution!$AH$27</c:f>
              <c:numCache>
                <c:formatCode>General</c:formatCode>
                <c:ptCount val="1"/>
                <c:pt idx="0">
                  <c:v>0</c:v>
                </c:pt>
              </c:numCache>
            </c:numRef>
          </c:xVal>
          <c:yVal>
            <c:numRef>
              <c:f>Solution!$AA$27</c:f>
              <c:numCache>
                <c:formatCode>0.0</c:formatCode>
                <c:ptCount val="1"/>
                <c:pt idx="0">
                  <c:v>0</c:v>
                </c:pt>
              </c:numCache>
            </c:numRef>
          </c:yVal>
          <c:smooth val="1"/>
          <c:extLst>
            <c:ext xmlns:c16="http://schemas.microsoft.com/office/drawing/2014/chart" uri="{C3380CC4-5D6E-409C-BE32-E72D297353CC}">
              <c16:uniqueId val="{0000007F-4D3D-4790-8CB8-1867A54F05A8}"/>
            </c:ext>
          </c:extLst>
        </c:ser>
        <c:ser>
          <c:idx val="112"/>
          <c:order val="98"/>
          <c:tx>
            <c:v>HIII-3yr Seated Height</c:v>
          </c:tx>
          <c:spPr>
            <a:ln w="19050" cap="rnd">
              <a:solidFill>
                <a:schemeClr val="accent5"/>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Solution!$AH$28</c:f>
              <c:numCache>
                <c:formatCode>General</c:formatCode>
                <c:ptCount val="1"/>
                <c:pt idx="0">
                  <c:v>0</c:v>
                </c:pt>
              </c:numCache>
            </c:numRef>
          </c:xVal>
          <c:yVal>
            <c:numRef>
              <c:f>Solution!$AA$28</c:f>
              <c:numCache>
                <c:formatCode>0.0</c:formatCode>
                <c:ptCount val="1"/>
                <c:pt idx="0">
                  <c:v>0</c:v>
                </c:pt>
              </c:numCache>
            </c:numRef>
          </c:yVal>
          <c:smooth val="1"/>
          <c:extLst>
            <c:ext xmlns:c16="http://schemas.microsoft.com/office/drawing/2014/chart" uri="{C3380CC4-5D6E-409C-BE32-E72D297353CC}">
              <c16:uniqueId val="{00000080-4D3D-4790-8CB8-1867A54F05A8}"/>
            </c:ext>
          </c:extLst>
        </c:ser>
        <c:ser>
          <c:idx val="113"/>
          <c:order val="99"/>
          <c:tx>
            <c:v>Q6 Seated Height</c:v>
          </c:tx>
          <c:spPr>
            <a:ln w="19050" cap="rnd">
              <a:solidFill>
                <a:schemeClr val="accent6"/>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Solution!$AH$29</c:f>
              <c:numCache>
                <c:formatCode>General</c:formatCode>
                <c:ptCount val="1"/>
                <c:pt idx="0">
                  <c:v>0</c:v>
                </c:pt>
              </c:numCache>
            </c:numRef>
          </c:xVal>
          <c:yVal>
            <c:numRef>
              <c:f>Solution!$AA$29</c:f>
              <c:numCache>
                <c:formatCode>0.0</c:formatCode>
                <c:ptCount val="1"/>
                <c:pt idx="0">
                  <c:v>0</c:v>
                </c:pt>
              </c:numCache>
            </c:numRef>
          </c:yVal>
          <c:smooth val="1"/>
          <c:extLst>
            <c:ext xmlns:c16="http://schemas.microsoft.com/office/drawing/2014/chart" uri="{C3380CC4-5D6E-409C-BE32-E72D297353CC}">
              <c16:uniqueId val="{00000081-4D3D-4790-8CB8-1867A54F05A8}"/>
            </c:ext>
          </c:extLst>
        </c:ser>
        <c:ser>
          <c:idx val="114"/>
          <c:order val="100"/>
          <c:tx>
            <c:v>HIII-6yr Seated Height</c:v>
          </c:tx>
          <c:spPr>
            <a:ln w="19050" cap="rnd">
              <a:no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Solution!$AH$30</c:f>
              <c:numCache>
                <c:formatCode>General</c:formatCode>
                <c:ptCount val="1"/>
                <c:pt idx="0">
                  <c:v>0</c:v>
                </c:pt>
              </c:numCache>
            </c:numRef>
          </c:xVal>
          <c:yVal>
            <c:numRef>
              <c:f>Solution!$AA$30</c:f>
              <c:numCache>
                <c:formatCode>0.0</c:formatCode>
                <c:ptCount val="1"/>
                <c:pt idx="0">
                  <c:v>0</c:v>
                </c:pt>
              </c:numCache>
            </c:numRef>
          </c:yVal>
          <c:smooth val="1"/>
          <c:extLst>
            <c:ext xmlns:c16="http://schemas.microsoft.com/office/drawing/2014/chart" uri="{C3380CC4-5D6E-409C-BE32-E72D297353CC}">
              <c16:uniqueId val="{00000082-4D3D-4790-8CB8-1867A54F05A8}"/>
            </c:ext>
          </c:extLst>
        </c:ser>
        <c:ser>
          <c:idx val="115"/>
          <c:order val="101"/>
          <c:tx>
            <c:v>HIII-6yr wtd Seated Height</c:v>
          </c:tx>
          <c:spPr>
            <a:ln w="19050" cap="rnd">
              <a:solidFill>
                <a:schemeClr val="accent2">
                  <a:lumMod val="6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Solution!$AH$31</c:f>
              <c:numCache>
                <c:formatCode>General</c:formatCode>
                <c:ptCount val="1"/>
                <c:pt idx="0">
                  <c:v>0</c:v>
                </c:pt>
              </c:numCache>
            </c:numRef>
          </c:xVal>
          <c:yVal>
            <c:numRef>
              <c:f>Solution!$AA$31</c:f>
              <c:numCache>
                <c:formatCode>0.0</c:formatCode>
                <c:ptCount val="1"/>
                <c:pt idx="0">
                  <c:v>0</c:v>
                </c:pt>
              </c:numCache>
            </c:numRef>
          </c:yVal>
          <c:smooth val="1"/>
          <c:extLst>
            <c:ext xmlns:c16="http://schemas.microsoft.com/office/drawing/2014/chart" uri="{C3380CC4-5D6E-409C-BE32-E72D297353CC}">
              <c16:uniqueId val="{00000083-4D3D-4790-8CB8-1867A54F05A8}"/>
            </c:ext>
          </c:extLst>
        </c:ser>
        <c:ser>
          <c:idx val="116"/>
          <c:order val="102"/>
          <c:tx>
            <c:v>HIII-10yr Seated Height</c:v>
          </c:tx>
          <c:spPr>
            <a:ln w="19050" cap="rnd">
              <a:solidFill>
                <a:schemeClr val="accent3">
                  <a:lumMod val="6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Solution!$AH$32</c:f>
              <c:numCache>
                <c:formatCode>General</c:formatCode>
                <c:ptCount val="1"/>
                <c:pt idx="0">
                  <c:v>0</c:v>
                </c:pt>
              </c:numCache>
            </c:numRef>
          </c:xVal>
          <c:yVal>
            <c:numRef>
              <c:f>Solution!$AA$32</c:f>
              <c:numCache>
                <c:formatCode>0.0</c:formatCode>
                <c:ptCount val="1"/>
                <c:pt idx="0">
                  <c:v>0</c:v>
                </c:pt>
              </c:numCache>
            </c:numRef>
          </c:yVal>
          <c:smooth val="1"/>
          <c:extLst>
            <c:ext xmlns:c16="http://schemas.microsoft.com/office/drawing/2014/chart" uri="{C3380CC4-5D6E-409C-BE32-E72D297353CC}">
              <c16:uniqueId val="{00000084-4D3D-4790-8CB8-1867A54F05A8}"/>
            </c:ext>
          </c:extLst>
        </c:ser>
        <c:ser>
          <c:idx val="117"/>
          <c:order val="103"/>
          <c:tx>
            <c:v>Q10 Seated Height</c:v>
          </c:tx>
          <c:spPr>
            <a:ln w="19050" cap="rnd">
              <a:solidFill>
                <a:schemeClr val="accent4">
                  <a:lumMod val="60000"/>
                </a:schemeClr>
              </a:solidFill>
              <a:round/>
            </a:ln>
            <a:effectLst/>
          </c:spPr>
          <c:marker>
            <c:symbol val="dash"/>
            <c:size val="15"/>
            <c:spPr>
              <a:solidFill>
                <a:srgbClr val="0070C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Solution!$AH$33</c:f>
              <c:numCache>
                <c:formatCode>General</c:formatCode>
                <c:ptCount val="1"/>
                <c:pt idx="0">
                  <c:v>0</c:v>
                </c:pt>
              </c:numCache>
            </c:numRef>
          </c:xVal>
          <c:yVal>
            <c:numRef>
              <c:f>Solution!$AA$33</c:f>
              <c:numCache>
                <c:formatCode>0.0</c:formatCode>
                <c:ptCount val="1"/>
                <c:pt idx="0">
                  <c:v>0</c:v>
                </c:pt>
              </c:numCache>
            </c:numRef>
          </c:yVal>
          <c:smooth val="1"/>
          <c:extLst>
            <c:ext xmlns:c16="http://schemas.microsoft.com/office/drawing/2014/chart" uri="{C3380CC4-5D6E-409C-BE32-E72D297353CC}">
              <c16:uniqueId val="{00000085-4D3D-4790-8CB8-1867A54F05A8}"/>
            </c:ext>
          </c:extLst>
        </c:ser>
        <c:ser>
          <c:idx val="72"/>
          <c:order val="104"/>
          <c:tx>
            <c:v>Primi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
                  <c:y val="-8.395522388059701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6-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Solution!$AN$19:$AN$22</c:f>
              <c:numCache>
                <c:formatCode>0.0</c:formatCode>
                <c:ptCount val="4"/>
                <c:pt idx="0">
                  <c:v>-4.5</c:v>
                </c:pt>
                <c:pt idx="1">
                  <c:v>-4.1400000000000006</c:v>
                </c:pt>
                <c:pt idx="2">
                  <c:v>-1.6560000000000004</c:v>
                </c:pt>
                <c:pt idx="3">
                  <c:v>0</c:v>
                </c:pt>
              </c:numCache>
            </c:numRef>
          </c:xVal>
          <c:yVal>
            <c:numRef>
              <c:f>Solution!$AO$19:$AO$22</c:f>
              <c:numCache>
                <c:formatCode>0.0</c:formatCode>
                <c:ptCount val="4"/>
                <c:pt idx="0">
                  <c:v>-2</c:v>
                </c:pt>
                <c:pt idx="1">
                  <c:v>-4.07</c:v>
                </c:pt>
                <c:pt idx="2">
                  <c:v>-6.1400000000000006</c:v>
                </c:pt>
                <c:pt idx="3">
                  <c:v>-6.5</c:v>
                </c:pt>
              </c:numCache>
            </c:numRef>
          </c:yVal>
          <c:smooth val="1"/>
          <c:extLst>
            <c:ext xmlns:c16="http://schemas.microsoft.com/office/drawing/2014/chart" uri="{C3380CC4-5D6E-409C-BE32-E72D297353CC}">
              <c16:uniqueId val="{00000087-4D3D-4790-8CB8-1867A54F05A8}"/>
            </c:ext>
          </c:extLst>
        </c:ser>
        <c:ser>
          <c:idx val="73"/>
          <c:order val="105"/>
          <c:tx>
            <c:v>Primi Shoulder Right</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2"/>
              <c:dLblPos val="l"/>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8-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Solution!$AX$20:$AX$22</c:f>
              <c:numCache>
                <c:formatCode>0.0</c:formatCode>
                <c:ptCount val="3"/>
                <c:pt idx="0">
                  <c:v>-6.4418181818181814</c:v>
                </c:pt>
                <c:pt idx="1">
                  <c:v>-7.4862545454545453</c:v>
                </c:pt>
                <c:pt idx="2">
                  <c:v>-7.5</c:v>
                </c:pt>
              </c:numCache>
            </c:numRef>
          </c:xVal>
          <c:yVal>
            <c:numRef>
              <c:f>Solution!$AY$20:$AY$22</c:f>
              <c:numCache>
                <c:formatCode>0.0</c:formatCode>
                <c:ptCount val="3"/>
                <c:pt idx="0">
                  <c:v>19</c:v>
                </c:pt>
                <c:pt idx="1">
                  <c:v>18.735454545454544</c:v>
                </c:pt>
                <c:pt idx="2">
                  <c:v>17.941818181818181</c:v>
                </c:pt>
              </c:numCache>
            </c:numRef>
          </c:yVal>
          <c:smooth val="1"/>
          <c:extLst>
            <c:ext xmlns:c16="http://schemas.microsoft.com/office/drawing/2014/chart" uri="{C3380CC4-5D6E-409C-BE32-E72D297353CC}">
              <c16:uniqueId val="{00000089-4D3D-4790-8CB8-1867A54F05A8}"/>
            </c:ext>
          </c:extLst>
        </c:ser>
        <c:ser>
          <c:idx val="75"/>
          <c:order val="106"/>
          <c:tx>
            <c:v>Primi Seated Height</c:v>
          </c:tx>
          <c:spPr>
            <a:ln w="19050" cap="rnd">
              <a:solidFill>
                <a:schemeClr val="accent4">
                  <a:lumMod val="80000"/>
                </a:schemeClr>
              </a:solidFill>
              <a:round/>
            </a:ln>
            <a:effectLst/>
          </c:spPr>
          <c:marker>
            <c:symbol val="dash"/>
            <c:size val="15"/>
            <c:spPr>
              <a:solidFill>
                <a:srgbClr val="FF0000"/>
              </a:solidFill>
              <a:ln w="9525">
                <a:solidFill>
                  <a:schemeClr val="tx1"/>
                </a:solidFill>
              </a:ln>
              <a:effectLst/>
            </c:spPr>
          </c:marker>
          <c:dLbls>
            <c:dLbl>
              <c:idx val="0"/>
              <c:layout>
                <c:manualLayout>
                  <c:x val="-5.791871510984991E-2"/>
                  <c:y val="3.35751116464918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0"/>
              <c:showCatName val="0"/>
              <c:showSerName val="1"/>
              <c:showPercent val="0"/>
              <c:showBubbleSize val="0"/>
              <c:extLst>
                <c:ext xmlns:c15="http://schemas.microsoft.com/office/drawing/2012/chart" uri="{CE6537A1-D6FC-4f65-9D91-7224C49458BB}">
                  <c15:layout>
                    <c:manualLayout>
                      <c:w val="8.7072758037225029E-2"/>
                      <c:h val="3.6366641203431659E-2"/>
                    </c:manualLayout>
                  </c15:layout>
                </c:ext>
                <c:ext xmlns:c16="http://schemas.microsoft.com/office/drawing/2014/chart" uri="{C3380CC4-5D6E-409C-BE32-E72D297353CC}">
                  <c16:uniqueId val="{0000008A-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Solution!$AH$19</c:f>
              <c:numCache>
                <c:formatCode>General</c:formatCode>
                <c:ptCount val="1"/>
                <c:pt idx="0">
                  <c:v>0</c:v>
                </c:pt>
              </c:numCache>
            </c:numRef>
          </c:xVal>
          <c:yVal>
            <c:numRef>
              <c:f>Solution!$AA$19</c:f>
              <c:numCache>
                <c:formatCode>General</c:formatCode>
                <c:ptCount val="1"/>
                <c:pt idx="0">
                  <c:v>29</c:v>
                </c:pt>
              </c:numCache>
            </c:numRef>
          </c:yVal>
          <c:smooth val="1"/>
          <c:extLst>
            <c:ext xmlns:c16="http://schemas.microsoft.com/office/drawing/2014/chart" uri="{C3380CC4-5D6E-409C-BE32-E72D297353CC}">
              <c16:uniqueId val="{0000008B-4D3D-4790-8CB8-1867A54F05A8}"/>
            </c:ext>
          </c:extLst>
        </c:ser>
        <c:ser>
          <c:idx val="77"/>
          <c:order val="107"/>
          <c:tx>
            <c:v>5th Female Seated Height</c:v>
          </c:tx>
          <c:spPr>
            <a:ln w="19050" cap="rnd">
              <a:solidFill>
                <a:schemeClr val="accent6">
                  <a:lumMod val="80000"/>
                </a:schemeClr>
              </a:solidFill>
              <a:round/>
            </a:ln>
            <a:effectLst/>
          </c:spPr>
          <c:marker>
            <c:symbol val="dash"/>
            <c:size val="15"/>
            <c:spPr>
              <a:solidFill>
                <a:srgbClr val="FF0000"/>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Solution!$AH$34</c:f>
              <c:numCache>
                <c:formatCode>General</c:formatCode>
                <c:ptCount val="1"/>
                <c:pt idx="0">
                  <c:v>0</c:v>
                </c:pt>
              </c:numCache>
            </c:numRef>
          </c:xVal>
          <c:yVal>
            <c:numRef>
              <c:f>Solution!$AA$34</c:f>
              <c:numCache>
                <c:formatCode>0.0</c:formatCode>
                <c:ptCount val="1"/>
                <c:pt idx="0">
                  <c:v>0</c:v>
                </c:pt>
              </c:numCache>
            </c:numRef>
          </c:yVal>
          <c:smooth val="1"/>
          <c:extLst>
            <c:ext xmlns:c16="http://schemas.microsoft.com/office/drawing/2014/chart" uri="{C3380CC4-5D6E-409C-BE32-E72D297353CC}">
              <c16:uniqueId val="{0000008C-4D3D-4790-8CB8-1867A54F05A8}"/>
            </c:ext>
          </c:extLst>
        </c:ser>
        <c:ser>
          <c:idx val="79"/>
          <c:order val="108"/>
          <c:tx>
            <c:v>5th Female Hip</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3349666978927538"/>
                  <c:y val="1.6503918966017782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D-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Solution!$AN$124:$AN$127</c:f>
              <c:numCache>
                <c:formatCode>0.0</c:formatCode>
                <c:ptCount val="4"/>
                <c:pt idx="0">
                  <c:v>0</c:v>
                </c:pt>
                <c:pt idx="1">
                  <c:v>0</c:v>
                </c:pt>
                <c:pt idx="2">
                  <c:v>0</c:v>
                </c:pt>
                <c:pt idx="3">
                  <c:v>0</c:v>
                </c:pt>
              </c:numCache>
            </c:numRef>
          </c:xVal>
          <c:yVal>
            <c:numRef>
              <c:f>Solution!$AO$124:$AO$127</c:f>
              <c:numCache>
                <c:formatCode>0.0</c:formatCode>
                <c:ptCount val="4"/>
                <c:pt idx="0">
                  <c:v>-2</c:v>
                </c:pt>
                <c:pt idx="1">
                  <c:v>-2</c:v>
                </c:pt>
                <c:pt idx="2">
                  <c:v>-2</c:v>
                </c:pt>
                <c:pt idx="3">
                  <c:v>-2</c:v>
                </c:pt>
              </c:numCache>
            </c:numRef>
          </c:yVal>
          <c:smooth val="1"/>
          <c:extLst>
            <c:ext xmlns:c16="http://schemas.microsoft.com/office/drawing/2014/chart" uri="{C3380CC4-5D6E-409C-BE32-E72D297353CC}">
              <c16:uniqueId val="{0000008E-4D3D-4790-8CB8-1867A54F05A8}"/>
            </c:ext>
          </c:extLst>
        </c:ser>
        <c:ser>
          <c:idx val="81"/>
          <c:order val="109"/>
          <c:tx>
            <c:v>5th Femle Right Shoulder</c:v>
          </c:tx>
          <c:spPr>
            <a:ln w="19050" cap="rnd">
              <a:solidFill>
                <a:srgbClr val="FF0000"/>
              </a:solidFill>
              <a:prstDash val="sysDash"/>
              <a:round/>
            </a:ln>
            <a:effectLst/>
          </c:spPr>
          <c:marker>
            <c:symbol val="circle"/>
            <c:size val="2"/>
            <c:spPr>
              <a:solidFill>
                <a:srgbClr val="FF0000"/>
              </a:solidFill>
              <a:ln w="9525">
                <a:solidFill>
                  <a:srgbClr val="FF0000"/>
                </a:solidFill>
              </a:ln>
              <a:effectLst/>
            </c:spPr>
          </c:marker>
          <c:dLbls>
            <c:dLbl>
              <c:idx val="1"/>
              <c:layout>
                <c:manualLayout>
                  <c:x val="-0.11265022886683214"/>
                  <c:y val="-3.080731540323323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8F-4D3D-4790-8CB8-1867A54F05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Solution!$AX$125:$AX$127</c:f>
              <c:numCache>
                <c:formatCode>General</c:formatCode>
                <c:ptCount val="3"/>
                <c:pt idx="0">
                  <c:v>0</c:v>
                </c:pt>
                <c:pt idx="1">
                  <c:v>0</c:v>
                </c:pt>
                <c:pt idx="2">
                  <c:v>0</c:v>
                </c:pt>
              </c:numCache>
            </c:numRef>
          </c:xVal>
          <c:yVal>
            <c:numRef>
              <c:f>Solution!$AY$125:$AY$127</c:f>
              <c:numCache>
                <c:formatCode>0.0</c:formatCode>
                <c:ptCount val="3"/>
                <c:pt idx="0">
                  <c:v>0</c:v>
                </c:pt>
                <c:pt idx="1">
                  <c:v>0</c:v>
                </c:pt>
                <c:pt idx="2">
                  <c:v>0</c:v>
                </c:pt>
              </c:numCache>
            </c:numRef>
          </c:yVal>
          <c:smooth val="1"/>
          <c:extLst>
            <c:ext xmlns:c16="http://schemas.microsoft.com/office/drawing/2014/chart" uri="{C3380CC4-5D6E-409C-BE32-E72D297353CC}">
              <c16:uniqueId val="{00000090-4D3D-4790-8CB8-1867A54F05A8}"/>
            </c:ext>
          </c:extLst>
        </c:ser>
        <c:ser>
          <c:idx val="84"/>
          <c:order val="110"/>
          <c:tx>
            <c:v>Lambs Seated Stature</c:v>
          </c:tx>
          <c:spPr>
            <a:ln w="19050" cap="rnd">
              <a:noFill/>
              <a:round/>
            </a:ln>
            <a:effectLst/>
          </c:spPr>
          <c:marker>
            <c:symbol val="dash"/>
            <c:size val="15"/>
            <c:spPr>
              <a:solidFill>
                <a:schemeClr val="accent4">
                  <a:lumMod val="20000"/>
                  <a:lumOff val="80000"/>
                </a:schemeClr>
              </a:solidFill>
              <a:ln w="9525">
                <a:solidFill>
                  <a:schemeClr val="tx1"/>
                </a:solidFill>
              </a:ln>
              <a:effectLst/>
            </c:spPr>
          </c:marker>
          <c:xVal>
            <c:numRef>
              <c:f>'little Lambs Data'!$D$14:$D$24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'little Lambs Data'!$F$14:$F$24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91-4D3D-4790-8CB8-1867A54F05A8}"/>
            </c:ext>
          </c:extLst>
        </c:ser>
        <c:ser>
          <c:idx val="85"/>
          <c:order val="111"/>
          <c:tx>
            <c:v>Lambs Right Shoulder</c:v>
          </c:tx>
          <c:spPr>
            <a:ln w="19050" cap="rnd">
              <a:noFill/>
              <a:round/>
            </a:ln>
            <a:effectLst/>
          </c:spPr>
          <c:marker>
            <c:symbol val="circle"/>
            <c:size val="10"/>
            <c:spPr>
              <a:solidFill>
                <a:schemeClr val="accent4">
                  <a:lumMod val="20000"/>
                  <a:lumOff val="80000"/>
                </a:schemeClr>
              </a:solidFill>
              <a:ln w="9525">
                <a:solidFill>
                  <a:schemeClr val="tx1"/>
                </a:solidFill>
              </a:ln>
              <a:effectLst/>
            </c:spPr>
          </c:marker>
          <c:xVal>
            <c:numRef>
              <c:f>'little Lambs Data'!$J$14:$J$24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'little Lambs Data'!$G$14:$G$24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92-4D3D-4790-8CB8-1867A54F05A8}"/>
            </c:ext>
          </c:extLst>
        </c:ser>
        <c:ser>
          <c:idx val="88"/>
          <c:order val="112"/>
          <c:tx>
            <c:v>Lambs Left Shoulder</c:v>
          </c:tx>
          <c:spPr>
            <a:ln w="19050" cap="rnd">
              <a:noFill/>
              <a:round/>
            </a:ln>
            <a:effectLst/>
          </c:spPr>
          <c:marker>
            <c:symbol val="circle"/>
            <c:size val="10"/>
            <c:spPr>
              <a:solidFill>
                <a:schemeClr val="accent4">
                  <a:lumMod val="20000"/>
                  <a:lumOff val="80000"/>
                </a:schemeClr>
              </a:solidFill>
              <a:ln w="9525">
                <a:solidFill>
                  <a:schemeClr val="tx1"/>
                </a:solidFill>
              </a:ln>
              <a:effectLst/>
            </c:spPr>
          </c:marker>
          <c:xVal>
            <c:numRef>
              <c:f>'little Lambs Data'!$K$14:$K$24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'little Lambs Data'!$G$14:$G$24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93-4D3D-4790-8CB8-1867A54F05A8}"/>
            </c:ext>
          </c:extLst>
        </c:ser>
        <c:dLbls>
          <c:showLegendKey val="0"/>
          <c:showVal val="0"/>
          <c:showCatName val="0"/>
          <c:showSerName val="0"/>
          <c:showPercent val="0"/>
          <c:showBubbleSize val="0"/>
        </c:dLbls>
        <c:axId val="597948288"/>
        <c:axId val="597947896"/>
      </c:scatterChart>
      <c:valAx>
        <c:axId val="597948288"/>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7947896"/>
        <c:crosses val="autoZero"/>
        <c:crossBetween val="midCat"/>
      </c:valAx>
      <c:valAx>
        <c:axId val="59794789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7948288"/>
        <c:crosses val="autoZero"/>
        <c:crossBetween val="midCat"/>
        <c:maj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Infant Carrier Anthropometery vs EU-CN-US-CA Regulation </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smoothMarker"/>
        <c:varyColors val="0"/>
        <c:ser>
          <c:idx val="0"/>
          <c:order val="0"/>
          <c:tx>
            <c:strRef>
              <c:f>'R129 Annex 18 Data'!$B$2</c:f>
              <c:strCache>
                <c:ptCount val="1"/>
                <c:pt idx="0">
                  <c:v> B Minimum Sitting height cm 95%ile</c:v>
                </c:pt>
              </c:strCache>
            </c:strRef>
          </c:tx>
          <c:spPr>
            <a:ln w="25400" cap="rnd">
              <a:solidFill>
                <a:srgbClr val="0070C0"/>
              </a:solidFill>
              <a:round/>
            </a:ln>
            <a:effectLst/>
          </c:spPr>
          <c:marker>
            <c:symbol val="circle"/>
            <c:size val="2"/>
            <c:spPr>
              <a:solidFill>
                <a:schemeClr val="accent1"/>
              </a:solidFill>
              <a:ln w="9525">
                <a:solidFill>
                  <a:schemeClr val="accent1"/>
                </a:solidFill>
              </a:ln>
              <a:effectLst/>
            </c:spPr>
          </c:marker>
          <c:dLbls>
            <c:dLbl>
              <c:idx val="0"/>
              <c:layout>
                <c:manualLayout>
                  <c:x val="-5.9357068095312937E-2"/>
                  <c:y val="-0.08"/>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D14-4111-94C8-554FDCFE2464}"/>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Data'!$B$3:$B$17</c:f>
              <c:numCache>
                <c:formatCode>General</c:formatCode>
                <c:ptCount val="15"/>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numCache>
            </c:numRef>
          </c:yVal>
          <c:smooth val="1"/>
          <c:extLst>
            <c:ext xmlns:c16="http://schemas.microsoft.com/office/drawing/2014/chart" uri="{C3380CC4-5D6E-409C-BE32-E72D297353CC}">
              <c16:uniqueId val="{00000001-3D14-4111-94C8-554FDCFE2464}"/>
            </c:ext>
          </c:extLst>
        </c:ser>
        <c:ser>
          <c:idx val="1"/>
          <c:order val="1"/>
          <c:tx>
            <c:strRef>
              <c:f>'R129 Annex 18 Data'!$C$2</c:f>
              <c:strCache>
                <c:ptCount val="1"/>
                <c:pt idx="0">
                  <c:v>C Minimum Shoulder breadth cm 95%ile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5.2158273381294966E-2"/>
                  <c:y val="3.703703703703703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3D14-4111-94C8-554FDCFE2464}"/>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Data'!$C$3:$C$17</c:f>
              <c:numCache>
                <c:formatCode>General</c:formatCode>
                <c:ptCount val="15"/>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numCache>
            </c:numRef>
          </c:yVal>
          <c:smooth val="1"/>
          <c:extLst>
            <c:ext xmlns:c16="http://schemas.microsoft.com/office/drawing/2014/chart" uri="{C3380CC4-5D6E-409C-BE32-E72D297353CC}">
              <c16:uniqueId val="{00000003-3D14-4111-94C8-554FDCFE2464}"/>
            </c:ext>
          </c:extLst>
        </c:ser>
        <c:ser>
          <c:idx val="2"/>
          <c:order val="2"/>
          <c:tx>
            <c:strRef>
              <c:f>'R129 Annex 18 Data'!$D$2</c:f>
              <c:strCache>
                <c:ptCount val="1"/>
                <c:pt idx="0">
                  <c:v> D Minimum Hip breadth cm 95%ile</c:v>
                </c:pt>
              </c:strCache>
            </c:strRef>
          </c:tx>
          <c:spPr>
            <a:ln w="25400" cap="rnd">
              <a:solidFill>
                <a:srgbClr val="0070C0"/>
              </a:solidFill>
              <a:round/>
            </a:ln>
            <a:effectLst/>
          </c:spPr>
          <c:marker>
            <c:symbol val="circle"/>
            <c:size val="2"/>
            <c:spPr>
              <a:solidFill>
                <a:srgbClr val="0070C0"/>
              </a:solidFill>
              <a:ln w="9525">
                <a:solidFill>
                  <a:schemeClr val="accent3"/>
                </a:solidFill>
              </a:ln>
              <a:effectLst/>
            </c:spPr>
          </c:marker>
          <c:dLbls>
            <c:dLbl>
              <c:idx val="0"/>
              <c:layout>
                <c:manualLayout>
                  <c:x val="2.8802605890693885E-2"/>
                  <c:y val="2.518518518518507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D14-4111-94C8-554FDCFE2464}"/>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Data'!$D$3:$D$17</c:f>
              <c:numCache>
                <c:formatCode>General</c:formatCode>
                <c:ptCount val="15"/>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numCache>
            </c:numRef>
          </c:yVal>
          <c:smooth val="1"/>
          <c:extLst>
            <c:ext xmlns:c16="http://schemas.microsoft.com/office/drawing/2014/chart" uri="{C3380CC4-5D6E-409C-BE32-E72D297353CC}">
              <c16:uniqueId val="{00000005-3D14-4111-94C8-554FDCFE2464}"/>
            </c:ext>
          </c:extLst>
        </c:ser>
        <c:ser>
          <c:idx val="3"/>
          <c:order val="3"/>
          <c:tx>
            <c:strRef>
              <c:f>'R129 Annex 18 Data'!$E$2</c:f>
              <c:strCache>
                <c:ptCount val="1"/>
                <c:pt idx="0">
                  <c:v>E1 Minimum Shoulder height cm 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7.5546067701281625E-2"/>
                  <c:y val="1.777777777777777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3D14-4111-94C8-554FDCFE2464}"/>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Data'!$E$3:$E$17</c:f>
              <c:numCache>
                <c:formatCode>General</c:formatCode>
                <c:ptCount val="15"/>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numCache>
            </c:numRef>
          </c:yVal>
          <c:smooth val="1"/>
          <c:extLst>
            <c:ext xmlns:c16="http://schemas.microsoft.com/office/drawing/2014/chart" uri="{C3380CC4-5D6E-409C-BE32-E72D297353CC}">
              <c16:uniqueId val="{00000007-3D14-4111-94C8-554FDCFE2464}"/>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circle"/>
            <c:size val="2"/>
            <c:spPr>
              <a:solidFill>
                <a:schemeClr val="accent5"/>
              </a:solidFill>
              <a:ln w="9525">
                <a:solidFill>
                  <a:schemeClr val="accent5"/>
                </a:solidFill>
              </a:ln>
              <a:effectLst/>
            </c:spPr>
          </c:marker>
          <c:dLbls>
            <c:dLbl>
              <c:idx val="0"/>
              <c:layout>
                <c:manualLayout>
                  <c:x val="-7.1049379143907285E-2"/>
                  <c:y val="-1.925925925925926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3D14-4111-94C8-554FDCFE2464}"/>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Data'!$F$3:$F$17</c:f>
              <c:numCache>
                <c:formatCode>General</c:formatCode>
                <c:ptCount val="15"/>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numCache>
            </c:numRef>
          </c:yVal>
          <c:smooth val="1"/>
          <c:extLst>
            <c:ext xmlns:c16="http://schemas.microsoft.com/office/drawing/2014/chart" uri="{C3380CC4-5D6E-409C-BE32-E72D297353CC}">
              <c16:uniqueId val="{00000009-3D14-4111-94C8-554FDCFE2464}"/>
            </c:ext>
          </c:extLst>
        </c:ser>
        <c:ser>
          <c:idx val="5"/>
          <c:order val="5"/>
          <c:tx>
            <c:v>Q1-B</c:v>
          </c:tx>
          <c:spPr>
            <a:ln w="19050" cap="rnd">
              <a:solidFill>
                <a:schemeClr val="accent6"/>
              </a:solidFill>
              <a:round/>
            </a:ln>
            <a:effectLst/>
          </c:spPr>
          <c:marker>
            <c:symbol val="circle"/>
            <c:size val="5"/>
            <c:spPr>
              <a:solidFill>
                <a:schemeClr val="accent6"/>
              </a:solidFill>
              <a:ln w="47625">
                <a:solidFill>
                  <a:srgbClr val="0070C0"/>
                </a:solidFill>
              </a:ln>
              <a:effectLst/>
            </c:spPr>
          </c:marker>
          <c:dLbls>
            <c:dLbl>
              <c:idx val="0"/>
              <c:layout>
                <c:manualLayout>
                  <c:x val="-6.7489634619174774E-2"/>
                  <c:y val="-4.745710285451825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numRef>
          </c:xVal>
          <c:yVal>
            <c:numRef>
              <c:f>Dummies!$C$5</c:f>
              <c:numCache>
                <c:formatCode>0.0</c:formatCode>
                <c:ptCount val="1"/>
                <c:pt idx="0">
                  <c:v>47.9</c:v>
                </c:pt>
              </c:numCache>
            </c:numRef>
          </c:yVal>
          <c:smooth val="1"/>
          <c:extLst>
            <c:ext xmlns:c16="http://schemas.microsoft.com/office/drawing/2014/chart" uri="{C3380CC4-5D6E-409C-BE32-E72D297353CC}">
              <c16:uniqueId val="{0000000B-3D14-4111-94C8-554FDCFE2464}"/>
            </c:ext>
          </c:extLst>
        </c:ser>
        <c:ser>
          <c:idx val="6"/>
          <c:order val="6"/>
          <c:tx>
            <c:v>Q1-E</c:v>
          </c:tx>
          <c:spPr>
            <a:ln w="19050" cap="rnd">
              <a:solidFill>
                <a:schemeClr val="accent1">
                  <a:lumMod val="60000"/>
                </a:schemeClr>
              </a:solidFill>
              <a:round/>
            </a:ln>
            <a:effectLst/>
          </c:spPr>
          <c:marker>
            <c:symbol val="circle"/>
            <c:size val="5"/>
            <c:spPr>
              <a:solidFill>
                <a:schemeClr val="accent1">
                  <a:lumMod val="60000"/>
                </a:schemeClr>
              </a:solidFill>
              <a:ln w="44450">
                <a:solidFill>
                  <a:schemeClr val="accent1">
                    <a:lumMod val="60000"/>
                  </a:schemeClr>
                </a:solidFill>
              </a:ln>
              <a:effectLst/>
            </c:spPr>
          </c:marker>
          <c:dLbls>
            <c:dLbl>
              <c:idx val="0"/>
              <c:layout>
                <c:manualLayout>
                  <c:x val="-6.74913348490883E-2"/>
                  <c:y val="3.708241632860775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numRef>
          </c:xVal>
          <c:yVal>
            <c:numRef>
              <c:f>Dummies!$D$5</c:f>
              <c:numCache>
                <c:formatCode>0.0</c:formatCode>
                <c:ptCount val="1"/>
                <c:pt idx="0">
                  <c:v>29.8</c:v>
                </c:pt>
              </c:numCache>
            </c:numRef>
          </c:yVal>
          <c:smooth val="1"/>
          <c:extLst>
            <c:ext xmlns:c16="http://schemas.microsoft.com/office/drawing/2014/chart" uri="{C3380CC4-5D6E-409C-BE32-E72D297353CC}">
              <c16:uniqueId val="{0000000D-3D14-4111-94C8-554FDCFE2464}"/>
            </c:ext>
          </c:extLst>
        </c:ser>
        <c:ser>
          <c:idx val="7"/>
          <c:order val="7"/>
          <c:tx>
            <c:v>Q1.5-B</c:v>
          </c:tx>
          <c:spPr>
            <a:ln w="19050" cap="rnd">
              <a:solidFill>
                <a:schemeClr val="accent2">
                  <a:lumMod val="60000"/>
                </a:schemeClr>
              </a:solidFill>
              <a:round/>
            </a:ln>
            <a:effectLst/>
          </c:spPr>
          <c:marker>
            <c:symbol val="circle"/>
            <c:size val="5"/>
            <c:spPr>
              <a:solidFill>
                <a:schemeClr val="accent2">
                  <a:lumMod val="60000"/>
                </a:schemeClr>
              </a:solidFill>
              <a:ln w="50800">
                <a:solidFill>
                  <a:srgbClr val="0070C0"/>
                </a:solidFill>
              </a:ln>
              <a:effectLst/>
            </c:spPr>
          </c:marker>
          <c:dLbls>
            <c:dLbl>
              <c:idx val="0"/>
              <c:layout>
                <c:manualLayout>
                  <c:x val="3.598819983765638E-3"/>
                  <c:y val="3.70595386291705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numRef>
          </c:xVal>
          <c:yVal>
            <c:numRef>
              <c:f>Dummies!$C$7</c:f>
              <c:numCache>
                <c:formatCode>0.0</c:formatCode>
                <c:ptCount val="1"/>
                <c:pt idx="0">
                  <c:v>49.9</c:v>
                </c:pt>
              </c:numCache>
            </c:numRef>
          </c:yVal>
          <c:smooth val="1"/>
          <c:extLst>
            <c:ext xmlns:c16="http://schemas.microsoft.com/office/drawing/2014/chart" uri="{C3380CC4-5D6E-409C-BE32-E72D297353CC}">
              <c16:uniqueId val="{0000000F-3D14-4111-94C8-554FDCFE2464}"/>
            </c:ext>
          </c:extLst>
        </c:ser>
        <c:ser>
          <c:idx val="8"/>
          <c:order val="8"/>
          <c:tx>
            <c:v>Q1.5-E</c:v>
          </c:tx>
          <c:spPr>
            <a:ln w="19050" cap="rnd">
              <a:solidFill>
                <a:schemeClr val="accent3">
                  <a:lumMod val="60000"/>
                </a:schemeClr>
              </a:solidFill>
              <a:round/>
            </a:ln>
            <a:effectLst/>
          </c:spPr>
          <c:marker>
            <c:symbol val="circle"/>
            <c:size val="5"/>
            <c:spPr>
              <a:solidFill>
                <a:schemeClr val="accent3">
                  <a:lumMod val="60000"/>
                </a:schemeClr>
              </a:solidFill>
              <a:ln w="50800">
                <a:solidFill>
                  <a:srgbClr val="0070C0"/>
                </a:solidFill>
              </a:ln>
              <a:effectLst/>
            </c:spPr>
          </c:marker>
          <c:dLbls>
            <c:dLbl>
              <c:idx val="0"/>
              <c:layout>
                <c:manualLayout>
                  <c:x val="2.6991464260196197E-3"/>
                  <c:y val="-6.375234762321375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numRef>
          </c:xVal>
          <c:yVal>
            <c:numRef>
              <c:f>Dummies!$D$7</c:f>
              <c:numCache>
                <c:formatCode>0.0</c:formatCode>
                <c:ptCount val="1"/>
                <c:pt idx="0">
                  <c:v>30.9</c:v>
                </c:pt>
              </c:numCache>
            </c:numRef>
          </c:yVal>
          <c:smooth val="1"/>
          <c:extLst>
            <c:ext xmlns:c16="http://schemas.microsoft.com/office/drawing/2014/chart" uri="{C3380CC4-5D6E-409C-BE32-E72D297353CC}">
              <c16:uniqueId val="{00000011-3D14-4111-94C8-554FDCFE2464}"/>
            </c:ext>
          </c:extLst>
        </c:ser>
        <c:ser>
          <c:idx val="9"/>
          <c:order val="9"/>
          <c:tx>
            <c:v>Q3-B</c:v>
          </c:tx>
          <c:spPr>
            <a:ln w="19050" cap="rnd">
              <a:solidFill>
                <a:schemeClr val="accent4">
                  <a:lumMod val="60000"/>
                </a:schemeClr>
              </a:solidFill>
              <a:round/>
            </a:ln>
            <a:effectLst/>
          </c:spPr>
          <c:marker>
            <c:symbol val="circle"/>
            <c:size val="5"/>
            <c:spPr>
              <a:solidFill>
                <a:schemeClr val="accent4">
                  <a:lumMod val="60000"/>
                </a:schemeClr>
              </a:solidFill>
              <a:ln w="50800">
                <a:solidFill>
                  <a:srgbClr val="0070C0"/>
                </a:solidFill>
              </a:ln>
              <a:effectLst/>
            </c:spPr>
          </c:marker>
          <c:dLbls>
            <c:dLbl>
              <c:idx val="0"/>
              <c:layout>
                <c:manualLayout>
                  <c:x val="1.4399248854330604E-2"/>
                  <c:y val="2.079545056867891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numRef>
          </c:xVal>
          <c:yVal>
            <c:numRef>
              <c:f>Dummies!$C$9</c:f>
              <c:numCache>
                <c:formatCode>0.0</c:formatCode>
                <c:ptCount val="1"/>
                <c:pt idx="0">
                  <c:v>54.4</c:v>
                </c:pt>
              </c:numCache>
            </c:numRef>
          </c:yVal>
          <c:smooth val="1"/>
          <c:extLst>
            <c:ext xmlns:c16="http://schemas.microsoft.com/office/drawing/2014/chart" uri="{C3380CC4-5D6E-409C-BE32-E72D297353CC}">
              <c16:uniqueId val="{00000013-3D14-4111-94C8-554FDCFE2464}"/>
            </c:ext>
          </c:extLst>
        </c:ser>
        <c:ser>
          <c:idx val="10"/>
          <c:order val="10"/>
          <c:tx>
            <c:v>Q3-E</c:v>
          </c:tx>
          <c:spPr>
            <a:ln w="19050" cap="rnd">
              <a:solidFill>
                <a:schemeClr val="accent5">
                  <a:lumMod val="60000"/>
                </a:schemeClr>
              </a:solidFill>
              <a:round/>
            </a:ln>
            <a:effectLst/>
          </c:spPr>
          <c:marker>
            <c:symbol val="circle"/>
            <c:size val="5"/>
            <c:spPr>
              <a:solidFill>
                <a:schemeClr val="accent5">
                  <a:lumMod val="60000"/>
                </a:schemeClr>
              </a:solidFill>
              <a:ln w="50800">
                <a:solidFill>
                  <a:schemeClr val="accent5">
                    <a:lumMod val="60000"/>
                  </a:schemeClr>
                </a:solidFill>
              </a:ln>
              <a:effectLst/>
            </c:spPr>
          </c:marker>
          <c:dLbls>
            <c:dLbl>
              <c:idx val="0"/>
              <c:layout>
                <c:manualLayout>
                  <c:x val="1.6194666063944419E-2"/>
                  <c:y val="-6.375771361913094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numRef>
          </c:xVal>
          <c:yVal>
            <c:numRef>
              <c:f>Dummies!$D$9</c:f>
              <c:numCache>
                <c:formatCode>0.0</c:formatCode>
                <c:ptCount val="1"/>
                <c:pt idx="0">
                  <c:v>32.9</c:v>
                </c:pt>
              </c:numCache>
            </c:numRef>
          </c:yVal>
          <c:smooth val="1"/>
          <c:extLst>
            <c:ext xmlns:c16="http://schemas.microsoft.com/office/drawing/2014/chart" uri="{C3380CC4-5D6E-409C-BE32-E72D297353CC}">
              <c16:uniqueId val="{00000015-3D14-4111-94C8-554FDCFE2464}"/>
            </c:ext>
          </c:extLst>
        </c:ser>
        <c:ser>
          <c:idx val="11"/>
          <c:order val="11"/>
          <c:tx>
            <c:v>CRABI 12-B</c:v>
          </c:tx>
          <c:spPr>
            <a:ln w="19050" cap="rnd">
              <a:solidFill>
                <a:schemeClr val="accent6">
                  <a:lumMod val="60000"/>
                </a:schemeClr>
              </a:solidFill>
              <a:round/>
            </a:ln>
            <a:effectLst/>
          </c:spPr>
          <c:marker>
            <c:symbol val="circle"/>
            <c:size val="5"/>
            <c:spPr>
              <a:solidFill>
                <a:schemeClr val="accent6">
                  <a:lumMod val="60000"/>
                </a:schemeClr>
              </a:solidFill>
              <a:ln w="50800">
                <a:solidFill>
                  <a:srgbClr val="FF0000"/>
                </a:solidFill>
              </a:ln>
              <a:effectLst/>
            </c:spPr>
          </c:marker>
          <c:dLbls>
            <c:dLbl>
              <c:idx val="0"/>
              <c:layout>
                <c:manualLayout>
                  <c:x val="-2.9690964839840753E-2"/>
                  <c:y val="3.855829687955666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6-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numRef>
          </c:xVal>
          <c:yVal>
            <c:numRef>
              <c:f>Dummies!$C$6</c:f>
              <c:numCache>
                <c:formatCode>0.0</c:formatCode>
                <c:ptCount val="1"/>
                <c:pt idx="0">
                  <c:v>48</c:v>
                </c:pt>
              </c:numCache>
            </c:numRef>
          </c:yVal>
          <c:smooth val="1"/>
          <c:extLst>
            <c:ext xmlns:c16="http://schemas.microsoft.com/office/drawing/2014/chart" uri="{C3380CC4-5D6E-409C-BE32-E72D297353CC}">
              <c16:uniqueId val="{00000017-3D14-4111-94C8-554FDCFE2464}"/>
            </c:ext>
          </c:extLst>
        </c:ser>
        <c:ser>
          <c:idx val="12"/>
          <c:order val="12"/>
          <c:tx>
            <c:v>3yr-B</c:v>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50800">
                <a:solidFill>
                  <a:srgbClr val="FF0000"/>
                </a:solidFill>
              </a:ln>
              <a:effectLst/>
            </c:spPr>
          </c:marker>
          <c:dLbls>
            <c:dLbl>
              <c:idx val="0"/>
              <c:layout>
                <c:manualLayout>
                  <c:x val="-4.3199163177486143E-2"/>
                  <c:y val="5.1907494896471222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numRef>
          </c:xVal>
          <c:yVal>
            <c:numRef>
              <c:f>Dummies!$C$10</c:f>
              <c:numCache>
                <c:formatCode>0.0</c:formatCode>
                <c:ptCount val="1"/>
                <c:pt idx="0">
                  <c:v>54.6</c:v>
                </c:pt>
              </c:numCache>
            </c:numRef>
          </c:yVal>
          <c:smooth val="1"/>
          <c:extLst>
            <c:ext xmlns:c16="http://schemas.microsoft.com/office/drawing/2014/chart" uri="{C3380CC4-5D6E-409C-BE32-E72D297353CC}">
              <c16:uniqueId val="{00000019-3D14-4111-94C8-554FDCFE2464}"/>
            </c:ext>
          </c:extLst>
        </c:ser>
        <c:ser>
          <c:idx val="13"/>
          <c:order val="13"/>
          <c:tx>
            <c:v>CRABI 12-E</c:v>
          </c:tx>
          <c:spPr>
            <a:ln w="19050" cap="rnd">
              <a:solidFill>
                <a:schemeClr val="accent2">
                  <a:lumMod val="80000"/>
                  <a:lumOff val="20000"/>
                </a:schemeClr>
              </a:solidFill>
              <a:round/>
            </a:ln>
            <a:effectLst/>
          </c:spPr>
          <c:marker>
            <c:symbol val="circle"/>
            <c:size val="5"/>
            <c:spPr>
              <a:solidFill>
                <a:schemeClr val="accent2">
                  <a:lumMod val="80000"/>
                  <a:lumOff val="20000"/>
                </a:schemeClr>
              </a:solidFill>
              <a:ln w="50800">
                <a:solidFill>
                  <a:srgbClr val="FF0000"/>
                </a:solidFill>
              </a:ln>
              <a:effectLst/>
            </c:spPr>
          </c:marker>
          <c:dLbls>
            <c:dLbl>
              <c:idx val="0"/>
              <c:layout>
                <c:manualLayout>
                  <c:x val="-2.8808343179394322E-2"/>
                  <c:y val="-4.8947448235637264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numRef>
          </c:xVal>
          <c:yVal>
            <c:numRef>
              <c:f>Dummies!$D$6</c:f>
              <c:numCache>
                <c:formatCode>0.0</c:formatCode>
                <c:ptCount val="1"/>
                <c:pt idx="0">
                  <c:v>30.7</c:v>
                </c:pt>
              </c:numCache>
            </c:numRef>
          </c:yVal>
          <c:smooth val="1"/>
          <c:extLst>
            <c:ext xmlns:c16="http://schemas.microsoft.com/office/drawing/2014/chart" uri="{C3380CC4-5D6E-409C-BE32-E72D297353CC}">
              <c16:uniqueId val="{0000001B-3D14-4111-94C8-554FDCFE2464}"/>
            </c:ext>
          </c:extLst>
        </c:ser>
        <c:ser>
          <c:idx val="14"/>
          <c:order val="14"/>
          <c:tx>
            <c:v>3yr-E</c:v>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50800">
                <a:solidFill>
                  <a:srgbClr val="FF0000"/>
                </a:solidFill>
              </a:ln>
              <a:effectLst/>
            </c:spPr>
          </c:marker>
          <c:dLbls>
            <c:dLbl>
              <c:idx val="0"/>
              <c:layout>
                <c:manualLayout>
                  <c:x val="-4.1386888255394626E-2"/>
                  <c:y val="-3.70847477398658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numRef>
          </c:xVal>
          <c:yVal>
            <c:numRef>
              <c:f>Dummies!$D$10</c:f>
              <c:numCache>
                <c:formatCode>0.0</c:formatCode>
                <c:ptCount val="1"/>
                <c:pt idx="0">
                  <c:v>35.9</c:v>
                </c:pt>
              </c:numCache>
            </c:numRef>
          </c:yVal>
          <c:smooth val="1"/>
          <c:extLst>
            <c:ext xmlns:c16="http://schemas.microsoft.com/office/drawing/2014/chart" uri="{C3380CC4-5D6E-409C-BE32-E72D297353CC}">
              <c16:uniqueId val="{0000001D-3D14-4111-94C8-554FDCFE2464}"/>
            </c:ext>
          </c:extLst>
        </c:ser>
        <c:ser>
          <c:idx val="15"/>
          <c:order val="15"/>
          <c:tx>
            <c:strRef>
              <c:f>'US Child Data'!$M$1</c:f>
              <c:strCache>
                <c:ptCount val="1"/>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Data'!$M$3:$M$17</c:f>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1E-3D14-4111-94C8-554FDCFE2464}"/>
            </c:ext>
          </c:extLst>
        </c:ser>
        <c:ser>
          <c:idx val="16"/>
          <c:order val="16"/>
          <c:tx>
            <c:strRef>
              <c:f>'US Child Data'!$Q$1</c:f>
              <c:strCache>
                <c:ptCount val="1"/>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1F-3D14-4111-94C8-554FDCFE2464}"/>
            </c:ext>
          </c:extLst>
        </c:ser>
        <c:ser>
          <c:idx val="17"/>
          <c:order val="17"/>
          <c:tx>
            <c:strRef>
              <c:f>'US Child Data'!$O$1</c:f>
              <c:strCache>
                <c:ptCount val="1"/>
                <c:pt idx="0">
                  <c:v>US Shoulder Seated</c:v>
                </c:pt>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20-3D14-4111-94C8-554FDCFE2464}"/>
            </c:ext>
          </c:extLst>
        </c:ser>
        <c:ser>
          <c:idx val="18"/>
          <c:order val="18"/>
          <c:tx>
            <c:strRef>
              <c:f>'US Child Data'!$Y$1</c:f>
              <c:strCache>
                <c:ptCount val="1"/>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Data'!$Y$3:$Y$17</c:f>
              <c:numCache>
                <c:formatCode>0.0</c:formatCode>
                <c:ptCount val="15"/>
                <c:pt idx="0">
                  <c:v>19.812000000000001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21-3D14-4111-94C8-554FDCFE2464}"/>
            </c:ext>
          </c:extLst>
        </c:ser>
        <c:ser>
          <c:idx val="19"/>
          <c:order val="19"/>
          <c:tx>
            <c:strRef>
              <c:f>'US Child Data'!$U$1</c:f>
              <c:strCache>
                <c:ptCount val="1"/>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Data'!$U$3:$U$17</c:f>
              <c:numCache>
                <c:formatCode>0.0</c:formatCode>
                <c:ptCount val="15"/>
                <c:pt idx="0">
                  <c:v>17.526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22-3D14-4111-94C8-554FDCFE2464}"/>
            </c:ext>
          </c:extLst>
        </c:ser>
        <c:ser>
          <c:idx val="20"/>
          <c:order val="20"/>
          <c:tx>
            <c:v>Q0-B</c:v>
          </c:tx>
          <c:spPr>
            <a:ln w="19050" cap="rnd">
              <a:solidFill>
                <a:schemeClr val="accent3">
                  <a:lumMod val="80000"/>
                </a:schemeClr>
              </a:solidFill>
              <a:round/>
            </a:ln>
            <a:effectLst/>
          </c:spPr>
          <c:marker>
            <c:symbol val="circle"/>
            <c:size val="5"/>
            <c:spPr>
              <a:solidFill>
                <a:srgbClr val="FF0000"/>
              </a:solidFill>
              <a:ln w="50800">
                <a:solidFill>
                  <a:srgbClr val="FF0000"/>
                </a:solidFill>
              </a:ln>
              <a:effectLst/>
            </c:spPr>
          </c:marker>
          <c:dLbls>
            <c:dLbl>
              <c:idx val="0"/>
              <c:layout>
                <c:manualLayout>
                  <c:x val="5.0374811404341656E-2"/>
                  <c:y val="1.037037037037031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Dummies!$C$2</c:f>
              <c:numCache>
                <c:formatCode>0.0</c:formatCode>
                <c:ptCount val="1"/>
                <c:pt idx="0">
                  <c:v>34.299999999999997</c:v>
                </c:pt>
              </c:numCache>
            </c:numRef>
          </c:yVal>
          <c:smooth val="1"/>
          <c:extLst>
            <c:ext xmlns:c16="http://schemas.microsoft.com/office/drawing/2014/chart" uri="{C3380CC4-5D6E-409C-BE32-E72D297353CC}">
              <c16:uniqueId val="{00000024-3D14-4111-94C8-554FDCFE2464}"/>
            </c:ext>
          </c:extLst>
        </c:ser>
        <c:ser>
          <c:idx val="21"/>
          <c:order val="21"/>
          <c:tx>
            <c:v>Newborn-B</c:v>
          </c:tx>
          <c:spPr>
            <a:ln w="19050" cap="rnd">
              <a:solidFill>
                <a:schemeClr val="accent4">
                  <a:lumMod val="80000"/>
                </a:schemeClr>
              </a:solidFill>
              <a:round/>
            </a:ln>
            <a:effectLst/>
          </c:spPr>
          <c:marker>
            <c:symbol val="circle"/>
            <c:size val="5"/>
            <c:spPr>
              <a:solidFill>
                <a:srgbClr val="0070C0"/>
              </a:solidFill>
              <a:ln w="50800">
                <a:solidFill>
                  <a:srgbClr val="0070C0"/>
                </a:solidFill>
              </a:ln>
              <a:effectLst/>
            </c:spPr>
          </c:marker>
          <c:dLbls>
            <c:dLbl>
              <c:idx val="0"/>
              <c:layout>
                <c:manualLayout>
                  <c:x val="4.2278859571501029E-2"/>
                  <c:y val="-8.296296296296301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5-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Dummies!$B$4</c:f>
              <c:numCache>
                <c:formatCode>0.0</c:formatCode>
                <c:ptCount val="1"/>
                <c:pt idx="0">
                  <c:v>63.322147651006709</c:v>
                </c:pt>
              </c:numCache>
            </c:numRef>
          </c:xVal>
          <c:yVal>
            <c:numRef>
              <c:f>Dummies!$C$4</c:f>
              <c:numCache>
                <c:formatCode>0.0</c:formatCode>
                <c:ptCount val="1"/>
                <c:pt idx="0">
                  <c:v>35.5</c:v>
                </c:pt>
              </c:numCache>
            </c:numRef>
          </c:yVal>
          <c:smooth val="1"/>
          <c:extLst>
            <c:ext xmlns:c16="http://schemas.microsoft.com/office/drawing/2014/chart" uri="{C3380CC4-5D6E-409C-BE32-E72D297353CC}">
              <c16:uniqueId val="{00000026-3D14-4111-94C8-554FDCFE2464}"/>
            </c:ext>
          </c:extLst>
        </c:ser>
        <c:ser>
          <c:idx val="22"/>
          <c:order val="22"/>
          <c:tx>
            <c:v>Q0-E</c:v>
          </c:tx>
          <c:spPr>
            <a:ln w="19050" cap="rnd">
              <a:solidFill>
                <a:schemeClr val="accent5">
                  <a:lumMod val="80000"/>
                </a:schemeClr>
              </a:solidFill>
              <a:round/>
            </a:ln>
            <a:effectLst/>
          </c:spPr>
          <c:marker>
            <c:symbol val="circle"/>
            <c:size val="5"/>
            <c:spPr>
              <a:solidFill>
                <a:srgbClr val="FF0000"/>
              </a:solidFill>
              <a:ln w="50800">
                <a:solidFill>
                  <a:srgbClr val="FF0000"/>
                </a:solidFill>
              </a:ln>
              <a:effectLst/>
            </c:spPr>
          </c:marker>
          <c:dLbls>
            <c:dLbl>
              <c:idx val="0"/>
              <c:layout>
                <c:manualLayout>
                  <c:x val="-4.3178409775149987E-2"/>
                  <c:y val="4.2962962962962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7-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Dummies!$D$2</c:f>
              <c:numCache>
                <c:formatCode>0.0</c:formatCode>
                <c:ptCount val="1"/>
                <c:pt idx="0">
                  <c:v>24.7</c:v>
                </c:pt>
              </c:numCache>
            </c:numRef>
          </c:yVal>
          <c:smooth val="1"/>
          <c:extLst>
            <c:ext xmlns:c16="http://schemas.microsoft.com/office/drawing/2014/chart" uri="{C3380CC4-5D6E-409C-BE32-E72D297353CC}">
              <c16:uniqueId val="{00000028-3D14-4111-94C8-554FDCFE2464}"/>
            </c:ext>
          </c:extLst>
        </c:ser>
        <c:ser>
          <c:idx val="23"/>
          <c:order val="23"/>
          <c:tx>
            <c:v>Newborn-E</c:v>
          </c:tx>
          <c:spPr>
            <a:ln w="19050" cap="rnd">
              <a:solidFill>
                <a:schemeClr val="accent6">
                  <a:lumMod val="80000"/>
                </a:schemeClr>
              </a:solidFill>
              <a:round/>
            </a:ln>
            <a:effectLst/>
          </c:spPr>
          <c:marker>
            <c:symbol val="circle"/>
            <c:size val="5"/>
            <c:spPr>
              <a:solidFill>
                <a:schemeClr val="accent6">
                  <a:lumMod val="80000"/>
                </a:schemeClr>
              </a:solidFill>
              <a:ln w="50800">
                <a:solidFill>
                  <a:schemeClr val="accent6">
                    <a:lumMod val="80000"/>
                  </a:schemeClr>
                </a:solidFill>
              </a:ln>
              <a:effectLst/>
            </c:spPr>
          </c:marker>
          <c:dLbls>
            <c:dLbl>
              <c:idx val="0"/>
              <c:layout>
                <c:manualLayout>
                  <c:x val="1.1694152647436456E-2"/>
                  <c:y val="-2.9629629629629628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9-3D14-4111-94C8-554FDCFE246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Dummies!$B$4</c:f>
              <c:numCache>
                <c:formatCode>0.0</c:formatCode>
                <c:ptCount val="1"/>
                <c:pt idx="0">
                  <c:v>63.322147651006709</c:v>
                </c:pt>
              </c:numCache>
            </c:numRef>
          </c:xVal>
          <c:yVal>
            <c:numRef>
              <c:f>Dummies!$D$4</c:f>
              <c:numCache>
                <c:formatCode>0.0</c:formatCode>
                <c:ptCount val="1"/>
                <c:pt idx="0">
                  <c:v>25.5</c:v>
                </c:pt>
              </c:numCache>
            </c:numRef>
          </c:yVal>
          <c:smooth val="1"/>
          <c:extLst>
            <c:ext xmlns:c16="http://schemas.microsoft.com/office/drawing/2014/chart" uri="{C3380CC4-5D6E-409C-BE32-E72D297353CC}">
              <c16:uniqueId val="{0000002A-3D14-4111-94C8-554FDCFE2464}"/>
            </c:ext>
          </c:extLst>
        </c:ser>
        <c:ser>
          <c:idx val="24"/>
          <c:order val="24"/>
          <c:tx>
            <c:v>Hip Breadth 5th</c:v>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Data'!$S$3:$S$17</c:f>
              <c:numCache>
                <c:formatCode>0.0</c:formatCode>
                <c:ptCount val="15"/>
                <c:pt idx="0">
                  <c:v>9.3979999999999997</c:v>
                </c:pt>
                <c:pt idx="1">
                  <c:v>12.446</c:v>
                </c:pt>
                <c:pt idx="2">
                  <c:v>14.986000000000001</c:v>
                </c:pt>
                <c:pt idx="3">
                  <c:v>13.97</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2B-3D14-4111-94C8-554FDCFE2464}"/>
            </c:ext>
          </c:extLst>
        </c:ser>
        <c:dLbls>
          <c:showLegendKey val="0"/>
          <c:showVal val="0"/>
          <c:showCatName val="0"/>
          <c:showSerName val="0"/>
          <c:showPercent val="0"/>
          <c:showBubbleSize val="0"/>
        </c:dLbls>
        <c:axId val="405220528"/>
        <c:axId val="597947504"/>
      </c:scatterChart>
      <c:valAx>
        <c:axId val="405220528"/>
        <c:scaling>
          <c:orientation val="minMax"/>
          <c:max val="110"/>
          <c:min val="4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597947504"/>
        <c:crosses val="autoZero"/>
        <c:crossBetween val="midCat"/>
        <c:majorUnit val="5"/>
      </c:valAx>
      <c:valAx>
        <c:axId val="59794750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B, C, D, E1, E2,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5220528"/>
        <c:crosses val="autoZero"/>
        <c:crossBetween val="midCat"/>
        <c:majorUnit val="5"/>
      </c:valAx>
      <c:spPr>
        <a:noFill/>
        <a:ln>
          <a:noFill/>
        </a:ln>
        <a:effectLst/>
      </c:spPr>
    </c:plotArea>
    <c:legend>
      <c:legendPos val="b"/>
      <c:layout>
        <c:manualLayout>
          <c:xMode val="edge"/>
          <c:yMode val="edge"/>
          <c:x val="3.4794638438316157E-2"/>
          <c:y val="0.77375192519926084"/>
          <c:w val="0.78508421100274561"/>
          <c:h val="0.1227786526684164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Infant Anthropometery Sources EU R129 vs US UMTRI </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smoothMarker"/>
        <c:varyColors val="0"/>
        <c:ser>
          <c:idx val="0"/>
          <c:order val="0"/>
          <c:tx>
            <c:strRef>
              <c:f>'R129 Annex 18 Data'!$B$2</c:f>
              <c:strCache>
                <c:ptCount val="1"/>
                <c:pt idx="0">
                  <c:v> B Minimum Sitting height cm 95%ile</c:v>
                </c:pt>
              </c:strCache>
            </c:strRef>
          </c:tx>
          <c:spPr>
            <a:ln w="25400" cap="rnd">
              <a:solidFill>
                <a:srgbClr val="0070C0"/>
              </a:solidFill>
              <a:round/>
            </a:ln>
            <a:effectLst/>
          </c:spPr>
          <c:marker>
            <c:symbol val="circle"/>
            <c:size val="2"/>
            <c:spPr>
              <a:solidFill>
                <a:schemeClr val="accent1"/>
              </a:solidFill>
              <a:ln w="9525">
                <a:solidFill>
                  <a:schemeClr val="accent1"/>
                </a:solidFill>
              </a:ln>
              <a:effectLst/>
            </c:spPr>
          </c:marker>
          <c:dLbls>
            <c:dLbl>
              <c:idx val="3"/>
              <c:layout>
                <c:manualLayout>
                  <c:x val="-0.25997000885454891"/>
                  <c:y val="-1.481481481481486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AB59-4F66-BB2F-07968BA67B9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Data'!$B$3:$B$17</c:f>
              <c:numCache>
                <c:formatCode>General</c:formatCode>
                <c:ptCount val="15"/>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numCache>
            </c:numRef>
          </c:yVal>
          <c:smooth val="1"/>
          <c:extLst>
            <c:ext xmlns:c16="http://schemas.microsoft.com/office/drawing/2014/chart" uri="{C3380CC4-5D6E-409C-BE32-E72D297353CC}">
              <c16:uniqueId val="{00000001-AB59-4F66-BB2F-07968BA67B9A}"/>
            </c:ext>
          </c:extLst>
        </c:ser>
        <c:ser>
          <c:idx val="1"/>
          <c:order val="1"/>
          <c:tx>
            <c:strRef>
              <c:f>'R129 Annex 18 Data'!$C$2</c:f>
              <c:strCache>
                <c:ptCount val="1"/>
                <c:pt idx="0">
                  <c:v>C Minimum Shoulder breadth cm 95%ile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5.8470763237182283E-2"/>
                  <c:y val="2.6666666666666668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Data'!$C$3:$C$17</c:f>
              <c:numCache>
                <c:formatCode>General</c:formatCode>
                <c:ptCount val="15"/>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numCache>
            </c:numRef>
          </c:yVal>
          <c:smooth val="1"/>
          <c:extLst>
            <c:ext xmlns:c16="http://schemas.microsoft.com/office/drawing/2014/chart" uri="{C3380CC4-5D6E-409C-BE32-E72D297353CC}">
              <c16:uniqueId val="{00000003-AB59-4F66-BB2F-07968BA67B9A}"/>
            </c:ext>
          </c:extLst>
        </c:ser>
        <c:ser>
          <c:idx val="2"/>
          <c:order val="2"/>
          <c:tx>
            <c:strRef>
              <c:f>'R129 Annex 18 Data'!$D$2</c:f>
              <c:strCache>
                <c:ptCount val="1"/>
                <c:pt idx="0">
                  <c:v> D Minimum Hip breadth cm 95%ile</c:v>
                </c:pt>
              </c:strCache>
            </c:strRef>
          </c:tx>
          <c:spPr>
            <a:ln w="25400" cap="rnd">
              <a:solidFill>
                <a:srgbClr val="0070C0"/>
              </a:solidFill>
              <a:round/>
            </a:ln>
            <a:effectLst/>
          </c:spPr>
          <c:marker>
            <c:symbol val="circle"/>
            <c:size val="2"/>
            <c:spPr>
              <a:solidFill>
                <a:srgbClr val="0070C0"/>
              </a:solidFill>
              <a:ln w="9525">
                <a:solidFill>
                  <a:schemeClr val="accent3"/>
                </a:solidFill>
              </a:ln>
              <a:effectLst/>
            </c:spPr>
          </c:marker>
          <c:dLbls>
            <c:dLbl>
              <c:idx val="0"/>
              <c:layout>
                <c:manualLayout>
                  <c:x val="-6.3868064459076043E-2"/>
                  <c:y val="-2.962962962962963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Data'!$D$3:$D$17</c:f>
              <c:numCache>
                <c:formatCode>General</c:formatCode>
                <c:ptCount val="15"/>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numCache>
            </c:numRef>
          </c:yVal>
          <c:smooth val="1"/>
          <c:extLst>
            <c:ext xmlns:c16="http://schemas.microsoft.com/office/drawing/2014/chart" uri="{C3380CC4-5D6E-409C-BE32-E72D297353CC}">
              <c16:uniqueId val="{00000005-AB59-4F66-BB2F-07968BA67B9A}"/>
            </c:ext>
          </c:extLst>
        </c:ser>
        <c:ser>
          <c:idx val="3"/>
          <c:order val="3"/>
          <c:tx>
            <c:strRef>
              <c:f>'R129 Annex 18 Data'!$E$2</c:f>
              <c:strCache>
                <c:ptCount val="1"/>
                <c:pt idx="0">
                  <c:v>E1 Minimum Shoulder height cm 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1"/>
              <c:layout>
                <c:manualLayout>
                  <c:x val="-0.12683657871450307"/>
                  <c:y val="1.185185185185179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Data'!$E$3:$E$17</c:f>
              <c:numCache>
                <c:formatCode>General</c:formatCode>
                <c:ptCount val="15"/>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numCache>
            </c:numRef>
          </c:yVal>
          <c:smooth val="1"/>
          <c:extLst>
            <c:ext xmlns:c16="http://schemas.microsoft.com/office/drawing/2014/chart" uri="{C3380CC4-5D6E-409C-BE32-E72D297353CC}">
              <c16:uniqueId val="{00000007-AB59-4F66-BB2F-07968BA67B9A}"/>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circle"/>
            <c:size val="2"/>
            <c:spPr>
              <a:solidFill>
                <a:schemeClr val="accent5"/>
              </a:solidFill>
              <a:ln w="9525">
                <a:solidFill>
                  <a:schemeClr val="accent5"/>
                </a:solidFill>
              </a:ln>
              <a:effectLst/>
            </c:spPr>
          </c:marker>
          <c:dLbls>
            <c:dLbl>
              <c:idx val="1"/>
              <c:layout>
                <c:manualLayout>
                  <c:x val="-0.12863567912180104"/>
                  <c:y val="-2.37037037037037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AB59-4F66-BB2F-07968BA67B9A}"/>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Data'!$F$3:$F$17</c:f>
              <c:numCache>
                <c:formatCode>General</c:formatCode>
                <c:ptCount val="15"/>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numCache>
            </c:numRef>
          </c:yVal>
          <c:smooth val="1"/>
          <c:extLst>
            <c:ext xmlns:c16="http://schemas.microsoft.com/office/drawing/2014/chart" uri="{C3380CC4-5D6E-409C-BE32-E72D297353CC}">
              <c16:uniqueId val="{00000009-AB59-4F66-BB2F-07968BA67B9A}"/>
            </c:ext>
          </c:extLst>
        </c:ser>
        <c:ser>
          <c:idx val="15"/>
          <c:order val="15"/>
          <c:tx>
            <c:strRef>
              <c:f>'US Child Data'!$M$1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4.4977510182448565E-3"/>
                  <c:y val="1.925925925925926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Data'!$M$3:$M$17</c:f>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B-AB59-4F66-BB2F-07968BA67B9A}"/>
            </c:ext>
          </c:extLst>
        </c:ser>
        <c:ser>
          <c:idx val="16"/>
          <c:order val="16"/>
          <c:tx>
            <c:strRef>
              <c:f>'US Child Data'!$Q$1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1.3493253054734372E-2"/>
                  <c:y val="-2.962962962962968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D-AB59-4F66-BB2F-07968BA67B9A}"/>
            </c:ext>
          </c:extLst>
        </c:ser>
        <c:ser>
          <c:idx val="17"/>
          <c:order val="17"/>
          <c:tx>
            <c:strRef>
              <c:f>'US Child Data'!$O$1</c:f>
              <c:strCache>
                <c:ptCount val="1"/>
                <c:pt idx="0">
                  <c:v>US Shoulder Seated</c:v>
                </c:pt>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5.3973012218937154E-3"/>
                  <c:y val="1.03703703703703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F-AB59-4F66-BB2F-07968BA67B9A}"/>
            </c:ext>
          </c:extLst>
        </c:ser>
        <c:ser>
          <c:idx val="18"/>
          <c:order val="18"/>
          <c:tx>
            <c:strRef>
              <c:f>'US Child Data'!$Y$1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Data'!$Y$3:$Y$17</c:f>
              <c:numCache>
                <c:formatCode>0.0</c:formatCode>
                <c:ptCount val="15"/>
                <c:pt idx="0">
                  <c:v>19.812000000000001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10-AB59-4F66-BB2F-07968BA67B9A}"/>
            </c:ext>
          </c:extLst>
        </c:ser>
        <c:ser>
          <c:idx val="19"/>
          <c:order val="19"/>
          <c:tx>
            <c:strRef>
              <c:f>'US Child Data'!$U$1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1"/>
              <c:layout>
                <c:manualLayout>
                  <c:x val="-3.9580208960554225E-2"/>
                  <c:y val="2.81481481481480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AB59-4F66-BB2F-07968BA67B9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Data'!$U$3:$U$17</c:f>
              <c:numCache>
                <c:formatCode>0.0</c:formatCode>
                <c:ptCount val="15"/>
                <c:pt idx="0">
                  <c:v>17.526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12-AB59-4F66-BB2F-07968BA67B9A}"/>
            </c:ext>
          </c:extLst>
        </c:ser>
        <c:dLbls>
          <c:showLegendKey val="0"/>
          <c:showVal val="0"/>
          <c:showCatName val="0"/>
          <c:showSerName val="0"/>
          <c:showPercent val="0"/>
          <c:showBubbleSize val="0"/>
        </c:dLbls>
        <c:axId val="408210216"/>
        <c:axId val="408208648"/>
        <c:extLst>
          <c:ext xmlns:c15="http://schemas.microsoft.com/office/drawing/2012/chart" uri="{02D57815-91ED-43cb-92C2-25804820EDAC}">
            <c15:filteredScatterSeries>
              <c15:ser>
                <c:idx val="5"/>
                <c:order val="5"/>
                <c:tx>
                  <c:v>Q1-B</c:v>
                </c:tx>
                <c:spPr>
                  <a:ln w="19050" cap="rnd">
                    <a:solidFill>
                      <a:schemeClr val="accent6"/>
                    </a:solidFill>
                    <a:round/>
                  </a:ln>
                  <a:effectLst/>
                </c:spPr>
                <c:marker>
                  <c:symbol val="circle"/>
                  <c:size val="5"/>
                  <c:spPr>
                    <a:solidFill>
                      <a:schemeClr val="accent6"/>
                    </a:solidFill>
                    <a:ln w="47625">
                      <a:solidFill>
                        <a:srgbClr val="0070C0"/>
                      </a:solidFill>
                    </a:ln>
                    <a:effectLst/>
                  </c:spPr>
                </c:marker>
                <c:xVal>
                  <c:numRef>
                    <c:extLst>
                      <c:ext uri="{02D57815-91ED-43cb-92C2-25804820EDAC}">
                        <c15:formulaRef>
                          <c15:sqref>Dummies!$B$5</c15:sqref>
                        </c15:formulaRef>
                      </c:ext>
                    </c:extLst>
                    <c:numCache>
                      <c:formatCode>0.0</c:formatCode>
                      <c:ptCount val="1"/>
                      <c:pt idx="0">
                        <c:v>74</c:v>
                      </c:pt>
                    </c:numCache>
                  </c:numRef>
                </c:xVal>
                <c:yVal>
                  <c:numRef>
                    <c:extLst>
                      <c:ext uri="{02D57815-91ED-43cb-92C2-25804820EDAC}">
                        <c15:formulaRef>
                          <c15:sqref>Dummies!$C$5</c15:sqref>
                        </c15:formulaRef>
                      </c:ext>
                    </c:extLst>
                    <c:numCache>
                      <c:formatCode>0.0</c:formatCode>
                      <c:ptCount val="1"/>
                      <c:pt idx="0">
                        <c:v>47.9</c:v>
                      </c:pt>
                    </c:numCache>
                  </c:numRef>
                </c:yVal>
                <c:smooth val="1"/>
                <c:extLst>
                  <c:ext xmlns:c16="http://schemas.microsoft.com/office/drawing/2014/chart" uri="{C3380CC4-5D6E-409C-BE32-E72D297353CC}">
                    <c16:uniqueId val="{00000013-AB59-4F66-BB2F-07968BA67B9A}"/>
                  </c:ext>
                </c:extLst>
              </c15:ser>
            </c15:filteredScatterSeries>
            <c15:filteredScatterSeries>
              <c15:ser>
                <c:idx val="6"/>
                <c:order val="6"/>
                <c:tx>
                  <c:v>Q1-E</c:v>
                </c:tx>
                <c:spPr>
                  <a:ln w="19050" cap="rnd">
                    <a:solidFill>
                      <a:schemeClr val="accent1">
                        <a:lumMod val="60000"/>
                      </a:schemeClr>
                    </a:solidFill>
                    <a:round/>
                  </a:ln>
                  <a:effectLst/>
                </c:spPr>
                <c:marker>
                  <c:symbol val="circle"/>
                  <c:size val="5"/>
                  <c:spPr>
                    <a:solidFill>
                      <a:schemeClr val="accent1">
                        <a:lumMod val="60000"/>
                      </a:schemeClr>
                    </a:solidFill>
                    <a:ln w="44450">
                      <a:solidFill>
                        <a:schemeClr val="accent1">
                          <a:lumMod val="60000"/>
                        </a:schemeClr>
                      </a:solidFill>
                    </a:ln>
                    <a:effectLst/>
                  </c:spPr>
                </c:marker>
                <c:xVal>
                  <c:numRef>
                    <c:extLst xmlns:c15="http://schemas.microsoft.com/office/drawing/2012/chart">
                      <c:ext xmlns:c15="http://schemas.microsoft.com/office/drawing/2012/chart" uri="{02D57815-91ED-43cb-92C2-25804820EDAC}">
                        <c15:formulaRef>
                          <c15:sqref>Dummies!$B$5</c15:sqref>
                        </c15:formulaRef>
                      </c:ext>
                    </c:extLst>
                    <c:numCache>
                      <c:formatCode>0.0</c:formatCode>
                      <c:ptCount val="1"/>
                      <c:pt idx="0">
                        <c:v>74</c:v>
                      </c:pt>
                    </c:numCache>
                  </c:numRef>
                </c:xVal>
                <c:yVal>
                  <c:numRef>
                    <c:extLst xmlns:c15="http://schemas.microsoft.com/office/drawing/2012/chart">
                      <c:ext xmlns:c15="http://schemas.microsoft.com/office/drawing/2012/chart" uri="{02D57815-91ED-43cb-92C2-25804820EDAC}">
                        <c15:formulaRef>
                          <c15:sqref>Dummies!$D$5</c15:sqref>
                        </c15:formulaRef>
                      </c:ext>
                    </c:extLst>
                    <c:numCache>
                      <c:formatCode>0.0</c:formatCode>
                      <c:ptCount val="1"/>
                      <c:pt idx="0">
                        <c:v>29.8</c:v>
                      </c:pt>
                    </c:numCache>
                  </c:numRef>
                </c:yVal>
                <c:smooth val="1"/>
                <c:extLst xmlns:c15="http://schemas.microsoft.com/office/drawing/2012/chart">
                  <c:ext xmlns:c16="http://schemas.microsoft.com/office/drawing/2014/chart" uri="{C3380CC4-5D6E-409C-BE32-E72D297353CC}">
                    <c16:uniqueId val="{00000014-AB59-4F66-BB2F-07968BA67B9A}"/>
                  </c:ext>
                </c:extLst>
              </c15:ser>
            </c15:filteredScatterSeries>
            <c15:filteredScatterSeries>
              <c15:ser>
                <c:idx val="7"/>
                <c:order val="7"/>
                <c:tx>
                  <c:v>Q1.5-B</c:v>
                </c:tx>
                <c:spPr>
                  <a:ln w="19050" cap="rnd">
                    <a:solidFill>
                      <a:schemeClr val="accent2">
                        <a:lumMod val="60000"/>
                      </a:schemeClr>
                    </a:solidFill>
                    <a:round/>
                  </a:ln>
                  <a:effectLst/>
                </c:spPr>
                <c:marker>
                  <c:symbol val="circle"/>
                  <c:size val="5"/>
                  <c:spPr>
                    <a:solidFill>
                      <a:schemeClr val="accent2">
                        <a:lumMod val="60000"/>
                      </a:schemeClr>
                    </a:solidFill>
                    <a:ln w="50800">
                      <a:solidFill>
                        <a:srgbClr val="0070C0"/>
                      </a:solidFill>
                    </a:ln>
                    <a:effectLst/>
                  </c:spPr>
                </c:marker>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Dummies!$C$7</c15:sqref>
                        </c15:formulaRef>
                      </c:ext>
                    </c:extLst>
                    <c:numCache>
                      <c:formatCode>0.0</c:formatCode>
                      <c:ptCount val="1"/>
                      <c:pt idx="0">
                        <c:v>49.9</c:v>
                      </c:pt>
                    </c:numCache>
                  </c:numRef>
                </c:yVal>
                <c:smooth val="1"/>
                <c:extLst xmlns:c15="http://schemas.microsoft.com/office/drawing/2012/chart">
                  <c:ext xmlns:c16="http://schemas.microsoft.com/office/drawing/2014/chart" uri="{C3380CC4-5D6E-409C-BE32-E72D297353CC}">
                    <c16:uniqueId val="{00000015-AB59-4F66-BB2F-07968BA67B9A}"/>
                  </c:ext>
                </c:extLst>
              </c15:ser>
            </c15:filteredScatterSeries>
            <c15:filteredScatterSeries>
              <c15:ser>
                <c:idx val="8"/>
                <c:order val="8"/>
                <c:tx>
                  <c:v>Q1.5-E</c:v>
                </c:tx>
                <c:spPr>
                  <a:ln w="19050" cap="rnd">
                    <a:solidFill>
                      <a:schemeClr val="accent3">
                        <a:lumMod val="60000"/>
                      </a:schemeClr>
                    </a:solidFill>
                    <a:round/>
                  </a:ln>
                  <a:effectLst/>
                </c:spPr>
                <c:marker>
                  <c:symbol val="circle"/>
                  <c:size val="5"/>
                  <c:spPr>
                    <a:solidFill>
                      <a:schemeClr val="accent3">
                        <a:lumMod val="60000"/>
                      </a:schemeClr>
                    </a:solidFill>
                    <a:ln w="50800">
                      <a:solidFill>
                        <a:srgbClr val="0070C0"/>
                      </a:solidFill>
                    </a:ln>
                    <a:effectLst/>
                  </c:spPr>
                </c:marker>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Dummies!$D$7</c15:sqref>
                        </c15:formulaRef>
                      </c:ext>
                    </c:extLst>
                    <c:numCache>
                      <c:formatCode>0.0</c:formatCode>
                      <c:ptCount val="1"/>
                      <c:pt idx="0">
                        <c:v>30.9</c:v>
                      </c:pt>
                    </c:numCache>
                  </c:numRef>
                </c:yVal>
                <c:smooth val="1"/>
                <c:extLst xmlns:c15="http://schemas.microsoft.com/office/drawing/2012/chart">
                  <c:ext xmlns:c16="http://schemas.microsoft.com/office/drawing/2014/chart" uri="{C3380CC4-5D6E-409C-BE32-E72D297353CC}">
                    <c16:uniqueId val="{00000016-AB59-4F66-BB2F-07968BA67B9A}"/>
                  </c:ext>
                </c:extLst>
              </c15:ser>
            </c15:filteredScatterSeries>
            <c15:filteredScatterSeries>
              <c15:ser>
                <c:idx val="9"/>
                <c:order val="9"/>
                <c:tx>
                  <c:v>Q3-B</c:v>
                </c:tx>
                <c:spPr>
                  <a:ln w="19050" cap="rnd">
                    <a:solidFill>
                      <a:schemeClr val="accent4">
                        <a:lumMod val="60000"/>
                      </a:schemeClr>
                    </a:solidFill>
                    <a:round/>
                  </a:ln>
                  <a:effectLst/>
                </c:spPr>
                <c:marker>
                  <c:symbol val="circle"/>
                  <c:size val="5"/>
                  <c:spPr>
                    <a:solidFill>
                      <a:schemeClr val="accent4">
                        <a:lumMod val="60000"/>
                      </a:schemeClr>
                    </a:solidFill>
                    <a:ln w="50800">
                      <a:solidFill>
                        <a:srgbClr val="0070C0"/>
                      </a:solidFill>
                    </a:ln>
                    <a:effectLst/>
                  </c:spPr>
                </c:marker>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Dummies!$C$9</c15:sqref>
                        </c15:formulaRef>
                      </c:ext>
                    </c:extLst>
                    <c:numCache>
                      <c:formatCode>0.0</c:formatCode>
                      <c:ptCount val="1"/>
                      <c:pt idx="0">
                        <c:v>54.4</c:v>
                      </c:pt>
                    </c:numCache>
                  </c:numRef>
                </c:yVal>
                <c:smooth val="1"/>
                <c:extLst xmlns:c15="http://schemas.microsoft.com/office/drawing/2012/chart">
                  <c:ext xmlns:c16="http://schemas.microsoft.com/office/drawing/2014/chart" uri="{C3380CC4-5D6E-409C-BE32-E72D297353CC}">
                    <c16:uniqueId val="{00000017-AB59-4F66-BB2F-07968BA67B9A}"/>
                  </c:ext>
                </c:extLst>
              </c15:ser>
            </c15:filteredScatterSeries>
            <c15:filteredScatterSeries>
              <c15:ser>
                <c:idx val="10"/>
                <c:order val="10"/>
                <c:tx>
                  <c:v>Q3-E</c:v>
                </c:tx>
                <c:spPr>
                  <a:ln w="19050" cap="rnd">
                    <a:solidFill>
                      <a:schemeClr val="accent5">
                        <a:lumMod val="60000"/>
                      </a:schemeClr>
                    </a:solidFill>
                    <a:round/>
                  </a:ln>
                  <a:effectLst/>
                </c:spPr>
                <c:marker>
                  <c:symbol val="circle"/>
                  <c:size val="5"/>
                  <c:spPr>
                    <a:solidFill>
                      <a:schemeClr val="accent5">
                        <a:lumMod val="60000"/>
                      </a:schemeClr>
                    </a:solidFill>
                    <a:ln w="50800">
                      <a:solidFill>
                        <a:schemeClr val="accent5">
                          <a:lumMod val="60000"/>
                        </a:schemeClr>
                      </a:solidFill>
                    </a:ln>
                    <a:effectLst/>
                  </c:spPr>
                </c:marker>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Dummies!$D$9</c15:sqref>
                        </c15:formulaRef>
                      </c:ext>
                    </c:extLst>
                    <c:numCache>
                      <c:formatCode>0.0</c:formatCode>
                      <c:ptCount val="1"/>
                      <c:pt idx="0">
                        <c:v>32.9</c:v>
                      </c:pt>
                    </c:numCache>
                  </c:numRef>
                </c:yVal>
                <c:smooth val="1"/>
                <c:extLst xmlns:c15="http://schemas.microsoft.com/office/drawing/2012/chart">
                  <c:ext xmlns:c16="http://schemas.microsoft.com/office/drawing/2014/chart" uri="{C3380CC4-5D6E-409C-BE32-E72D297353CC}">
                    <c16:uniqueId val="{00000018-AB59-4F66-BB2F-07968BA67B9A}"/>
                  </c:ext>
                </c:extLst>
              </c15:ser>
            </c15:filteredScatterSeries>
            <c15:filteredScatterSeries>
              <c15:ser>
                <c:idx val="11"/>
                <c:order val="11"/>
                <c:tx>
                  <c:v>CRABI 12-B</c:v>
                </c:tx>
                <c:spPr>
                  <a:ln w="19050" cap="rnd">
                    <a:solidFill>
                      <a:schemeClr val="accent6">
                        <a:lumMod val="60000"/>
                      </a:schemeClr>
                    </a:solidFill>
                    <a:round/>
                  </a:ln>
                  <a:effectLst/>
                </c:spPr>
                <c:marker>
                  <c:symbol val="circle"/>
                  <c:size val="5"/>
                  <c:spPr>
                    <a:solidFill>
                      <a:schemeClr val="accent6">
                        <a:lumMod val="60000"/>
                      </a:schemeClr>
                    </a:solidFill>
                    <a:ln w="50800">
                      <a:solidFill>
                        <a:srgbClr val="FF0000"/>
                      </a:solidFill>
                    </a:ln>
                    <a:effectLst/>
                  </c:spPr>
                </c:marker>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Dummies!$C$6</c15:sqref>
                        </c15:formulaRef>
                      </c:ext>
                    </c:extLst>
                    <c:numCache>
                      <c:formatCode>0.0</c:formatCode>
                      <c:ptCount val="1"/>
                      <c:pt idx="0">
                        <c:v>48</c:v>
                      </c:pt>
                    </c:numCache>
                  </c:numRef>
                </c:yVal>
                <c:smooth val="1"/>
                <c:extLst xmlns:c15="http://schemas.microsoft.com/office/drawing/2012/chart">
                  <c:ext xmlns:c16="http://schemas.microsoft.com/office/drawing/2014/chart" uri="{C3380CC4-5D6E-409C-BE32-E72D297353CC}">
                    <c16:uniqueId val="{00000019-AB59-4F66-BB2F-07968BA67B9A}"/>
                  </c:ext>
                </c:extLst>
              </c15:ser>
            </c15:filteredScatterSeries>
            <c15:filteredScatterSeries>
              <c15:ser>
                <c:idx val="12"/>
                <c:order val="12"/>
                <c:tx>
                  <c:v>3yr-B</c:v>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50800">
                      <a:solidFill>
                        <a:srgbClr val="FF0000"/>
                      </a:solidFill>
                    </a:ln>
                    <a:effectLst/>
                  </c:spPr>
                </c:marker>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Dummies!$C$10</c15:sqref>
                        </c15:formulaRef>
                      </c:ext>
                    </c:extLst>
                    <c:numCache>
                      <c:formatCode>0.0</c:formatCode>
                      <c:ptCount val="1"/>
                      <c:pt idx="0">
                        <c:v>54.6</c:v>
                      </c:pt>
                    </c:numCache>
                  </c:numRef>
                </c:yVal>
                <c:smooth val="1"/>
                <c:extLst xmlns:c15="http://schemas.microsoft.com/office/drawing/2012/chart">
                  <c:ext xmlns:c16="http://schemas.microsoft.com/office/drawing/2014/chart" uri="{C3380CC4-5D6E-409C-BE32-E72D297353CC}">
                    <c16:uniqueId val="{0000001A-AB59-4F66-BB2F-07968BA67B9A}"/>
                  </c:ext>
                </c:extLst>
              </c15:ser>
            </c15:filteredScatterSeries>
            <c15:filteredScatterSeries>
              <c15:ser>
                <c:idx val="13"/>
                <c:order val="13"/>
                <c:tx>
                  <c:v>CRABI 12-E</c:v>
                </c:tx>
                <c:spPr>
                  <a:ln w="19050" cap="rnd">
                    <a:solidFill>
                      <a:schemeClr val="accent2">
                        <a:lumMod val="80000"/>
                        <a:lumOff val="20000"/>
                      </a:schemeClr>
                    </a:solidFill>
                    <a:round/>
                  </a:ln>
                  <a:effectLst/>
                </c:spPr>
                <c:marker>
                  <c:symbol val="circle"/>
                  <c:size val="5"/>
                  <c:spPr>
                    <a:solidFill>
                      <a:schemeClr val="accent2">
                        <a:lumMod val="80000"/>
                        <a:lumOff val="20000"/>
                      </a:schemeClr>
                    </a:solidFill>
                    <a:ln w="50800">
                      <a:solidFill>
                        <a:srgbClr val="FF0000"/>
                      </a:solidFill>
                    </a:ln>
                    <a:effectLst/>
                  </c:spPr>
                </c:marker>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Dummies!$D$6</c15:sqref>
                        </c15:formulaRef>
                      </c:ext>
                    </c:extLst>
                    <c:numCache>
                      <c:formatCode>0.0</c:formatCode>
                      <c:ptCount val="1"/>
                      <c:pt idx="0">
                        <c:v>30.7</c:v>
                      </c:pt>
                    </c:numCache>
                  </c:numRef>
                </c:yVal>
                <c:smooth val="1"/>
                <c:extLst xmlns:c15="http://schemas.microsoft.com/office/drawing/2012/chart">
                  <c:ext xmlns:c16="http://schemas.microsoft.com/office/drawing/2014/chart" uri="{C3380CC4-5D6E-409C-BE32-E72D297353CC}">
                    <c16:uniqueId val="{0000001B-AB59-4F66-BB2F-07968BA67B9A}"/>
                  </c:ext>
                </c:extLst>
              </c15:ser>
            </c15:filteredScatterSeries>
            <c15:filteredScatterSeries>
              <c15:ser>
                <c:idx val="14"/>
                <c:order val="14"/>
                <c:tx>
                  <c:v>3yr-E</c:v>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50800">
                      <a:solidFill>
                        <a:srgbClr val="FF0000"/>
                      </a:solidFill>
                    </a:ln>
                    <a:effectLst/>
                  </c:spPr>
                </c:marker>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Dummies!$D$10</c15:sqref>
                        </c15:formulaRef>
                      </c:ext>
                    </c:extLst>
                    <c:numCache>
                      <c:formatCode>0.0</c:formatCode>
                      <c:ptCount val="1"/>
                      <c:pt idx="0">
                        <c:v>35.9</c:v>
                      </c:pt>
                    </c:numCache>
                  </c:numRef>
                </c:yVal>
                <c:smooth val="1"/>
                <c:extLst xmlns:c15="http://schemas.microsoft.com/office/drawing/2012/chart">
                  <c:ext xmlns:c16="http://schemas.microsoft.com/office/drawing/2014/chart" uri="{C3380CC4-5D6E-409C-BE32-E72D297353CC}">
                    <c16:uniqueId val="{0000001C-AB59-4F66-BB2F-07968BA67B9A}"/>
                  </c:ext>
                </c:extLst>
              </c15:ser>
            </c15:filteredScatterSeries>
          </c:ext>
        </c:extLst>
      </c:scatterChart>
      <c:valAx>
        <c:axId val="408210216"/>
        <c:scaling>
          <c:orientation val="minMax"/>
          <c:max val="110"/>
          <c:min val="4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8208648"/>
        <c:crosses val="autoZero"/>
        <c:crossBetween val="midCat"/>
        <c:majorUnit val="5"/>
      </c:valAx>
      <c:valAx>
        <c:axId val="40820864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B, C, D, E1, E2,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8210216"/>
        <c:crosses val="autoZero"/>
        <c:crossBetween val="midCat"/>
        <c:majorUnit val="5"/>
      </c:valAx>
      <c:spPr>
        <a:noFill/>
        <a:ln>
          <a:noFill/>
        </a:ln>
        <a:effectLst/>
      </c:spPr>
    </c:plotArea>
    <c:legend>
      <c:legendPos val="b"/>
      <c:layout>
        <c:manualLayout>
          <c:xMode val="edge"/>
          <c:yMode val="edge"/>
          <c:x val="3.4794638438316157E-2"/>
          <c:y val="0.77375192519926084"/>
          <c:w val="0.55569890907226138"/>
          <c:h val="0.2162969962088071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Infant Anthropometery Seated Shoulder Height</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smoothMarker"/>
        <c:varyColors val="0"/>
        <c:ser>
          <c:idx val="3"/>
          <c:order val="3"/>
          <c:tx>
            <c:strRef>
              <c:f>'R129 Annex 18 Data'!$E$2</c:f>
              <c:strCache>
                <c:ptCount val="1"/>
                <c:pt idx="0">
                  <c:v>E1 Minimum Shoulder height cm 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4.0463609758972272E-2"/>
                  <c:y val="0.25481481481481483"/>
                </c:manualLayout>
              </c:layout>
              <c:showLegendKey val="0"/>
              <c:showVal val="0"/>
              <c:showCatName val="0"/>
              <c:showSerName val="1"/>
              <c:showPercent val="0"/>
              <c:showBubbleSize val="0"/>
              <c:extLst>
                <c:ext xmlns:c15="http://schemas.microsoft.com/office/drawing/2012/chart" uri="{CE6537A1-D6FC-4f65-9D91-7224C49458BB}">
                  <c15:layout>
                    <c:manualLayout>
                      <c:w val="0.21423687650103587"/>
                      <c:h val="5.5081481481481481E-2"/>
                    </c:manualLayout>
                  </c15:layout>
                </c:ext>
                <c:ext xmlns:c16="http://schemas.microsoft.com/office/drawing/2014/chart" uri="{C3380CC4-5D6E-409C-BE32-E72D297353CC}">
                  <c16:uniqueId val="{00000000-BB6B-41CD-804F-9E8295855C42}"/>
                </c:ext>
              </c:extLst>
            </c:dLbl>
            <c:spPr>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Data'!$E$3:$E$17</c:f>
              <c:numCache>
                <c:formatCode>General</c:formatCode>
                <c:ptCount val="15"/>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numCache>
            </c:numRef>
          </c:yVal>
          <c:smooth val="1"/>
          <c:extLst>
            <c:ext xmlns:c16="http://schemas.microsoft.com/office/drawing/2014/chart" uri="{C3380CC4-5D6E-409C-BE32-E72D297353CC}">
              <c16:uniqueId val="{00000001-BB6B-41CD-804F-9E8295855C42}"/>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circle"/>
            <c:size val="2"/>
            <c:spPr>
              <a:solidFill>
                <a:schemeClr val="accent5"/>
              </a:solidFill>
              <a:ln w="9525">
                <a:solidFill>
                  <a:schemeClr val="accent5"/>
                </a:solidFill>
              </a:ln>
              <a:effectLst/>
            </c:spPr>
          </c:marker>
          <c:dLbls>
            <c:dLbl>
              <c:idx val="0"/>
              <c:layout>
                <c:manualLayout>
                  <c:x val="-2.4272768554161456E-2"/>
                  <c:y val="-0.22814814814814816"/>
                </c:manualLayout>
              </c:layout>
              <c:showLegendKey val="0"/>
              <c:showVal val="0"/>
              <c:showCatName val="0"/>
              <c:showSerName val="1"/>
              <c:showPercent val="0"/>
              <c:showBubbleSize val="0"/>
              <c:extLst>
                <c:ext xmlns:c15="http://schemas.microsoft.com/office/drawing/2012/chart" uri="{CE6537A1-D6FC-4f65-9D91-7224C49458BB}">
                  <c15:layout>
                    <c:manualLayout>
                      <c:w val="0.22869264827367461"/>
                      <c:h val="5.5081481481481481E-2"/>
                    </c:manualLayout>
                  </c15:layout>
                </c:ext>
                <c:ext xmlns:c16="http://schemas.microsoft.com/office/drawing/2014/chart" uri="{C3380CC4-5D6E-409C-BE32-E72D297353CC}">
                  <c16:uniqueId val="{00000002-BB6B-41CD-804F-9E8295855C42}"/>
                </c:ext>
              </c:extLst>
            </c:dLbl>
            <c:spPr>
              <a:solidFill>
                <a:srgbClr val="FFFF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Data'!$F$3:$F$17</c:f>
              <c:numCache>
                <c:formatCode>General</c:formatCode>
                <c:ptCount val="15"/>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numCache>
            </c:numRef>
          </c:yVal>
          <c:smooth val="1"/>
          <c:extLst>
            <c:ext xmlns:c16="http://schemas.microsoft.com/office/drawing/2014/chart" uri="{C3380CC4-5D6E-409C-BE32-E72D297353CC}">
              <c16:uniqueId val="{00000003-BB6B-41CD-804F-9E8295855C42}"/>
            </c:ext>
          </c:extLst>
        </c:ser>
        <c:ser>
          <c:idx val="16"/>
          <c:order val="16"/>
          <c:tx>
            <c:strRef>
              <c:f>'US Child Data'!$Q$1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0"/>
              <c:layout>
                <c:manualLayout>
                  <c:x val="-5.7571177618170974E-2"/>
                  <c:y val="-0.1614814814814815"/>
                </c:manualLayout>
              </c:layout>
              <c:spPr>
                <a:solidFill>
                  <a:srgbClr val="FFFF00"/>
                </a:solid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20186352803448207"/>
                      <c:h val="4.7540740740740745E-2"/>
                    </c:manualLayout>
                  </c15:layout>
                </c:ext>
                <c:ext xmlns:c16="http://schemas.microsoft.com/office/drawing/2014/chart" uri="{C3380CC4-5D6E-409C-BE32-E72D297353CC}">
                  <c16:uniqueId val="{00000004-BB6B-41CD-804F-9E8295855C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5-BB6B-41CD-804F-9E8295855C42}"/>
            </c:ext>
          </c:extLst>
        </c:ser>
        <c:ser>
          <c:idx val="20"/>
          <c:order val="19"/>
          <c:tx>
            <c:strRef>
              <c:f>'US Child Data'!$O$1</c:f>
              <c:strCache>
                <c:ptCount val="1"/>
                <c:pt idx="0">
                  <c:v>US Shoulder Seated</c:v>
                </c:pt>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0"/>
              <c:layout>
                <c:manualLayout>
                  <c:x val="0.15337330972214736"/>
                  <c:y val="9.9259317585301834E-2"/>
                </c:manualLayout>
              </c:layout>
              <c:spPr>
                <a:solidFill>
                  <a:srgbClr val="FF0000"/>
                </a:solid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bg1"/>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21071963520476844"/>
                      <c:h val="5.0503703703703696E-2"/>
                    </c:manualLayout>
                  </c15:layout>
                </c:ext>
                <c:ext xmlns:c16="http://schemas.microsoft.com/office/drawing/2014/chart" uri="{C3380CC4-5D6E-409C-BE32-E72D297353CC}">
                  <c16:uniqueId val="{00000006-BB6B-41CD-804F-9E8295855C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7-BB6B-41CD-804F-9E8295855C42}"/>
            </c:ext>
          </c:extLst>
        </c:ser>
        <c:dLbls>
          <c:showLegendKey val="0"/>
          <c:showVal val="0"/>
          <c:showCatName val="0"/>
          <c:showSerName val="0"/>
          <c:showPercent val="0"/>
          <c:showBubbleSize val="0"/>
        </c:dLbls>
        <c:axId val="408207864"/>
        <c:axId val="408207472"/>
        <c:extLst>
          <c:ext xmlns:c15="http://schemas.microsoft.com/office/drawing/2012/chart" uri="{02D57815-91ED-43cb-92C2-25804820EDAC}">
            <c15:filteredScatterSeries>
              <c15:ser>
                <c:idx val="0"/>
                <c:order val="0"/>
                <c:tx>
                  <c:strRef>
                    <c:extLst>
                      <c:ext uri="{02D57815-91ED-43cb-92C2-25804820EDAC}">
                        <c15:formulaRef>
                          <c15:sqref>'R129 Annex 18 Data'!$B$2</c15:sqref>
                        </c15:formulaRef>
                      </c:ext>
                    </c:extLst>
                    <c:strCache>
                      <c:ptCount val="1"/>
                      <c:pt idx="0">
                        <c:v> B Minimum Sitting height cm 95%ile</c:v>
                      </c:pt>
                    </c:strCache>
                  </c:strRef>
                </c:tx>
                <c:spPr>
                  <a:ln w="25400" cap="rnd">
                    <a:solidFill>
                      <a:srgbClr val="00B050"/>
                    </a:solidFill>
                    <a:round/>
                  </a:ln>
                  <a:effectLst/>
                </c:spPr>
                <c:marker>
                  <c:symbol val="circle"/>
                  <c:size val="5"/>
                  <c:spPr>
                    <a:solidFill>
                      <a:schemeClr val="accent1"/>
                    </a:solidFill>
                    <a:ln w="9525">
                      <a:solidFill>
                        <a:schemeClr val="accent1"/>
                      </a:solidFill>
                    </a:ln>
                    <a:effectLst/>
                  </c:spPr>
                </c:marker>
                <c:dLbls>
                  <c:dLbl>
                    <c:idx val="0"/>
                    <c:layout>
                      <c:manualLayout>
                        <c:x val="-5.306021666977026E-2"/>
                        <c:y val="-0.23851851851851852"/>
                      </c:manualLayout>
                    </c:layout>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uri="{CE6537A1-D6FC-4f65-9D91-7224C49458BB}">
                        <c15:layout>
                          <c:manualLayout>
                            <c:w val="0.19323691241221325"/>
                            <c:h val="4.7540740740740745E-2"/>
                          </c:manualLayout>
                        </c15:layout>
                      </c:ext>
                      <c:ext xmlns:c16="http://schemas.microsoft.com/office/drawing/2014/chart" uri="{C3380CC4-5D6E-409C-BE32-E72D297353CC}">
                        <c16:uniqueId val="{00000008-BB6B-41CD-804F-9E8295855C42}"/>
                      </c:ext>
                    </c:extLst>
                  </c:dLbl>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c:ext uri="{02D57815-91ED-43cb-92C2-25804820EDAC}">
                        <c15:formulaRef>
                          <c15:sqref>'R129 Annex 18 Data'!$A$3:$A$17</c15:sqref>
                        </c15:formulaRef>
                      </c:ext>
                    </c:extLst>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extLst>
                      <c:ext uri="{02D57815-91ED-43cb-92C2-25804820EDAC}">
                        <c15:formulaRef>
                          <c15:sqref>'R129 Annex 18 Data'!$B$3:$B$17</c15:sqref>
                        </c15:formulaRef>
                      </c:ext>
                    </c:extLst>
                    <c:numCache>
                      <c:formatCode>General</c:formatCode>
                      <c:ptCount val="15"/>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numCache>
                  </c:numRef>
                </c:yVal>
                <c:smooth val="1"/>
                <c:extLst>
                  <c:ext xmlns:c16="http://schemas.microsoft.com/office/drawing/2014/chart" uri="{C3380CC4-5D6E-409C-BE32-E72D297353CC}">
                    <c16:uniqueId val="{00000009-BB6B-41CD-804F-9E8295855C42}"/>
                  </c:ext>
                </c:extLst>
              </c15:ser>
            </c15:filteredScatterSeries>
            <c15:filteredScatterSeries>
              <c15:ser>
                <c:idx val="1"/>
                <c:order val="1"/>
                <c:tx>
                  <c:strRef>
                    <c:extLst xmlns:c15="http://schemas.microsoft.com/office/drawing/2012/chart">
                      <c:ext xmlns:c15="http://schemas.microsoft.com/office/drawing/2012/chart" uri="{02D57815-91ED-43cb-92C2-25804820EDAC}">
                        <c15:formulaRef>
                          <c15:sqref>'R129 Annex 18 Data'!$C$2</c15:sqref>
                        </c15:formulaRef>
                      </c:ext>
                    </c:extLst>
                    <c:strCache>
                      <c:ptCount val="1"/>
                      <c:pt idx="0">
                        <c:v>C Minimum Shoulder breadth cm 95%ile</c:v>
                      </c:pt>
                    </c:strCache>
                  </c:strRef>
                </c:tx>
                <c:spPr>
                  <a:ln w="25400" cap="rnd">
                    <a:solidFill>
                      <a:srgbClr val="FFC000"/>
                    </a:solidFill>
                    <a:round/>
                  </a:ln>
                  <a:effectLst/>
                </c:spPr>
                <c:marker>
                  <c:symbol val="circle"/>
                  <c:size val="5"/>
                  <c:spPr>
                    <a:solidFill>
                      <a:srgbClr val="0070C0"/>
                    </a:solidFill>
                    <a:ln w="9525">
                      <a:solidFill>
                        <a:srgbClr val="0070C0"/>
                      </a:solidFill>
                    </a:ln>
                    <a:effectLst/>
                  </c:spPr>
                </c:marker>
                <c:dLbls>
                  <c:dLbl>
                    <c:idx val="0"/>
                    <c:layout>
                      <c:manualLayout>
                        <c:x val="-2.1123776195592529E-2"/>
                        <c:y val="5.0370370370370371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15:layout>
                          <c:manualLayout>
                            <c:w val="0.22648428793907877"/>
                            <c:h val="5.5081481481481481E-2"/>
                          </c:manualLayout>
                        </c15:layout>
                      </c:ext>
                      <c:ext xmlns:c16="http://schemas.microsoft.com/office/drawing/2014/chart" uri="{C3380CC4-5D6E-409C-BE32-E72D297353CC}">
                        <c16:uniqueId val="{0000000A-BB6B-41CD-804F-9E8295855C42}"/>
                      </c:ext>
                    </c:extLst>
                  </c:dLbl>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xmlns:c15="http://schemas.microsoft.com/office/drawing/2012/chart">
                      <c:ext xmlns:c15="http://schemas.microsoft.com/office/drawing/2012/chart" uri="{02D57815-91ED-43cb-92C2-25804820EDAC}">
                        <c15:formulaRef>
                          <c15:sqref>'R129 Annex 18 Data'!$A$3:$A$17</c15:sqref>
                        </c15:formulaRef>
                      </c:ext>
                    </c:extLst>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extLst xmlns:c15="http://schemas.microsoft.com/office/drawing/2012/chart">
                      <c:ext xmlns:c15="http://schemas.microsoft.com/office/drawing/2012/chart" uri="{02D57815-91ED-43cb-92C2-25804820EDAC}">
                        <c15:formulaRef>
                          <c15:sqref>'R129 Annex 18 Data'!$C$3:$C$17</c15:sqref>
                        </c15:formulaRef>
                      </c:ext>
                    </c:extLst>
                    <c:numCache>
                      <c:formatCode>General</c:formatCode>
                      <c:ptCount val="15"/>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numCache>
                  </c:numRef>
                </c:yVal>
                <c:smooth val="1"/>
                <c:extLst xmlns:c15="http://schemas.microsoft.com/office/drawing/2012/chart">
                  <c:ext xmlns:c16="http://schemas.microsoft.com/office/drawing/2014/chart" uri="{C3380CC4-5D6E-409C-BE32-E72D297353CC}">
                    <c16:uniqueId val="{0000000B-BB6B-41CD-804F-9E8295855C42}"/>
                  </c:ext>
                </c:extLst>
              </c15:ser>
            </c15:filteredScatterSeries>
            <c15:filteredScatterSeries>
              <c15:ser>
                <c:idx val="2"/>
                <c:order val="2"/>
                <c:tx>
                  <c:strRef>
                    <c:extLst xmlns:c15="http://schemas.microsoft.com/office/drawing/2012/chart">
                      <c:ext xmlns:c15="http://schemas.microsoft.com/office/drawing/2012/chart" uri="{02D57815-91ED-43cb-92C2-25804820EDAC}">
                        <c15:formulaRef>
                          <c15:sqref>'R129 Annex 18 Data'!$D$2</c15:sqref>
                        </c15:formulaRef>
                      </c:ext>
                    </c:extLst>
                    <c:strCache>
                      <c:ptCount val="1"/>
                      <c:pt idx="0">
                        <c:v> D Minimum Hip breadth cm 95%ile</c:v>
                      </c:pt>
                    </c:strCache>
                  </c:strRef>
                </c:tx>
                <c:spPr>
                  <a:ln w="25400" cap="rnd">
                    <a:solidFill>
                      <a:srgbClr val="FFC000"/>
                    </a:solidFill>
                    <a:round/>
                  </a:ln>
                  <a:effectLst/>
                </c:spPr>
                <c:marker>
                  <c:symbol val="circle"/>
                  <c:size val="5"/>
                  <c:spPr>
                    <a:solidFill>
                      <a:srgbClr val="0070C0"/>
                    </a:solidFill>
                    <a:ln w="9525">
                      <a:solidFill>
                        <a:schemeClr val="accent3"/>
                      </a:solidFill>
                    </a:ln>
                    <a:effectLst/>
                  </c:spPr>
                </c:marker>
                <c:dLbls>
                  <c:dLbl>
                    <c:idx val="0"/>
                    <c:layout>
                      <c:manualLayout>
                        <c:x val="-5.6654676258992821E-2"/>
                        <c:y val="-2.814814814814814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C-BB6B-41CD-804F-9E8295855C42}"/>
                      </c:ext>
                    </c:extLst>
                  </c:dLbl>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xmlns:c15="http://schemas.microsoft.com/office/drawing/2012/chart">
                      <c:ext xmlns:c15="http://schemas.microsoft.com/office/drawing/2012/chart" uri="{02D57815-91ED-43cb-92C2-25804820EDAC}">
                        <c15:formulaRef>
                          <c15:sqref>'R129 Annex 18 Data'!$A$3:$A$17</c15:sqref>
                        </c15:formulaRef>
                      </c:ext>
                    </c:extLst>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extLst xmlns:c15="http://schemas.microsoft.com/office/drawing/2012/chart">
                      <c:ext xmlns:c15="http://schemas.microsoft.com/office/drawing/2012/chart" uri="{02D57815-91ED-43cb-92C2-25804820EDAC}">
                        <c15:formulaRef>
                          <c15:sqref>'R129 Annex 18 Data'!$D$3:$D$17</c15:sqref>
                        </c15:formulaRef>
                      </c:ext>
                    </c:extLst>
                    <c:numCache>
                      <c:formatCode>General</c:formatCode>
                      <c:ptCount val="15"/>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numCache>
                  </c:numRef>
                </c:yVal>
                <c:smooth val="1"/>
                <c:extLst xmlns:c15="http://schemas.microsoft.com/office/drawing/2012/chart">
                  <c:ext xmlns:c16="http://schemas.microsoft.com/office/drawing/2014/chart" uri="{C3380CC4-5D6E-409C-BE32-E72D297353CC}">
                    <c16:uniqueId val="{0000000D-BB6B-41CD-804F-9E8295855C42}"/>
                  </c:ext>
                </c:extLst>
              </c15:ser>
            </c15:filteredScatterSeries>
            <c15:filteredScatterSeries>
              <c15:ser>
                <c:idx val="5"/>
                <c:order val="5"/>
                <c:tx>
                  <c:v>Q1-B</c:v>
                </c:tx>
                <c:spPr>
                  <a:ln w="19050" cap="rnd">
                    <a:solidFill>
                      <a:schemeClr val="accent6"/>
                    </a:solidFill>
                    <a:round/>
                  </a:ln>
                  <a:effectLst/>
                </c:spPr>
                <c:marker>
                  <c:symbol val="circle"/>
                  <c:size val="5"/>
                  <c:spPr>
                    <a:solidFill>
                      <a:schemeClr val="accent6"/>
                    </a:solidFill>
                    <a:ln w="47625">
                      <a:solidFill>
                        <a:srgbClr val="0070C0"/>
                      </a:solidFill>
                    </a:ln>
                    <a:effectLst/>
                  </c:spPr>
                </c:marker>
                <c:dLbls>
                  <c:dLbl>
                    <c:idx val="0"/>
                    <c:layout>
                      <c:manualLayout>
                        <c:x val="-6.7489634619174774E-2"/>
                        <c:y val="-4.745710285451825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E-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Dummies!$B$5</c15:sqref>
                        </c15:formulaRef>
                      </c:ext>
                    </c:extLst>
                    <c:numCache>
                      <c:formatCode>0.0</c:formatCode>
                      <c:ptCount val="1"/>
                      <c:pt idx="0">
                        <c:v>74</c:v>
                      </c:pt>
                    </c:numCache>
                  </c:numRef>
                </c:xVal>
                <c:yVal>
                  <c:numRef>
                    <c:extLst xmlns:c15="http://schemas.microsoft.com/office/drawing/2012/chart">
                      <c:ext xmlns:c15="http://schemas.microsoft.com/office/drawing/2012/chart" uri="{02D57815-91ED-43cb-92C2-25804820EDAC}">
                        <c15:formulaRef>
                          <c15:sqref>Dummies!$C$5</c15:sqref>
                        </c15:formulaRef>
                      </c:ext>
                    </c:extLst>
                    <c:numCache>
                      <c:formatCode>0.0</c:formatCode>
                      <c:ptCount val="1"/>
                      <c:pt idx="0">
                        <c:v>47.9</c:v>
                      </c:pt>
                    </c:numCache>
                  </c:numRef>
                </c:yVal>
                <c:smooth val="1"/>
                <c:extLst xmlns:c15="http://schemas.microsoft.com/office/drawing/2012/chart">
                  <c:ext xmlns:c16="http://schemas.microsoft.com/office/drawing/2014/chart" uri="{C3380CC4-5D6E-409C-BE32-E72D297353CC}">
                    <c16:uniqueId val="{0000000F-BB6B-41CD-804F-9E8295855C42}"/>
                  </c:ext>
                </c:extLst>
              </c15:ser>
            </c15:filteredScatterSeries>
            <c15:filteredScatterSeries>
              <c15:ser>
                <c:idx val="6"/>
                <c:order val="6"/>
                <c:tx>
                  <c:v>Q1-E</c:v>
                </c:tx>
                <c:spPr>
                  <a:ln w="19050" cap="rnd">
                    <a:solidFill>
                      <a:schemeClr val="accent1">
                        <a:lumMod val="60000"/>
                      </a:schemeClr>
                    </a:solidFill>
                    <a:round/>
                  </a:ln>
                  <a:effectLst/>
                </c:spPr>
                <c:marker>
                  <c:symbol val="circle"/>
                  <c:size val="5"/>
                  <c:spPr>
                    <a:solidFill>
                      <a:schemeClr val="accent1">
                        <a:lumMod val="60000"/>
                      </a:schemeClr>
                    </a:solidFill>
                    <a:ln w="44450">
                      <a:solidFill>
                        <a:schemeClr val="accent1">
                          <a:lumMod val="60000"/>
                        </a:schemeClr>
                      </a:solidFill>
                    </a:ln>
                    <a:effectLst/>
                  </c:spPr>
                </c:marker>
                <c:dLbls>
                  <c:dLbl>
                    <c:idx val="0"/>
                    <c:layout>
                      <c:manualLayout>
                        <c:x val="-6.74913348490883E-2"/>
                        <c:y val="3.708241632860775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0-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Dummies!$B$5</c15:sqref>
                        </c15:formulaRef>
                      </c:ext>
                    </c:extLst>
                    <c:numCache>
                      <c:formatCode>0.0</c:formatCode>
                      <c:ptCount val="1"/>
                      <c:pt idx="0">
                        <c:v>74</c:v>
                      </c:pt>
                    </c:numCache>
                  </c:numRef>
                </c:xVal>
                <c:yVal>
                  <c:numRef>
                    <c:extLst xmlns:c15="http://schemas.microsoft.com/office/drawing/2012/chart">
                      <c:ext xmlns:c15="http://schemas.microsoft.com/office/drawing/2012/chart" uri="{02D57815-91ED-43cb-92C2-25804820EDAC}">
                        <c15:formulaRef>
                          <c15:sqref>Dummies!$D$5</c15:sqref>
                        </c15:formulaRef>
                      </c:ext>
                    </c:extLst>
                    <c:numCache>
                      <c:formatCode>0.0</c:formatCode>
                      <c:ptCount val="1"/>
                      <c:pt idx="0">
                        <c:v>29.8</c:v>
                      </c:pt>
                    </c:numCache>
                  </c:numRef>
                </c:yVal>
                <c:smooth val="1"/>
                <c:extLst xmlns:c15="http://schemas.microsoft.com/office/drawing/2012/chart">
                  <c:ext xmlns:c16="http://schemas.microsoft.com/office/drawing/2014/chart" uri="{C3380CC4-5D6E-409C-BE32-E72D297353CC}">
                    <c16:uniqueId val="{00000011-BB6B-41CD-804F-9E8295855C42}"/>
                  </c:ext>
                </c:extLst>
              </c15:ser>
            </c15:filteredScatterSeries>
            <c15:filteredScatterSeries>
              <c15:ser>
                <c:idx val="7"/>
                <c:order val="7"/>
                <c:tx>
                  <c:v>Q1.5-B</c:v>
                </c:tx>
                <c:spPr>
                  <a:ln w="19050" cap="rnd">
                    <a:solidFill>
                      <a:schemeClr val="accent2">
                        <a:lumMod val="60000"/>
                      </a:schemeClr>
                    </a:solidFill>
                    <a:round/>
                  </a:ln>
                  <a:effectLst/>
                </c:spPr>
                <c:marker>
                  <c:symbol val="circle"/>
                  <c:size val="5"/>
                  <c:spPr>
                    <a:solidFill>
                      <a:schemeClr val="accent2">
                        <a:lumMod val="60000"/>
                      </a:schemeClr>
                    </a:solidFill>
                    <a:ln w="50800">
                      <a:solidFill>
                        <a:srgbClr val="0070C0"/>
                      </a:solidFill>
                    </a:ln>
                    <a:effectLst/>
                  </c:spPr>
                </c:marker>
                <c:dLbls>
                  <c:dLbl>
                    <c:idx val="0"/>
                    <c:layout>
                      <c:manualLayout>
                        <c:x val="3.598819983765638E-3"/>
                        <c:y val="3.7059538629170531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2-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Dummies!$C$7</c15:sqref>
                        </c15:formulaRef>
                      </c:ext>
                    </c:extLst>
                    <c:numCache>
                      <c:formatCode>0.0</c:formatCode>
                      <c:ptCount val="1"/>
                      <c:pt idx="0">
                        <c:v>49.9</c:v>
                      </c:pt>
                    </c:numCache>
                  </c:numRef>
                </c:yVal>
                <c:smooth val="1"/>
                <c:extLst xmlns:c15="http://schemas.microsoft.com/office/drawing/2012/chart">
                  <c:ext xmlns:c16="http://schemas.microsoft.com/office/drawing/2014/chart" uri="{C3380CC4-5D6E-409C-BE32-E72D297353CC}">
                    <c16:uniqueId val="{00000013-BB6B-41CD-804F-9E8295855C42}"/>
                  </c:ext>
                </c:extLst>
              </c15:ser>
            </c15:filteredScatterSeries>
            <c15:filteredScatterSeries>
              <c15:ser>
                <c:idx val="8"/>
                <c:order val="8"/>
                <c:tx>
                  <c:v>Q1.5-E</c:v>
                </c:tx>
                <c:spPr>
                  <a:ln w="19050" cap="rnd">
                    <a:solidFill>
                      <a:schemeClr val="accent3">
                        <a:lumMod val="60000"/>
                      </a:schemeClr>
                    </a:solidFill>
                    <a:round/>
                  </a:ln>
                  <a:effectLst/>
                </c:spPr>
                <c:marker>
                  <c:symbol val="circle"/>
                  <c:size val="5"/>
                  <c:spPr>
                    <a:solidFill>
                      <a:schemeClr val="accent3">
                        <a:lumMod val="60000"/>
                      </a:schemeClr>
                    </a:solidFill>
                    <a:ln w="50800">
                      <a:solidFill>
                        <a:srgbClr val="0070C0"/>
                      </a:solidFill>
                    </a:ln>
                    <a:effectLst/>
                  </c:spPr>
                </c:marker>
                <c:dLbls>
                  <c:dLbl>
                    <c:idx val="0"/>
                    <c:layout>
                      <c:manualLayout>
                        <c:x val="2.6991464260196197E-3"/>
                        <c:y val="-6.375234762321375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4-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Dummies!$D$7</c15:sqref>
                        </c15:formulaRef>
                      </c:ext>
                    </c:extLst>
                    <c:numCache>
                      <c:formatCode>0.0</c:formatCode>
                      <c:ptCount val="1"/>
                      <c:pt idx="0">
                        <c:v>30.9</c:v>
                      </c:pt>
                    </c:numCache>
                  </c:numRef>
                </c:yVal>
                <c:smooth val="1"/>
                <c:extLst xmlns:c15="http://schemas.microsoft.com/office/drawing/2012/chart">
                  <c:ext xmlns:c16="http://schemas.microsoft.com/office/drawing/2014/chart" uri="{C3380CC4-5D6E-409C-BE32-E72D297353CC}">
                    <c16:uniqueId val="{00000015-BB6B-41CD-804F-9E8295855C42}"/>
                  </c:ext>
                </c:extLst>
              </c15:ser>
            </c15:filteredScatterSeries>
            <c15:filteredScatterSeries>
              <c15:ser>
                <c:idx val="9"/>
                <c:order val="9"/>
                <c:tx>
                  <c:v>Q3-B</c:v>
                </c:tx>
                <c:spPr>
                  <a:ln w="19050" cap="rnd">
                    <a:solidFill>
                      <a:schemeClr val="accent4">
                        <a:lumMod val="60000"/>
                      </a:schemeClr>
                    </a:solidFill>
                    <a:round/>
                  </a:ln>
                  <a:effectLst/>
                </c:spPr>
                <c:marker>
                  <c:symbol val="circle"/>
                  <c:size val="5"/>
                  <c:spPr>
                    <a:solidFill>
                      <a:schemeClr val="accent4">
                        <a:lumMod val="60000"/>
                      </a:schemeClr>
                    </a:solidFill>
                    <a:ln w="50800">
                      <a:solidFill>
                        <a:srgbClr val="0070C0"/>
                      </a:solidFill>
                    </a:ln>
                    <a:effectLst/>
                  </c:spPr>
                </c:marker>
                <c:dLbls>
                  <c:dLbl>
                    <c:idx val="0"/>
                    <c:layout>
                      <c:manualLayout>
                        <c:x val="1.4399248854330604E-2"/>
                        <c:y val="2.0795450568678917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6-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Dummies!$C$9</c15:sqref>
                        </c15:formulaRef>
                      </c:ext>
                    </c:extLst>
                    <c:numCache>
                      <c:formatCode>0.0</c:formatCode>
                      <c:ptCount val="1"/>
                      <c:pt idx="0">
                        <c:v>54.4</c:v>
                      </c:pt>
                    </c:numCache>
                  </c:numRef>
                </c:yVal>
                <c:smooth val="1"/>
                <c:extLst xmlns:c15="http://schemas.microsoft.com/office/drawing/2012/chart">
                  <c:ext xmlns:c16="http://schemas.microsoft.com/office/drawing/2014/chart" uri="{C3380CC4-5D6E-409C-BE32-E72D297353CC}">
                    <c16:uniqueId val="{00000017-BB6B-41CD-804F-9E8295855C42}"/>
                  </c:ext>
                </c:extLst>
              </c15:ser>
            </c15:filteredScatterSeries>
            <c15:filteredScatterSeries>
              <c15:ser>
                <c:idx val="10"/>
                <c:order val="10"/>
                <c:tx>
                  <c:v>Q3-E</c:v>
                </c:tx>
                <c:spPr>
                  <a:ln w="19050" cap="rnd">
                    <a:solidFill>
                      <a:schemeClr val="accent5">
                        <a:lumMod val="60000"/>
                      </a:schemeClr>
                    </a:solidFill>
                    <a:round/>
                  </a:ln>
                  <a:effectLst/>
                </c:spPr>
                <c:marker>
                  <c:symbol val="circle"/>
                  <c:size val="5"/>
                  <c:spPr>
                    <a:solidFill>
                      <a:schemeClr val="accent5">
                        <a:lumMod val="60000"/>
                      </a:schemeClr>
                    </a:solidFill>
                    <a:ln w="50800">
                      <a:solidFill>
                        <a:schemeClr val="accent5">
                          <a:lumMod val="60000"/>
                        </a:schemeClr>
                      </a:solidFill>
                    </a:ln>
                    <a:effectLst/>
                  </c:spPr>
                </c:marker>
                <c:dLbls>
                  <c:dLbl>
                    <c:idx val="0"/>
                    <c:layout>
                      <c:manualLayout>
                        <c:x val="1.6194666063944419E-2"/>
                        <c:y val="-6.375771361913094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8-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Dummies!$D$9</c15:sqref>
                        </c15:formulaRef>
                      </c:ext>
                    </c:extLst>
                    <c:numCache>
                      <c:formatCode>0.0</c:formatCode>
                      <c:ptCount val="1"/>
                      <c:pt idx="0">
                        <c:v>32.9</c:v>
                      </c:pt>
                    </c:numCache>
                  </c:numRef>
                </c:yVal>
                <c:smooth val="1"/>
                <c:extLst xmlns:c15="http://schemas.microsoft.com/office/drawing/2012/chart">
                  <c:ext xmlns:c16="http://schemas.microsoft.com/office/drawing/2014/chart" uri="{C3380CC4-5D6E-409C-BE32-E72D297353CC}">
                    <c16:uniqueId val="{00000019-BB6B-41CD-804F-9E8295855C42}"/>
                  </c:ext>
                </c:extLst>
              </c15:ser>
            </c15:filteredScatterSeries>
            <c15:filteredScatterSeries>
              <c15:ser>
                <c:idx val="11"/>
                <c:order val="11"/>
                <c:tx>
                  <c:v>CRABI 12-B</c:v>
                </c:tx>
                <c:spPr>
                  <a:ln w="19050" cap="rnd">
                    <a:solidFill>
                      <a:schemeClr val="accent6">
                        <a:lumMod val="60000"/>
                      </a:schemeClr>
                    </a:solidFill>
                    <a:round/>
                  </a:ln>
                  <a:effectLst/>
                </c:spPr>
                <c:marker>
                  <c:symbol val="circle"/>
                  <c:size val="5"/>
                  <c:spPr>
                    <a:solidFill>
                      <a:schemeClr val="accent6">
                        <a:lumMod val="60000"/>
                      </a:schemeClr>
                    </a:solidFill>
                    <a:ln w="50800">
                      <a:solidFill>
                        <a:srgbClr val="FF0000"/>
                      </a:solidFill>
                    </a:ln>
                    <a:effectLst/>
                  </c:spPr>
                </c:marker>
                <c:dLbls>
                  <c:dLbl>
                    <c:idx val="0"/>
                    <c:layout>
                      <c:manualLayout>
                        <c:x val="-2.9690964839840753E-2"/>
                        <c:y val="3.855829687955666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A-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Dummies!$C$6</c15:sqref>
                        </c15:formulaRef>
                      </c:ext>
                    </c:extLst>
                    <c:numCache>
                      <c:formatCode>0.0</c:formatCode>
                      <c:ptCount val="1"/>
                      <c:pt idx="0">
                        <c:v>48</c:v>
                      </c:pt>
                    </c:numCache>
                  </c:numRef>
                </c:yVal>
                <c:smooth val="1"/>
                <c:extLst xmlns:c15="http://schemas.microsoft.com/office/drawing/2012/chart">
                  <c:ext xmlns:c16="http://schemas.microsoft.com/office/drawing/2014/chart" uri="{C3380CC4-5D6E-409C-BE32-E72D297353CC}">
                    <c16:uniqueId val="{0000001B-BB6B-41CD-804F-9E8295855C42}"/>
                  </c:ext>
                </c:extLst>
              </c15:ser>
            </c15:filteredScatterSeries>
            <c15:filteredScatterSeries>
              <c15:ser>
                <c:idx val="12"/>
                <c:order val="12"/>
                <c:tx>
                  <c:v>3yr-B</c:v>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50800">
                      <a:solidFill>
                        <a:srgbClr val="FF0000"/>
                      </a:solidFill>
                    </a:ln>
                    <a:effectLst/>
                  </c:spPr>
                </c:marker>
                <c:dLbls>
                  <c:dLbl>
                    <c:idx val="0"/>
                    <c:layout>
                      <c:manualLayout>
                        <c:x val="-4.3199163177486143E-2"/>
                        <c:y val="5.190749489647122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C-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Dummies!$C$10</c15:sqref>
                        </c15:formulaRef>
                      </c:ext>
                    </c:extLst>
                    <c:numCache>
                      <c:formatCode>0.0</c:formatCode>
                      <c:ptCount val="1"/>
                      <c:pt idx="0">
                        <c:v>54.6</c:v>
                      </c:pt>
                    </c:numCache>
                  </c:numRef>
                </c:yVal>
                <c:smooth val="1"/>
                <c:extLst xmlns:c15="http://schemas.microsoft.com/office/drawing/2012/chart">
                  <c:ext xmlns:c16="http://schemas.microsoft.com/office/drawing/2014/chart" uri="{C3380CC4-5D6E-409C-BE32-E72D297353CC}">
                    <c16:uniqueId val="{0000001D-BB6B-41CD-804F-9E8295855C42}"/>
                  </c:ext>
                </c:extLst>
              </c15:ser>
            </c15:filteredScatterSeries>
            <c15:filteredScatterSeries>
              <c15:ser>
                <c:idx val="13"/>
                <c:order val="13"/>
                <c:tx>
                  <c:v>CRABI 12-E</c:v>
                </c:tx>
                <c:spPr>
                  <a:ln w="19050" cap="rnd">
                    <a:solidFill>
                      <a:schemeClr val="accent2">
                        <a:lumMod val="80000"/>
                        <a:lumOff val="20000"/>
                      </a:schemeClr>
                    </a:solidFill>
                    <a:round/>
                  </a:ln>
                  <a:effectLst/>
                </c:spPr>
                <c:marker>
                  <c:symbol val="circle"/>
                  <c:size val="5"/>
                  <c:spPr>
                    <a:solidFill>
                      <a:schemeClr val="accent2">
                        <a:lumMod val="80000"/>
                        <a:lumOff val="20000"/>
                      </a:schemeClr>
                    </a:solidFill>
                    <a:ln w="50800">
                      <a:solidFill>
                        <a:srgbClr val="FF0000"/>
                      </a:solidFill>
                    </a:ln>
                    <a:effectLst/>
                  </c:spPr>
                </c:marker>
                <c:dLbls>
                  <c:dLbl>
                    <c:idx val="0"/>
                    <c:layout>
                      <c:manualLayout>
                        <c:x val="-2.8808343179394322E-2"/>
                        <c:y val="-4.8947448235637264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E-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Dummies!$D$6</c15:sqref>
                        </c15:formulaRef>
                      </c:ext>
                    </c:extLst>
                    <c:numCache>
                      <c:formatCode>0.0</c:formatCode>
                      <c:ptCount val="1"/>
                      <c:pt idx="0">
                        <c:v>30.7</c:v>
                      </c:pt>
                    </c:numCache>
                  </c:numRef>
                </c:yVal>
                <c:smooth val="1"/>
                <c:extLst xmlns:c15="http://schemas.microsoft.com/office/drawing/2012/chart">
                  <c:ext xmlns:c16="http://schemas.microsoft.com/office/drawing/2014/chart" uri="{C3380CC4-5D6E-409C-BE32-E72D297353CC}">
                    <c16:uniqueId val="{0000001F-BB6B-41CD-804F-9E8295855C42}"/>
                  </c:ext>
                </c:extLst>
              </c15:ser>
            </c15:filteredScatterSeries>
            <c15:filteredScatterSeries>
              <c15:ser>
                <c:idx val="14"/>
                <c:order val="14"/>
                <c:tx>
                  <c:v>3yr-E</c:v>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50800">
                      <a:solidFill>
                        <a:srgbClr val="FF0000"/>
                      </a:solidFill>
                    </a:ln>
                    <a:effectLst/>
                  </c:spPr>
                </c:marker>
                <c:dLbls>
                  <c:dLbl>
                    <c:idx val="0"/>
                    <c:layout>
                      <c:manualLayout>
                        <c:x val="-4.1386888255394626E-2"/>
                        <c:y val="-3.708474773986585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0-BB6B-41CD-804F-9E8295855C42}"/>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Dummies!$D$10</c15:sqref>
                        </c15:formulaRef>
                      </c:ext>
                    </c:extLst>
                    <c:numCache>
                      <c:formatCode>0.0</c:formatCode>
                      <c:ptCount val="1"/>
                      <c:pt idx="0">
                        <c:v>35.9</c:v>
                      </c:pt>
                    </c:numCache>
                  </c:numRef>
                </c:yVal>
                <c:smooth val="1"/>
                <c:extLst xmlns:c15="http://schemas.microsoft.com/office/drawing/2012/chart">
                  <c:ext xmlns:c16="http://schemas.microsoft.com/office/drawing/2014/chart" uri="{C3380CC4-5D6E-409C-BE32-E72D297353CC}">
                    <c16:uniqueId val="{00000021-BB6B-41CD-804F-9E8295855C42}"/>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'US Child Data'!$M$1</c15:sqref>
                        </c15:formulaRef>
                      </c:ext>
                    </c:extLst>
                    <c:strCache>
                      <c:ptCount val="1"/>
                    </c:strCache>
                  </c:strRef>
                </c:tx>
                <c:spPr>
                  <a:ln w="19050" cap="rnd">
                    <a:solidFill>
                      <a:srgbClr val="92D050"/>
                    </a:solidFill>
                    <a:round/>
                  </a:ln>
                  <a:effectLst/>
                </c:spPr>
                <c:marker>
                  <c:symbol val="circle"/>
                  <c:size val="5"/>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Data'!$M$3:$M$17</c15:sqref>
                        </c15:formulaRef>
                      </c:ext>
                    </c:extLst>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22-BB6B-41CD-804F-9E8295855C42}"/>
                  </c:ext>
                </c:extLst>
              </c15:ser>
            </c15:filteredScatterSeries>
            <c15:filteredScatterSeries>
              <c15:ser>
                <c:idx val="18"/>
                <c:order val="17"/>
                <c:tx>
                  <c:strRef>
                    <c:extLst xmlns:c15="http://schemas.microsoft.com/office/drawing/2012/chart">
                      <c:ext xmlns:c15="http://schemas.microsoft.com/office/drawing/2012/chart" uri="{02D57815-91ED-43cb-92C2-25804820EDAC}">
                        <c15:formulaRef>
                          <c15:sqref>'US Child Data'!$Y$1</c15:sqref>
                        </c15:formulaRef>
                      </c:ext>
                    </c:extLst>
                    <c:strCache>
                      <c:ptCount val="1"/>
                    </c:strCache>
                  </c:strRef>
                </c:tx>
                <c:spPr>
                  <a:ln w="19050" cap="rnd">
                    <a:solidFill>
                      <a:srgbClr val="FFC000"/>
                    </a:solidFill>
                    <a:round/>
                  </a:ln>
                  <a:effectLst/>
                </c:spPr>
                <c:marker>
                  <c:symbol val="circle"/>
                  <c:size val="5"/>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Data'!$Y$3:$Y$17</c15:sqref>
                        </c15:formulaRef>
                      </c:ext>
                    </c:extLst>
                    <c:numCache>
                      <c:formatCode>0.0</c:formatCode>
                      <c:ptCount val="15"/>
                      <c:pt idx="0">
                        <c:v>19.812000000000001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23-BB6B-41CD-804F-9E8295855C42}"/>
                  </c:ext>
                </c:extLst>
              </c15:ser>
            </c15:filteredScatterSeries>
            <c15:filteredScatterSeries>
              <c15:ser>
                <c:idx val="19"/>
                <c:order val="18"/>
                <c:tx>
                  <c:strRef>
                    <c:extLst xmlns:c15="http://schemas.microsoft.com/office/drawing/2012/chart">
                      <c:ext xmlns:c15="http://schemas.microsoft.com/office/drawing/2012/chart" uri="{02D57815-91ED-43cb-92C2-25804820EDAC}">
                        <c15:formulaRef>
                          <c15:sqref>'US Child Data'!$U$1</c15:sqref>
                        </c15:formulaRef>
                      </c:ext>
                    </c:extLst>
                    <c:strCache>
                      <c:ptCount val="1"/>
                    </c:strCache>
                  </c:strRef>
                </c:tx>
                <c:spPr>
                  <a:ln w="19050" cap="rnd">
                    <a:solidFill>
                      <a:srgbClr val="FFC000"/>
                    </a:solidFill>
                    <a:round/>
                  </a:ln>
                  <a:effectLst/>
                </c:spPr>
                <c:marker>
                  <c:symbol val="circle"/>
                  <c:size val="5"/>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Data'!$U$3:$U$17</c15:sqref>
                        </c15:formulaRef>
                      </c:ext>
                    </c:extLst>
                    <c:numCache>
                      <c:formatCode>0.0</c:formatCode>
                      <c:ptCount val="15"/>
                      <c:pt idx="0">
                        <c:v>17.526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24-BB6B-41CD-804F-9E8295855C42}"/>
                  </c:ext>
                </c:extLst>
              </c15:ser>
            </c15:filteredScatterSeries>
          </c:ext>
        </c:extLst>
      </c:scatterChart>
      <c:valAx>
        <c:axId val="408207864"/>
        <c:scaling>
          <c:orientation val="minMax"/>
          <c:max val="110"/>
          <c:min val="4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8207472"/>
        <c:crosses val="autoZero"/>
        <c:crossBetween val="midCat"/>
        <c:majorUnit val="5"/>
      </c:valAx>
      <c:valAx>
        <c:axId val="408207472"/>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 E1, E2,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408207864"/>
        <c:crosses val="autoZero"/>
        <c:crossBetween val="midCat"/>
        <c:majorUnit val="5"/>
      </c:valAx>
      <c:spPr>
        <a:noFill/>
        <a:ln>
          <a:noFill/>
        </a:ln>
        <a:effectLst/>
      </c:spPr>
    </c:plotArea>
    <c:legend>
      <c:legendPos val="b"/>
      <c:layout>
        <c:manualLayout>
          <c:xMode val="edge"/>
          <c:yMode val="edge"/>
          <c:x val="3.4794638438316157E-2"/>
          <c:y val="0.77375192519926084"/>
          <c:w val="0.64986913669458646"/>
          <c:h val="2.5000174978127739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Infant Carrier Anthropometery vs EU-CN-US-CA Regulation </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smoothMarker"/>
        <c:varyColors val="0"/>
        <c:ser>
          <c:idx val="0"/>
          <c:order val="0"/>
          <c:tx>
            <c:strRef>
              <c:f>'R129 Annex 18 Data'!$B$2</c:f>
              <c:strCache>
                <c:ptCount val="1"/>
                <c:pt idx="0">
                  <c:v> B Minimum Sitting height cm 95%ile</c:v>
                </c:pt>
              </c:strCache>
            </c:strRef>
          </c:tx>
          <c:spPr>
            <a:ln w="25400" cap="rnd">
              <a:solidFill>
                <a:srgbClr val="00B050"/>
              </a:solidFill>
              <a:round/>
            </a:ln>
            <a:effectLst/>
          </c:spPr>
          <c:marker>
            <c:symbol val="circle"/>
            <c:size val="5"/>
            <c:spPr>
              <a:solidFill>
                <a:schemeClr val="accent1"/>
              </a:solidFill>
              <a:ln w="9525">
                <a:solidFill>
                  <a:schemeClr val="accent1"/>
                </a:solidFill>
              </a:ln>
              <a:effectLst/>
            </c:spPr>
          </c:marker>
          <c:dLbls>
            <c:dLbl>
              <c:idx val="0"/>
              <c:layout>
                <c:manualLayout>
                  <c:x val="-4.4064748201438846E-2"/>
                  <c:y val="-5.77777777777778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2742-45AE-A315-03C7C8A950F0}"/>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Data'!$B$3:$B$17</c:f>
              <c:numCache>
                <c:formatCode>General</c:formatCode>
                <c:ptCount val="15"/>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numCache>
            </c:numRef>
          </c:yVal>
          <c:smooth val="1"/>
          <c:extLst>
            <c:ext xmlns:c16="http://schemas.microsoft.com/office/drawing/2014/chart" uri="{C3380CC4-5D6E-409C-BE32-E72D297353CC}">
              <c16:uniqueId val="{00000001-2742-45AE-A315-03C7C8A950F0}"/>
            </c:ext>
          </c:extLst>
        </c:ser>
        <c:ser>
          <c:idx val="1"/>
          <c:order val="1"/>
          <c:tx>
            <c:strRef>
              <c:f>'R129 Annex 18 Data'!$C$2</c:f>
              <c:strCache>
                <c:ptCount val="1"/>
                <c:pt idx="0">
                  <c:v>C Minimum Shoulder breadth cm 95%ile</c:v>
                </c:pt>
              </c:strCache>
            </c:strRef>
          </c:tx>
          <c:spPr>
            <a:ln w="25400" cap="rnd">
              <a:solidFill>
                <a:srgbClr val="FFC000"/>
              </a:solidFill>
              <a:round/>
            </a:ln>
            <a:effectLst/>
          </c:spPr>
          <c:marker>
            <c:symbol val="circle"/>
            <c:size val="5"/>
            <c:spPr>
              <a:solidFill>
                <a:srgbClr val="0070C0"/>
              </a:solidFill>
              <a:ln w="9525">
                <a:solidFill>
                  <a:srgbClr val="0070C0"/>
                </a:solidFill>
              </a:ln>
              <a:effectLst/>
            </c:spPr>
          </c:marker>
          <c:dLbls>
            <c:dLbl>
              <c:idx val="0"/>
              <c:layout>
                <c:manualLayout>
                  <c:x val="-5.2158273381294966E-2"/>
                  <c:y val="3.703703703703703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2742-45AE-A315-03C7C8A950F0}"/>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Data'!$C$3:$C$17</c:f>
              <c:numCache>
                <c:formatCode>General</c:formatCode>
                <c:ptCount val="15"/>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numCache>
            </c:numRef>
          </c:yVal>
          <c:smooth val="1"/>
          <c:extLst>
            <c:ext xmlns:c16="http://schemas.microsoft.com/office/drawing/2014/chart" uri="{C3380CC4-5D6E-409C-BE32-E72D297353CC}">
              <c16:uniqueId val="{00000003-2742-45AE-A315-03C7C8A950F0}"/>
            </c:ext>
          </c:extLst>
        </c:ser>
        <c:ser>
          <c:idx val="2"/>
          <c:order val="2"/>
          <c:tx>
            <c:strRef>
              <c:f>'R129 Annex 18 Data'!$D$2</c:f>
              <c:strCache>
                <c:ptCount val="1"/>
                <c:pt idx="0">
                  <c:v> D Minimum Hip breadth cm 95%ile</c:v>
                </c:pt>
              </c:strCache>
            </c:strRef>
          </c:tx>
          <c:spPr>
            <a:ln w="25400" cap="rnd">
              <a:solidFill>
                <a:srgbClr val="FFC000"/>
              </a:solidFill>
              <a:round/>
            </a:ln>
            <a:effectLst/>
          </c:spPr>
          <c:marker>
            <c:symbol val="circle"/>
            <c:size val="5"/>
            <c:spPr>
              <a:solidFill>
                <a:srgbClr val="0070C0"/>
              </a:solidFill>
              <a:ln w="9525">
                <a:solidFill>
                  <a:schemeClr val="accent3"/>
                </a:solidFill>
              </a:ln>
              <a:effectLst/>
            </c:spPr>
          </c:marker>
          <c:dLbls>
            <c:dLbl>
              <c:idx val="0"/>
              <c:layout>
                <c:manualLayout>
                  <c:x val="-5.6654676258992821E-2"/>
                  <c:y val="-2.814814814814814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2742-45AE-A315-03C7C8A950F0}"/>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Data'!$D$3:$D$17</c:f>
              <c:numCache>
                <c:formatCode>General</c:formatCode>
                <c:ptCount val="15"/>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numCache>
            </c:numRef>
          </c:yVal>
          <c:smooth val="1"/>
          <c:extLst>
            <c:ext xmlns:c16="http://schemas.microsoft.com/office/drawing/2014/chart" uri="{C3380CC4-5D6E-409C-BE32-E72D297353CC}">
              <c16:uniqueId val="{00000005-2742-45AE-A315-03C7C8A950F0}"/>
            </c:ext>
          </c:extLst>
        </c:ser>
        <c:ser>
          <c:idx val="3"/>
          <c:order val="3"/>
          <c:tx>
            <c:strRef>
              <c:f>'R129 Annex 18 Data'!$E$2</c:f>
              <c:strCache>
                <c:ptCount val="1"/>
                <c:pt idx="0">
                  <c:v>E1 Minimum Shoulder height cm 5%ile</c:v>
                </c:pt>
              </c:strCache>
            </c:strRef>
          </c:tx>
          <c:spPr>
            <a:ln w="25400" cap="rnd">
              <a:solidFill>
                <a:srgbClr val="0070C0"/>
              </a:solidFill>
              <a:round/>
            </a:ln>
            <a:effectLst/>
          </c:spPr>
          <c:marker>
            <c:symbol val="circle"/>
            <c:size val="5"/>
            <c:spPr>
              <a:solidFill>
                <a:srgbClr val="0070C0"/>
              </a:solidFill>
              <a:ln w="9525">
                <a:solidFill>
                  <a:srgbClr val="0070C0"/>
                </a:solidFill>
              </a:ln>
              <a:effectLst/>
            </c:spPr>
          </c:marker>
          <c:dLbls>
            <c:dLbl>
              <c:idx val="0"/>
              <c:layout>
                <c:manualLayout>
                  <c:x val="-5.3956834532374119E-2"/>
                  <c:y val="4.44444444444443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2742-45AE-A315-03C7C8A950F0}"/>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Data'!$E$3:$E$17</c:f>
              <c:numCache>
                <c:formatCode>General</c:formatCode>
                <c:ptCount val="15"/>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numCache>
            </c:numRef>
          </c:yVal>
          <c:smooth val="1"/>
          <c:extLst>
            <c:ext xmlns:c16="http://schemas.microsoft.com/office/drawing/2014/chart" uri="{C3380CC4-5D6E-409C-BE32-E72D297353CC}">
              <c16:uniqueId val="{00000007-2742-45AE-A315-03C7C8A950F0}"/>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circle"/>
            <c:size val="5"/>
            <c:spPr>
              <a:solidFill>
                <a:schemeClr val="accent5"/>
              </a:solidFill>
              <a:ln w="9525">
                <a:solidFill>
                  <a:schemeClr val="accent5"/>
                </a:solidFill>
              </a:ln>
              <a:effectLst/>
            </c:spPr>
          </c:marker>
          <c:dLbls>
            <c:dLbl>
              <c:idx val="0"/>
              <c:layout>
                <c:manualLayout>
                  <c:x val="-5.035971223021584E-2"/>
                  <c:y val="-5.037037037037042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2742-45AE-A315-03C7C8A950F0}"/>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Data'!$F$3:$F$17</c:f>
              <c:numCache>
                <c:formatCode>General</c:formatCode>
                <c:ptCount val="15"/>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numCache>
            </c:numRef>
          </c:yVal>
          <c:smooth val="1"/>
          <c:extLst>
            <c:ext xmlns:c16="http://schemas.microsoft.com/office/drawing/2014/chart" uri="{C3380CC4-5D6E-409C-BE32-E72D297353CC}">
              <c16:uniqueId val="{00000009-2742-45AE-A315-03C7C8A950F0}"/>
            </c:ext>
          </c:extLst>
        </c:ser>
        <c:ser>
          <c:idx val="15"/>
          <c:order val="15"/>
          <c:tx>
            <c:strRef>
              <c:f>'US Child Data'!$M$1</c:f>
              <c:strCache>
                <c:ptCount val="1"/>
              </c:strCache>
            </c:strRef>
          </c:tx>
          <c:spPr>
            <a:ln w="19050" cap="rnd">
              <a:solidFill>
                <a:srgbClr val="92D05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Data'!$M$3:$M$17</c:f>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A-2742-45AE-A315-03C7C8A950F0}"/>
            </c:ext>
          </c:extLst>
        </c:ser>
        <c:ser>
          <c:idx val="16"/>
          <c:order val="16"/>
          <c:tx>
            <c:strRef>
              <c:f>'US Child Data'!$Q$1</c:f>
              <c:strCache>
                <c:ptCount val="1"/>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B-2742-45AE-A315-03C7C8A950F0}"/>
            </c:ext>
          </c:extLst>
        </c:ser>
        <c:ser>
          <c:idx val="17"/>
          <c:order val="17"/>
          <c:tx>
            <c:strRef>
              <c:f>'US Child Data'!$O$1</c:f>
              <c:strCache>
                <c:ptCount val="1"/>
                <c:pt idx="0">
                  <c:v>US Shoulder Seated</c:v>
                </c:pt>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C-2742-45AE-A315-03C7C8A950F0}"/>
            </c:ext>
          </c:extLst>
        </c:ser>
        <c:ser>
          <c:idx val="18"/>
          <c:order val="18"/>
          <c:tx>
            <c:strRef>
              <c:f>'US Child Data'!$Y$1</c:f>
              <c:strCache>
                <c:ptCount val="1"/>
              </c:strCache>
            </c:strRef>
          </c:tx>
          <c:spPr>
            <a:ln w="19050" cap="rnd">
              <a:solidFill>
                <a:srgbClr val="FFC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Data'!$Y$3:$Y$17</c:f>
              <c:numCache>
                <c:formatCode>0.0</c:formatCode>
                <c:ptCount val="15"/>
                <c:pt idx="0">
                  <c:v>19.812000000000001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D-2742-45AE-A315-03C7C8A950F0}"/>
            </c:ext>
          </c:extLst>
        </c:ser>
        <c:ser>
          <c:idx val="19"/>
          <c:order val="19"/>
          <c:tx>
            <c:strRef>
              <c:f>'US Child Data'!$U$1</c:f>
              <c:strCache>
                <c:ptCount val="1"/>
              </c:strCache>
            </c:strRef>
          </c:tx>
          <c:spPr>
            <a:ln w="19050" cap="rnd">
              <a:solidFill>
                <a:srgbClr val="FFC000"/>
              </a:solidFill>
              <a:round/>
            </a:ln>
            <a:effectLst/>
          </c:spPr>
          <c:marker>
            <c:symbol val="circle"/>
            <c:size val="5"/>
            <c:spPr>
              <a:solidFill>
                <a:srgbClr val="FF0000"/>
              </a:solidFill>
              <a:ln w="9525">
                <a:solidFill>
                  <a:srgbClr val="FF0000"/>
                </a:solidFill>
              </a:ln>
              <a:effectLst/>
            </c:spPr>
          </c:marker>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Data'!$U$3:$U$17</c:f>
              <c:numCache>
                <c:formatCode>0.0</c:formatCode>
                <c:ptCount val="15"/>
                <c:pt idx="0">
                  <c:v>17.526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E-2742-45AE-A315-03C7C8A950F0}"/>
            </c:ext>
          </c:extLst>
        </c:ser>
        <c:dLbls>
          <c:showLegendKey val="0"/>
          <c:showVal val="0"/>
          <c:showCatName val="0"/>
          <c:showSerName val="0"/>
          <c:showPercent val="0"/>
          <c:showBubbleSize val="0"/>
        </c:dLbls>
        <c:axId val="597948680"/>
        <c:axId val="597949072"/>
        <c:extLst>
          <c:ext xmlns:c15="http://schemas.microsoft.com/office/drawing/2012/chart" uri="{02D57815-91ED-43cb-92C2-25804820EDAC}">
            <c15:filteredScatterSeries>
              <c15:ser>
                <c:idx val="5"/>
                <c:order val="5"/>
                <c:tx>
                  <c:v>Q1-B</c:v>
                </c:tx>
                <c:spPr>
                  <a:ln w="19050" cap="rnd">
                    <a:solidFill>
                      <a:schemeClr val="accent6"/>
                    </a:solidFill>
                    <a:round/>
                  </a:ln>
                  <a:effectLst/>
                </c:spPr>
                <c:marker>
                  <c:symbol val="circle"/>
                  <c:size val="5"/>
                  <c:spPr>
                    <a:solidFill>
                      <a:schemeClr val="accent6"/>
                    </a:solidFill>
                    <a:ln w="47625">
                      <a:solidFill>
                        <a:srgbClr val="0070C0"/>
                      </a:solidFill>
                    </a:ln>
                    <a:effectLst/>
                  </c:spPr>
                </c:marker>
                <c:dLbls>
                  <c:dLbl>
                    <c:idx val="0"/>
                    <c:layout>
                      <c:manualLayout>
                        <c:x val="-6.7489634619174774E-2"/>
                        <c:y val="-4.7457102854518256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F-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uri="{CE6537A1-D6FC-4f65-9D91-7224C49458BB}">
                      <c15:showLeaderLines val="1"/>
                      <c15:leaderLines>
                        <c:spPr>
                          <a:ln w="9525" cap="flat" cmpd="sng" algn="ctr">
                            <a:solidFill>
                              <a:srgbClr val="0070C0"/>
                            </a:solidFill>
                            <a:round/>
                          </a:ln>
                          <a:effectLst/>
                        </c:spPr>
                      </c15:leaderLines>
                    </c:ext>
                  </c:extLst>
                </c:dLbls>
                <c:xVal>
                  <c:numRef>
                    <c:extLst>
                      <c:ext uri="{02D57815-91ED-43cb-92C2-25804820EDAC}">
                        <c15:formulaRef>
                          <c15:sqref>Dummies!$B$5</c15:sqref>
                        </c15:formulaRef>
                      </c:ext>
                    </c:extLst>
                    <c:numCache>
                      <c:formatCode>0.0</c:formatCode>
                      <c:ptCount val="1"/>
                      <c:pt idx="0">
                        <c:v>74</c:v>
                      </c:pt>
                    </c:numCache>
                  </c:numRef>
                </c:xVal>
                <c:yVal>
                  <c:numRef>
                    <c:extLst>
                      <c:ext uri="{02D57815-91ED-43cb-92C2-25804820EDAC}">
                        <c15:formulaRef>
                          <c15:sqref>Dummies!$C$5</c15:sqref>
                        </c15:formulaRef>
                      </c:ext>
                    </c:extLst>
                    <c:numCache>
                      <c:formatCode>0.0</c:formatCode>
                      <c:ptCount val="1"/>
                      <c:pt idx="0">
                        <c:v>47.9</c:v>
                      </c:pt>
                    </c:numCache>
                  </c:numRef>
                </c:yVal>
                <c:smooth val="1"/>
                <c:extLst>
                  <c:ext xmlns:c16="http://schemas.microsoft.com/office/drawing/2014/chart" uri="{C3380CC4-5D6E-409C-BE32-E72D297353CC}">
                    <c16:uniqueId val="{00000010-2742-45AE-A315-03C7C8A950F0}"/>
                  </c:ext>
                </c:extLst>
              </c15:ser>
            </c15:filteredScatterSeries>
            <c15:filteredScatterSeries>
              <c15:ser>
                <c:idx val="6"/>
                <c:order val="6"/>
                <c:tx>
                  <c:v>Q1-E</c:v>
                </c:tx>
                <c:spPr>
                  <a:ln w="19050" cap="rnd">
                    <a:solidFill>
                      <a:schemeClr val="accent1">
                        <a:lumMod val="60000"/>
                      </a:schemeClr>
                    </a:solidFill>
                    <a:round/>
                  </a:ln>
                  <a:effectLst/>
                </c:spPr>
                <c:marker>
                  <c:symbol val="circle"/>
                  <c:size val="5"/>
                  <c:spPr>
                    <a:solidFill>
                      <a:schemeClr val="accent1">
                        <a:lumMod val="60000"/>
                      </a:schemeClr>
                    </a:solidFill>
                    <a:ln w="44450">
                      <a:solidFill>
                        <a:schemeClr val="accent1">
                          <a:lumMod val="60000"/>
                        </a:schemeClr>
                      </a:solidFill>
                    </a:ln>
                    <a:effectLst/>
                  </c:spPr>
                </c:marker>
                <c:dLbls>
                  <c:dLbl>
                    <c:idx val="0"/>
                    <c:layout>
                      <c:manualLayout>
                        <c:x val="-6.74913348490883E-2"/>
                        <c:y val="3.708241632860775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1-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Dummies!$B$5</c15:sqref>
                        </c15:formulaRef>
                      </c:ext>
                    </c:extLst>
                    <c:numCache>
                      <c:formatCode>0.0</c:formatCode>
                      <c:ptCount val="1"/>
                      <c:pt idx="0">
                        <c:v>74</c:v>
                      </c:pt>
                    </c:numCache>
                  </c:numRef>
                </c:xVal>
                <c:yVal>
                  <c:numRef>
                    <c:extLst xmlns:c15="http://schemas.microsoft.com/office/drawing/2012/chart">
                      <c:ext xmlns:c15="http://schemas.microsoft.com/office/drawing/2012/chart" uri="{02D57815-91ED-43cb-92C2-25804820EDAC}">
                        <c15:formulaRef>
                          <c15:sqref>Dummies!$D$5</c15:sqref>
                        </c15:formulaRef>
                      </c:ext>
                    </c:extLst>
                    <c:numCache>
                      <c:formatCode>0.0</c:formatCode>
                      <c:ptCount val="1"/>
                      <c:pt idx="0">
                        <c:v>29.8</c:v>
                      </c:pt>
                    </c:numCache>
                  </c:numRef>
                </c:yVal>
                <c:smooth val="1"/>
                <c:extLst xmlns:c15="http://schemas.microsoft.com/office/drawing/2012/chart">
                  <c:ext xmlns:c16="http://schemas.microsoft.com/office/drawing/2014/chart" uri="{C3380CC4-5D6E-409C-BE32-E72D297353CC}">
                    <c16:uniqueId val="{00000012-2742-45AE-A315-03C7C8A950F0}"/>
                  </c:ext>
                </c:extLst>
              </c15:ser>
            </c15:filteredScatterSeries>
            <c15:filteredScatterSeries>
              <c15:ser>
                <c:idx val="7"/>
                <c:order val="7"/>
                <c:tx>
                  <c:v>Q1.5-B</c:v>
                </c:tx>
                <c:spPr>
                  <a:ln w="19050" cap="rnd">
                    <a:solidFill>
                      <a:schemeClr val="accent2">
                        <a:lumMod val="60000"/>
                      </a:schemeClr>
                    </a:solidFill>
                    <a:round/>
                  </a:ln>
                  <a:effectLst/>
                </c:spPr>
                <c:marker>
                  <c:symbol val="circle"/>
                  <c:size val="5"/>
                  <c:spPr>
                    <a:solidFill>
                      <a:schemeClr val="accent2">
                        <a:lumMod val="60000"/>
                      </a:schemeClr>
                    </a:solidFill>
                    <a:ln w="50800">
                      <a:solidFill>
                        <a:srgbClr val="0070C0"/>
                      </a:solidFill>
                    </a:ln>
                    <a:effectLst/>
                  </c:spPr>
                </c:marker>
                <c:dLbls>
                  <c:dLbl>
                    <c:idx val="0"/>
                    <c:layout>
                      <c:manualLayout>
                        <c:x val="3.598819983765638E-3"/>
                        <c:y val="3.7059538629170531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3-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Dummies!$C$7</c15:sqref>
                        </c15:formulaRef>
                      </c:ext>
                    </c:extLst>
                    <c:numCache>
                      <c:formatCode>0.0</c:formatCode>
                      <c:ptCount val="1"/>
                      <c:pt idx="0">
                        <c:v>49.9</c:v>
                      </c:pt>
                    </c:numCache>
                  </c:numRef>
                </c:yVal>
                <c:smooth val="1"/>
                <c:extLst xmlns:c15="http://schemas.microsoft.com/office/drawing/2012/chart">
                  <c:ext xmlns:c16="http://schemas.microsoft.com/office/drawing/2014/chart" uri="{C3380CC4-5D6E-409C-BE32-E72D297353CC}">
                    <c16:uniqueId val="{00000014-2742-45AE-A315-03C7C8A950F0}"/>
                  </c:ext>
                </c:extLst>
              </c15:ser>
            </c15:filteredScatterSeries>
            <c15:filteredScatterSeries>
              <c15:ser>
                <c:idx val="8"/>
                <c:order val="8"/>
                <c:tx>
                  <c:v>Q1.5-E</c:v>
                </c:tx>
                <c:spPr>
                  <a:ln w="19050" cap="rnd">
                    <a:solidFill>
                      <a:schemeClr val="accent3">
                        <a:lumMod val="60000"/>
                      </a:schemeClr>
                    </a:solidFill>
                    <a:round/>
                  </a:ln>
                  <a:effectLst/>
                </c:spPr>
                <c:marker>
                  <c:symbol val="circle"/>
                  <c:size val="5"/>
                  <c:spPr>
                    <a:solidFill>
                      <a:schemeClr val="accent3">
                        <a:lumMod val="60000"/>
                      </a:schemeClr>
                    </a:solidFill>
                    <a:ln w="50800">
                      <a:solidFill>
                        <a:srgbClr val="0070C0"/>
                      </a:solidFill>
                    </a:ln>
                    <a:effectLst/>
                  </c:spPr>
                </c:marker>
                <c:dLbls>
                  <c:dLbl>
                    <c:idx val="0"/>
                    <c:layout>
                      <c:manualLayout>
                        <c:x val="2.6991464260196197E-3"/>
                        <c:y val="-6.375234762321375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5-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Dummies!$D$7</c15:sqref>
                        </c15:formulaRef>
                      </c:ext>
                    </c:extLst>
                    <c:numCache>
                      <c:formatCode>0.0</c:formatCode>
                      <c:ptCount val="1"/>
                      <c:pt idx="0">
                        <c:v>30.9</c:v>
                      </c:pt>
                    </c:numCache>
                  </c:numRef>
                </c:yVal>
                <c:smooth val="1"/>
                <c:extLst xmlns:c15="http://schemas.microsoft.com/office/drawing/2012/chart">
                  <c:ext xmlns:c16="http://schemas.microsoft.com/office/drawing/2014/chart" uri="{C3380CC4-5D6E-409C-BE32-E72D297353CC}">
                    <c16:uniqueId val="{00000016-2742-45AE-A315-03C7C8A950F0}"/>
                  </c:ext>
                </c:extLst>
              </c15:ser>
            </c15:filteredScatterSeries>
            <c15:filteredScatterSeries>
              <c15:ser>
                <c:idx val="9"/>
                <c:order val="9"/>
                <c:tx>
                  <c:v>Q3-B</c:v>
                </c:tx>
                <c:spPr>
                  <a:ln w="19050" cap="rnd">
                    <a:solidFill>
                      <a:schemeClr val="accent4">
                        <a:lumMod val="60000"/>
                      </a:schemeClr>
                    </a:solidFill>
                    <a:round/>
                  </a:ln>
                  <a:effectLst/>
                </c:spPr>
                <c:marker>
                  <c:symbol val="circle"/>
                  <c:size val="5"/>
                  <c:spPr>
                    <a:solidFill>
                      <a:schemeClr val="accent4">
                        <a:lumMod val="60000"/>
                      </a:schemeClr>
                    </a:solidFill>
                    <a:ln w="50800">
                      <a:solidFill>
                        <a:srgbClr val="0070C0"/>
                      </a:solidFill>
                    </a:ln>
                    <a:effectLst/>
                  </c:spPr>
                </c:marker>
                <c:dLbls>
                  <c:dLbl>
                    <c:idx val="0"/>
                    <c:layout>
                      <c:manualLayout>
                        <c:x val="1.4399248854330604E-2"/>
                        <c:y val="2.0795450568678917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7-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Dummies!$C$9</c15:sqref>
                        </c15:formulaRef>
                      </c:ext>
                    </c:extLst>
                    <c:numCache>
                      <c:formatCode>0.0</c:formatCode>
                      <c:ptCount val="1"/>
                      <c:pt idx="0">
                        <c:v>54.4</c:v>
                      </c:pt>
                    </c:numCache>
                  </c:numRef>
                </c:yVal>
                <c:smooth val="1"/>
                <c:extLst xmlns:c15="http://schemas.microsoft.com/office/drawing/2012/chart">
                  <c:ext xmlns:c16="http://schemas.microsoft.com/office/drawing/2014/chart" uri="{C3380CC4-5D6E-409C-BE32-E72D297353CC}">
                    <c16:uniqueId val="{00000018-2742-45AE-A315-03C7C8A950F0}"/>
                  </c:ext>
                </c:extLst>
              </c15:ser>
            </c15:filteredScatterSeries>
            <c15:filteredScatterSeries>
              <c15:ser>
                <c:idx val="10"/>
                <c:order val="10"/>
                <c:tx>
                  <c:v>Q3-E</c:v>
                </c:tx>
                <c:spPr>
                  <a:ln w="19050" cap="rnd">
                    <a:solidFill>
                      <a:schemeClr val="accent5">
                        <a:lumMod val="60000"/>
                      </a:schemeClr>
                    </a:solidFill>
                    <a:round/>
                  </a:ln>
                  <a:effectLst/>
                </c:spPr>
                <c:marker>
                  <c:symbol val="circle"/>
                  <c:size val="5"/>
                  <c:spPr>
                    <a:solidFill>
                      <a:schemeClr val="accent5">
                        <a:lumMod val="60000"/>
                      </a:schemeClr>
                    </a:solidFill>
                    <a:ln w="50800">
                      <a:solidFill>
                        <a:schemeClr val="accent5">
                          <a:lumMod val="60000"/>
                        </a:schemeClr>
                      </a:solidFill>
                    </a:ln>
                    <a:effectLst/>
                  </c:spPr>
                </c:marker>
                <c:dLbls>
                  <c:dLbl>
                    <c:idx val="0"/>
                    <c:layout>
                      <c:manualLayout>
                        <c:x val="1.6194666063944419E-2"/>
                        <c:y val="-6.375771361913094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9-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Dummies!$D$9</c15:sqref>
                        </c15:formulaRef>
                      </c:ext>
                    </c:extLst>
                    <c:numCache>
                      <c:formatCode>0.0</c:formatCode>
                      <c:ptCount val="1"/>
                      <c:pt idx="0">
                        <c:v>32.9</c:v>
                      </c:pt>
                    </c:numCache>
                  </c:numRef>
                </c:yVal>
                <c:smooth val="1"/>
                <c:extLst xmlns:c15="http://schemas.microsoft.com/office/drawing/2012/chart">
                  <c:ext xmlns:c16="http://schemas.microsoft.com/office/drawing/2014/chart" uri="{C3380CC4-5D6E-409C-BE32-E72D297353CC}">
                    <c16:uniqueId val="{0000001A-2742-45AE-A315-03C7C8A950F0}"/>
                  </c:ext>
                </c:extLst>
              </c15:ser>
            </c15:filteredScatterSeries>
            <c15:filteredScatterSeries>
              <c15:ser>
                <c:idx val="11"/>
                <c:order val="11"/>
                <c:tx>
                  <c:v>CRABI 12-B</c:v>
                </c:tx>
                <c:spPr>
                  <a:ln w="19050" cap="rnd">
                    <a:solidFill>
                      <a:schemeClr val="accent6">
                        <a:lumMod val="60000"/>
                      </a:schemeClr>
                    </a:solidFill>
                    <a:round/>
                  </a:ln>
                  <a:effectLst/>
                </c:spPr>
                <c:marker>
                  <c:symbol val="circle"/>
                  <c:size val="5"/>
                  <c:spPr>
                    <a:solidFill>
                      <a:schemeClr val="accent6">
                        <a:lumMod val="60000"/>
                      </a:schemeClr>
                    </a:solidFill>
                    <a:ln w="50800">
                      <a:solidFill>
                        <a:srgbClr val="FF0000"/>
                      </a:solidFill>
                    </a:ln>
                    <a:effectLst/>
                  </c:spPr>
                </c:marker>
                <c:dLbls>
                  <c:dLbl>
                    <c:idx val="0"/>
                    <c:layout>
                      <c:manualLayout>
                        <c:x val="-2.9690964839840753E-2"/>
                        <c:y val="3.855829687955666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B-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Dummies!$C$6</c15:sqref>
                        </c15:formulaRef>
                      </c:ext>
                    </c:extLst>
                    <c:numCache>
                      <c:formatCode>0.0</c:formatCode>
                      <c:ptCount val="1"/>
                      <c:pt idx="0">
                        <c:v>48</c:v>
                      </c:pt>
                    </c:numCache>
                  </c:numRef>
                </c:yVal>
                <c:smooth val="1"/>
                <c:extLst xmlns:c15="http://schemas.microsoft.com/office/drawing/2012/chart">
                  <c:ext xmlns:c16="http://schemas.microsoft.com/office/drawing/2014/chart" uri="{C3380CC4-5D6E-409C-BE32-E72D297353CC}">
                    <c16:uniqueId val="{0000001C-2742-45AE-A315-03C7C8A950F0}"/>
                  </c:ext>
                </c:extLst>
              </c15:ser>
            </c15:filteredScatterSeries>
            <c15:filteredScatterSeries>
              <c15:ser>
                <c:idx val="12"/>
                <c:order val="12"/>
                <c:tx>
                  <c:v>3yr-B</c:v>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50800">
                      <a:solidFill>
                        <a:srgbClr val="FF0000"/>
                      </a:solidFill>
                    </a:ln>
                    <a:effectLst/>
                  </c:spPr>
                </c:marker>
                <c:dLbls>
                  <c:dLbl>
                    <c:idx val="0"/>
                    <c:layout>
                      <c:manualLayout>
                        <c:x val="-4.3199163177486143E-2"/>
                        <c:y val="5.190749489647122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D-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Dummies!$C$10</c15:sqref>
                        </c15:formulaRef>
                      </c:ext>
                    </c:extLst>
                    <c:numCache>
                      <c:formatCode>0.0</c:formatCode>
                      <c:ptCount val="1"/>
                      <c:pt idx="0">
                        <c:v>54.6</c:v>
                      </c:pt>
                    </c:numCache>
                  </c:numRef>
                </c:yVal>
                <c:smooth val="1"/>
                <c:extLst xmlns:c15="http://schemas.microsoft.com/office/drawing/2012/chart">
                  <c:ext xmlns:c16="http://schemas.microsoft.com/office/drawing/2014/chart" uri="{C3380CC4-5D6E-409C-BE32-E72D297353CC}">
                    <c16:uniqueId val="{0000001E-2742-45AE-A315-03C7C8A950F0}"/>
                  </c:ext>
                </c:extLst>
              </c15:ser>
            </c15:filteredScatterSeries>
            <c15:filteredScatterSeries>
              <c15:ser>
                <c:idx val="13"/>
                <c:order val="13"/>
                <c:tx>
                  <c:v>CRABI 12-E</c:v>
                </c:tx>
                <c:spPr>
                  <a:ln w="19050" cap="rnd">
                    <a:solidFill>
                      <a:schemeClr val="accent2">
                        <a:lumMod val="80000"/>
                        <a:lumOff val="20000"/>
                      </a:schemeClr>
                    </a:solidFill>
                    <a:round/>
                  </a:ln>
                  <a:effectLst/>
                </c:spPr>
                <c:marker>
                  <c:symbol val="circle"/>
                  <c:size val="5"/>
                  <c:spPr>
                    <a:solidFill>
                      <a:schemeClr val="accent2">
                        <a:lumMod val="80000"/>
                        <a:lumOff val="20000"/>
                      </a:schemeClr>
                    </a:solidFill>
                    <a:ln w="50800">
                      <a:solidFill>
                        <a:srgbClr val="FF0000"/>
                      </a:solidFill>
                    </a:ln>
                    <a:effectLst/>
                  </c:spPr>
                </c:marker>
                <c:dLbls>
                  <c:dLbl>
                    <c:idx val="0"/>
                    <c:layout>
                      <c:manualLayout>
                        <c:x val="-2.8808343179394322E-2"/>
                        <c:y val="-4.8947448235637264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F-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Dummies!$D$6</c15:sqref>
                        </c15:formulaRef>
                      </c:ext>
                    </c:extLst>
                    <c:numCache>
                      <c:formatCode>0.0</c:formatCode>
                      <c:ptCount val="1"/>
                      <c:pt idx="0">
                        <c:v>30.7</c:v>
                      </c:pt>
                    </c:numCache>
                  </c:numRef>
                </c:yVal>
                <c:smooth val="1"/>
                <c:extLst xmlns:c15="http://schemas.microsoft.com/office/drawing/2012/chart">
                  <c:ext xmlns:c16="http://schemas.microsoft.com/office/drawing/2014/chart" uri="{C3380CC4-5D6E-409C-BE32-E72D297353CC}">
                    <c16:uniqueId val="{00000020-2742-45AE-A315-03C7C8A950F0}"/>
                  </c:ext>
                </c:extLst>
              </c15:ser>
            </c15:filteredScatterSeries>
            <c15:filteredScatterSeries>
              <c15:ser>
                <c:idx val="14"/>
                <c:order val="14"/>
                <c:tx>
                  <c:v>3yr-E</c:v>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50800">
                      <a:solidFill>
                        <a:srgbClr val="FF0000"/>
                      </a:solidFill>
                    </a:ln>
                    <a:effectLst/>
                  </c:spPr>
                </c:marker>
                <c:dLbls>
                  <c:dLbl>
                    <c:idx val="0"/>
                    <c:layout>
                      <c:manualLayout>
                        <c:x val="-4.1386888255394626E-2"/>
                        <c:y val="-3.708474773986585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1-2742-45AE-A315-03C7C8A950F0}"/>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Dummies!$D$10</c15:sqref>
                        </c15:formulaRef>
                      </c:ext>
                    </c:extLst>
                    <c:numCache>
                      <c:formatCode>0.0</c:formatCode>
                      <c:ptCount val="1"/>
                      <c:pt idx="0">
                        <c:v>35.9</c:v>
                      </c:pt>
                    </c:numCache>
                  </c:numRef>
                </c:yVal>
                <c:smooth val="1"/>
                <c:extLst xmlns:c15="http://schemas.microsoft.com/office/drawing/2012/chart">
                  <c:ext xmlns:c16="http://schemas.microsoft.com/office/drawing/2014/chart" uri="{C3380CC4-5D6E-409C-BE32-E72D297353CC}">
                    <c16:uniqueId val="{00000022-2742-45AE-A315-03C7C8A950F0}"/>
                  </c:ext>
                </c:extLst>
              </c15:ser>
            </c15:filteredScatterSeries>
          </c:ext>
        </c:extLst>
      </c:scatterChart>
      <c:valAx>
        <c:axId val="597948680"/>
        <c:scaling>
          <c:orientation val="minMax"/>
          <c:max val="110"/>
          <c:min val="4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597949072"/>
        <c:crosses val="autoZero"/>
        <c:crossBetween val="midCat"/>
        <c:majorUnit val="5"/>
      </c:valAx>
      <c:valAx>
        <c:axId val="597949072"/>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B, C, D, E1, E2,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597948680"/>
        <c:crosses val="autoZero"/>
        <c:crossBetween val="midCat"/>
        <c:majorUnit val="5"/>
      </c:valAx>
      <c:spPr>
        <a:noFill/>
        <a:ln>
          <a:noFill/>
        </a:ln>
        <a:effectLst/>
      </c:spPr>
    </c:plotArea>
    <c:legend>
      <c:legendPos val="b"/>
      <c:layout>
        <c:manualLayout>
          <c:xMode val="edge"/>
          <c:yMode val="edge"/>
          <c:x val="3.4794638438316157E-2"/>
          <c:y val="0.77375192519926084"/>
          <c:w val="0.78508421100274561"/>
          <c:h val="9.7778477690288731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Infant Anthropometery Seated Shoulder Height</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smoothMarker"/>
        <c:varyColors val="0"/>
        <c:ser>
          <c:idx val="3"/>
          <c:order val="3"/>
          <c:tx>
            <c:strRef>
              <c:f>'R129 Annex 18 Data'!$E$2</c:f>
              <c:strCache>
                <c:ptCount val="1"/>
                <c:pt idx="0">
                  <c:v>E1 Minimum Shoulder height cm 5%ile</c:v>
                </c:pt>
              </c:strCache>
            </c:strRef>
          </c:tx>
          <c:spPr>
            <a:ln w="25400" cap="rnd">
              <a:solidFill>
                <a:srgbClr val="0070C0"/>
              </a:solidFill>
              <a:round/>
            </a:ln>
            <a:effectLst/>
          </c:spPr>
          <c:marker>
            <c:symbol val="circle"/>
            <c:size val="2"/>
            <c:spPr>
              <a:solidFill>
                <a:srgbClr val="0070C0"/>
              </a:solidFill>
              <a:ln w="9525">
                <a:solidFill>
                  <a:srgbClr val="0070C0"/>
                </a:solidFill>
              </a:ln>
              <a:effectLst/>
            </c:spPr>
          </c:marker>
          <c:dLbls>
            <c:dLbl>
              <c:idx val="0"/>
              <c:layout>
                <c:manualLayout>
                  <c:x val="-4.0463609758972272E-2"/>
                  <c:y val="0.25481481481481483"/>
                </c:manualLayout>
              </c:layout>
              <c:showLegendKey val="0"/>
              <c:showVal val="0"/>
              <c:showCatName val="0"/>
              <c:showSerName val="1"/>
              <c:showPercent val="0"/>
              <c:showBubbleSize val="0"/>
              <c:extLst>
                <c:ext xmlns:c15="http://schemas.microsoft.com/office/drawing/2012/chart" uri="{CE6537A1-D6FC-4f65-9D91-7224C49458BB}">
                  <c15:layout>
                    <c:manualLayout>
                      <c:w val="0.21423687650103587"/>
                      <c:h val="5.5081481481481481E-2"/>
                    </c:manualLayout>
                  </c15:layout>
                </c:ext>
                <c:ext xmlns:c16="http://schemas.microsoft.com/office/drawing/2014/chart" uri="{C3380CC4-5D6E-409C-BE32-E72D297353CC}">
                  <c16:uniqueId val="{00000000-6454-4BFB-8987-8539845766A3}"/>
                </c:ext>
              </c:extLst>
            </c:dLbl>
            <c:spPr>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Data'!$E$3:$E$17</c:f>
              <c:numCache>
                <c:formatCode>General</c:formatCode>
                <c:ptCount val="15"/>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numCache>
            </c:numRef>
          </c:yVal>
          <c:smooth val="1"/>
          <c:extLst>
            <c:ext xmlns:c16="http://schemas.microsoft.com/office/drawing/2014/chart" uri="{C3380CC4-5D6E-409C-BE32-E72D297353CC}">
              <c16:uniqueId val="{00000001-6454-4BFB-8987-8539845766A3}"/>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circle"/>
            <c:size val="2"/>
            <c:spPr>
              <a:solidFill>
                <a:schemeClr val="accent5"/>
              </a:solidFill>
              <a:ln w="9525">
                <a:solidFill>
                  <a:schemeClr val="accent5"/>
                </a:solidFill>
              </a:ln>
              <a:effectLst/>
            </c:spPr>
          </c:marker>
          <c:dLbls>
            <c:dLbl>
              <c:idx val="0"/>
              <c:layout>
                <c:manualLayout>
                  <c:x val="-2.4272768554161456E-2"/>
                  <c:y val="-0.22814814814814816"/>
                </c:manualLayout>
              </c:layout>
              <c:showLegendKey val="0"/>
              <c:showVal val="0"/>
              <c:showCatName val="0"/>
              <c:showSerName val="1"/>
              <c:showPercent val="0"/>
              <c:showBubbleSize val="0"/>
              <c:extLst>
                <c:ext xmlns:c15="http://schemas.microsoft.com/office/drawing/2012/chart" uri="{CE6537A1-D6FC-4f65-9D91-7224C49458BB}">
                  <c15:layout>
                    <c:manualLayout>
                      <c:w val="0.22869264827367461"/>
                      <c:h val="5.5081481481481481E-2"/>
                    </c:manualLayout>
                  </c15:layout>
                </c:ext>
                <c:ext xmlns:c16="http://schemas.microsoft.com/office/drawing/2014/chart" uri="{C3380CC4-5D6E-409C-BE32-E72D297353CC}">
                  <c16:uniqueId val="{00000002-6454-4BFB-8987-8539845766A3}"/>
                </c:ext>
              </c:extLst>
            </c:dLbl>
            <c:spPr>
              <a:solidFill>
                <a:srgbClr val="FFFF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Data'!$A$3:$A$17</c:f>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f>'R129 Annex 18 Data'!$F$3:$F$17</c:f>
              <c:numCache>
                <c:formatCode>General</c:formatCode>
                <c:ptCount val="15"/>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numCache>
            </c:numRef>
          </c:yVal>
          <c:smooth val="1"/>
          <c:extLst>
            <c:ext xmlns:c16="http://schemas.microsoft.com/office/drawing/2014/chart" uri="{C3380CC4-5D6E-409C-BE32-E72D297353CC}">
              <c16:uniqueId val="{00000003-6454-4BFB-8987-8539845766A3}"/>
            </c:ext>
          </c:extLst>
        </c:ser>
        <c:ser>
          <c:idx val="6"/>
          <c:order val="6"/>
          <c:tx>
            <c:v>Q1-E</c:v>
          </c:tx>
          <c:spPr>
            <a:ln w="19050" cap="rnd">
              <a:solidFill>
                <a:schemeClr val="accent1">
                  <a:lumMod val="60000"/>
                </a:schemeClr>
              </a:solidFill>
              <a:round/>
            </a:ln>
            <a:effectLst/>
          </c:spPr>
          <c:marker>
            <c:symbol val="circle"/>
            <c:size val="5"/>
            <c:spPr>
              <a:solidFill>
                <a:schemeClr val="accent1">
                  <a:lumMod val="60000"/>
                </a:schemeClr>
              </a:solidFill>
              <a:ln w="44450">
                <a:solidFill>
                  <a:schemeClr val="accent1">
                    <a:lumMod val="60000"/>
                  </a:schemeClr>
                </a:solidFill>
              </a:ln>
              <a:effectLst/>
            </c:spPr>
          </c:marker>
          <c:dLbls>
            <c:dLbl>
              <c:idx val="0"/>
              <c:layout>
                <c:manualLayout>
                  <c:x val="-4.9500335277235352E-2"/>
                  <c:y val="6.22675998833478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4-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extLst xmlns:c15="http://schemas.microsoft.com/office/drawing/2012/chart"/>
            </c:numRef>
          </c:xVal>
          <c:yVal>
            <c:numRef>
              <c:f>Dummies!$D$5</c:f>
              <c:numCache>
                <c:formatCode>0.0</c:formatCode>
                <c:ptCount val="1"/>
                <c:pt idx="0">
                  <c:v>29.8</c:v>
                </c:pt>
              </c:numCache>
              <c:extLst xmlns:c15="http://schemas.microsoft.com/office/drawing/2012/chart"/>
            </c:numRef>
          </c:yVal>
          <c:smooth val="1"/>
          <c:extLst>
            <c:ext xmlns:c16="http://schemas.microsoft.com/office/drawing/2014/chart" uri="{C3380CC4-5D6E-409C-BE32-E72D297353CC}">
              <c16:uniqueId val="{00000005-6454-4BFB-8987-8539845766A3}"/>
            </c:ext>
          </c:extLst>
        </c:ser>
        <c:ser>
          <c:idx val="8"/>
          <c:order val="8"/>
          <c:tx>
            <c:v>Q1.5-E</c:v>
          </c:tx>
          <c:spPr>
            <a:ln w="19050" cap="rnd">
              <a:solidFill>
                <a:schemeClr val="accent3">
                  <a:lumMod val="60000"/>
                </a:schemeClr>
              </a:solidFill>
              <a:round/>
            </a:ln>
            <a:effectLst/>
          </c:spPr>
          <c:marker>
            <c:symbol val="circle"/>
            <c:size val="5"/>
            <c:spPr>
              <a:solidFill>
                <a:schemeClr val="accent3">
                  <a:lumMod val="60000"/>
                </a:schemeClr>
              </a:solidFill>
              <a:ln w="50800">
                <a:solidFill>
                  <a:srgbClr val="0070C0"/>
                </a:solidFill>
              </a:ln>
              <a:effectLst/>
            </c:spPr>
          </c:marker>
          <c:dLbls>
            <c:dLbl>
              <c:idx val="0"/>
              <c:layout>
                <c:manualLayout>
                  <c:x val="1.7091949684403081E-2"/>
                  <c:y val="-8.93753280839895E-3"/>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6-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extLst xmlns:c15="http://schemas.microsoft.com/office/drawing/2012/chart"/>
            </c:numRef>
          </c:xVal>
          <c:yVal>
            <c:numRef>
              <c:f>Dummies!$D$7</c:f>
              <c:numCache>
                <c:formatCode>0.0</c:formatCode>
                <c:ptCount val="1"/>
                <c:pt idx="0">
                  <c:v>30.9</c:v>
                </c:pt>
              </c:numCache>
              <c:extLst xmlns:c15="http://schemas.microsoft.com/office/drawing/2012/chart"/>
            </c:numRef>
          </c:yVal>
          <c:smooth val="1"/>
          <c:extLst>
            <c:ext xmlns:c16="http://schemas.microsoft.com/office/drawing/2014/chart" uri="{C3380CC4-5D6E-409C-BE32-E72D297353CC}">
              <c16:uniqueId val="{00000007-6454-4BFB-8987-8539845766A3}"/>
            </c:ext>
          </c:extLst>
        </c:ser>
        <c:ser>
          <c:idx val="10"/>
          <c:order val="10"/>
          <c:tx>
            <c:v>Q3-E</c:v>
          </c:tx>
          <c:spPr>
            <a:ln w="19050" cap="rnd">
              <a:solidFill>
                <a:schemeClr val="accent5">
                  <a:lumMod val="60000"/>
                </a:schemeClr>
              </a:solidFill>
              <a:round/>
            </a:ln>
            <a:effectLst/>
          </c:spPr>
          <c:marker>
            <c:symbol val="circle"/>
            <c:size val="5"/>
            <c:spPr>
              <a:solidFill>
                <a:schemeClr val="accent5">
                  <a:lumMod val="60000"/>
                </a:schemeClr>
              </a:solidFill>
              <a:ln w="50800">
                <a:solidFill>
                  <a:schemeClr val="accent5">
                    <a:lumMod val="60000"/>
                  </a:schemeClr>
                </a:solidFill>
              </a:ln>
              <a:effectLst/>
            </c:spPr>
          </c:marker>
          <c:dLbls>
            <c:dLbl>
              <c:idx val="0"/>
              <c:layout>
                <c:manualLayout>
                  <c:x val="1.3496015452997546E-2"/>
                  <c:y val="-2.968363954505686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8-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extLst xmlns:c15="http://schemas.microsoft.com/office/drawing/2012/chart"/>
            </c:numRef>
          </c:xVal>
          <c:yVal>
            <c:numRef>
              <c:f>Dummies!$D$9</c:f>
              <c:numCache>
                <c:formatCode>0.0</c:formatCode>
                <c:ptCount val="1"/>
                <c:pt idx="0">
                  <c:v>32.9</c:v>
                </c:pt>
              </c:numCache>
              <c:extLst xmlns:c15="http://schemas.microsoft.com/office/drawing/2012/chart"/>
            </c:numRef>
          </c:yVal>
          <c:smooth val="1"/>
          <c:extLst>
            <c:ext xmlns:c16="http://schemas.microsoft.com/office/drawing/2014/chart" uri="{C3380CC4-5D6E-409C-BE32-E72D297353CC}">
              <c16:uniqueId val="{00000009-6454-4BFB-8987-8539845766A3}"/>
            </c:ext>
          </c:extLst>
        </c:ser>
        <c:ser>
          <c:idx val="13"/>
          <c:order val="13"/>
          <c:tx>
            <c:v>CRABI 12-E</c:v>
          </c:tx>
          <c:spPr>
            <a:ln w="19050" cap="rnd">
              <a:solidFill>
                <a:schemeClr val="accent2">
                  <a:lumMod val="80000"/>
                  <a:lumOff val="20000"/>
                </a:schemeClr>
              </a:solidFill>
              <a:round/>
            </a:ln>
            <a:effectLst/>
          </c:spPr>
          <c:marker>
            <c:symbol val="circle"/>
            <c:size val="5"/>
            <c:spPr>
              <a:solidFill>
                <a:schemeClr val="accent2">
                  <a:lumMod val="80000"/>
                  <a:lumOff val="20000"/>
                </a:schemeClr>
              </a:solidFill>
              <a:ln w="50800">
                <a:solidFill>
                  <a:srgbClr val="FF0000"/>
                </a:solidFill>
              </a:ln>
              <a:effectLst/>
            </c:spPr>
          </c:marker>
          <c:dLbls>
            <c:dLbl>
              <c:idx val="0"/>
              <c:layout>
                <c:manualLayout>
                  <c:x val="-6.4790351325352574E-2"/>
                  <c:y val="-5.0428929717118695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A-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extLst xmlns:c15="http://schemas.microsoft.com/office/drawing/2012/chart"/>
            </c:numRef>
          </c:xVal>
          <c:yVal>
            <c:numRef>
              <c:f>Dummies!$D$6</c:f>
              <c:numCache>
                <c:formatCode>0.0</c:formatCode>
                <c:ptCount val="1"/>
                <c:pt idx="0">
                  <c:v>30.7</c:v>
                </c:pt>
              </c:numCache>
              <c:extLst xmlns:c15="http://schemas.microsoft.com/office/drawing/2012/chart"/>
            </c:numRef>
          </c:yVal>
          <c:smooth val="1"/>
          <c:extLst>
            <c:ext xmlns:c16="http://schemas.microsoft.com/office/drawing/2014/chart" uri="{C3380CC4-5D6E-409C-BE32-E72D297353CC}">
              <c16:uniqueId val="{0000000B-6454-4BFB-8987-8539845766A3}"/>
            </c:ext>
          </c:extLst>
        </c:ser>
        <c:ser>
          <c:idx val="14"/>
          <c:order val="14"/>
          <c:tx>
            <c:v>3yr-E</c:v>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50800">
                <a:solidFill>
                  <a:srgbClr val="FF0000"/>
                </a:solidFill>
              </a:ln>
              <a:effectLst/>
            </c:spPr>
          </c:marker>
          <c:dLbls>
            <c:dLbl>
              <c:idx val="0"/>
              <c:layout>
                <c:manualLayout>
                  <c:x val="-4.1386888255394626E-2"/>
                  <c:y val="-3.708474773986585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C-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extLst xmlns:c15="http://schemas.microsoft.com/office/drawing/2012/chart"/>
            </c:numRef>
          </c:xVal>
          <c:yVal>
            <c:numRef>
              <c:f>Dummies!$D$10</c:f>
              <c:numCache>
                <c:formatCode>0.0</c:formatCode>
                <c:ptCount val="1"/>
                <c:pt idx="0">
                  <c:v>35.9</c:v>
                </c:pt>
              </c:numCache>
              <c:extLst xmlns:c15="http://schemas.microsoft.com/office/drawing/2012/chart"/>
            </c:numRef>
          </c:yVal>
          <c:smooth val="1"/>
          <c:extLst>
            <c:ext xmlns:c16="http://schemas.microsoft.com/office/drawing/2014/chart" uri="{C3380CC4-5D6E-409C-BE32-E72D297353CC}">
              <c16:uniqueId val="{0000000D-6454-4BFB-8987-8539845766A3}"/>
            </c:ext>
          </c:extLst>
        </c:ser>
        <c:ser>
          <c:idx val="16"/>
          <c:order val="16"/>
          <c:tx>
            <c:strRef>
              <c:f>'US Child Data'!$Q$1</c:f>
              <c:strCache>
                <c:ptCount val="1"/>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Pt>
            <c:idx val="1"/>
            <c:marker>
              <c:symbol val="circle"/>
              <c:size val="10"/>
              <c:spPr>
                <a:solidFill>
                  <a:srgbClr val="FF0000"/>
                </a:solidFill>
                <a:ln w="9525">
                  <a:solidFill>
                    <a:srgbClr val="FF0000"/>
                  </a:solidFill>
                </a:ln>
                <a:effectLst/>
              </c:spPr>
            </c:marker>
            <c:bubble3D val="0"/>
            <c:extLst>
              <c:ext xmlns:c16="http://schemas.microsoft.com/office/drawing/2014/chart" uri="{C3380CC4-5D6E-409C-BE32-E72D297353CC}">
                <c16:uniqueId val="{0000000E-6454-4BFB-8987-8539845766A3}"/>
              </c:ext>
            </c:extLst>
          </c:dPt>
          <c:dPt>
            <c:idx val="2"/>
            <c:marker>
              <c:symbol val="circle"/>
              <c:size val="10"/>
              <c:spPr>
                <a:solidFill>
                  <a:srgbClr val="FF0000"/>
                </a:solidFill>
                <a:ln w="9525">
                  <a:solidFill>
                    <a:srgbClr val="FF0000"/>
                  </a:solidFill>
                </a:ln>
                <a:effectLst/>
              </c:spPr>
            </c:marker>
            <c:bubble3D val="0"/>
            <c:extLst>
              <c:ext xmlns:c16="http://schemas.microsoft.com/office/drawing/2014/chart" uri="{C3380CC4-5D6E-409C-BE32-E72D297353CC}">
                <c16:uniqueId val="{0000000F-6454-4BFB-8987-8539845766A3}"/>
              </c:ext>
            </c:extLst>
          </c:dPt>
          <c:dPt>
            <c:idx val="3"/>
            <c:marker>
              <c:symbol val="circle"/>
              <c:size val="10"/>
              <c:spPr>
                <a:solidFill>
                  <a:srgbClr val="FF0000"/>
                </a:solidFill>
                <a:ln w="9525">
                  <a:solidFill>
                    <a:srgbClr val="FF0000"/>
                  </a:solidFill>
                </a:ln>
                <a:effectLst/>
              </c:spPr>
            </c:marker>
            <c:bubble3D val="0"/>
            <c:extLst>
              <c:ext xmlns:c16="http://schemas.microsoft.com/office/drawing/2014/chart" uri="{C3380CC4-5D6E-409C-BE32-E72D297353CC}">
                <c16:uniqueId val="{00000010-6454-4BFB-8987-8539845766A3}"/>
              </c:ext>
            </c:extLst>
          </c:dPt>
          <c:dLbls>
            <c:dLbl>
              <c:idx val="0"/>
              <c:layout>
                <c:manualLayout>
                  <c:x val="-5.7571177618170974E-2"/>
                  <c:y val="-0.1614814814814815"/>
                </c:manualLayout>
              </c:layout>
              <c:spPr>
                <a:solidFill>
                  <a:srgbClr val="FFFF00"/>
                </a:solid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20186352803448207"/>
                      <c:h val="4.7540740740740745E-2"/>
                    </c:manualLayout>
                  </c15:layout>
                </c:ext>
                <c:ext xmlns:c16="http://schemas.microsoft.com/office/drawing/2014/chart" uri="{C3380CC4-5D6E-409C-BE32-E72D297353CC}">
                  <c16:uniqueId val="{00000011-6454-4BFB-8987-8539845766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Data'!$I$3:$I$17</c:f>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f>'US Child Data'!$Q$3:$Q$17</c:f>
              <c:numCache>
                <c:formatCode>0.0</c:formatCode>
                <c:ptCount val="15"/>
                <c:pt idx="0">
                  <c:v>30.702000000000002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12-6454-4BFB-8987-8539845766A3}"/>
            </c:ext>
          </c:extLst>
        </c:ser>
        <c:ser>
          <c:idx val="20"/>
          <c:order val="19"/>
          <c:tx>
            <c:strRef>
              <c:f>'US Child Data'!$O$1</c:f>
              <c:strCache>
                <c:ptCount val="1"/>
                <c:pt idx="0">
                  <c:v>US Shoulder Seated</c:v>
                </c:pt>
              </c:strCache>
            </c:strRef>
          </c:tx>
          <c:spPr>
            <a:ln w="19050" cap="rnd">
              <a:solidFill>
                <a:srgbClr val="FF0000"/>
              </a:solidFill>
              <a:round/>
            </a:ln>
            <a:effectLst/>
          </c:spPr>
          <c:marker>
            <c:symbol val="circle"/>
            <c:size val="2"/>
            <c:spPr>
              <a:solidFill>
                <a:srgbClr val="FF0000"/>
              </a:solidFill>
              <a:ln w="9525">
                <a:solidFill>
                  <a:srgbClr val="FF0000"/>
                </a:solidFill>
              </a:ln>
              <a:effectLst/>
            </c:spPr>
          </c:marker>
          <c:dLbls>
            <c:dLbl>
              <c:idx val="0"/>
              <c:layout>
                <c:manualLayout>
                  <c:x val="0.15337330972214736"/>
                  <c:y val="9.9259317585301834E-2"/>
                </c:manualLayout>
              </c:layout>
              <c:spPr>
                <a:solidFill>
                  <a:srgbClr val="FF0000"/>
                </a:solid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bg1"/>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21071963520476844"/>
                      <c:h val="5.0503703703703696E-2"/>
                    </c:manualLayout>
                  </c15:layout>
                </c:ext>
                <c:ext xmlns:c16="http://schemas.microsoft.com/office/drawing/2014/chart" uri="{C3380CC4-5D6E-409C-BE32-E72D297353CC}">
                  <c16:uniqueId val="{00000013-6454-4BFB-8987-8539845766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'US Child Data'!$G$3:$G$17</c:f>
              <c:numCache>
                <c:formatCode>0.0</c:formatCode>
                <c:ptCount val="15"/>
                <c:pt idx="0">
                  <c:v>48.006</c:v>
                </c:pt>
                <c:pt idx="1">
                  <c:v>57.404000000000003</c:v>
                </c:pt>
                <c:pt idx="2">
                  <c:v>67.563999999999993</c:v>
                </c:pt>
                <c:pt idx="3">
                  <c:v>74.168000000000006</c:v>
                </c:pt>
                <c:pt idx="4">
                  <c:v>0</c:v>
                </c:pt>
                <c:pt idx="5">
                  <c:v>0</c:v>
                </c:pt>
                <c:pt idx="6">
                  <c:v>0</c:v>
                </c:pt>
                <c:pt idx="7">
                  <c:v>0</c:v>
                </c:pt>
                <c:pt idx="8">
                  <c:v>0</c:v>
                </c:pt>
                <c:pt idx="9">
                  <c:v>0</c:v>
                </c:pt>
                <c:pt idx="10">
                  <c:v>0</c:v>
                </c:pt>
                <c:pt idx="11">
                  <c:v>0</c:v>
                </c:pt>
                <c:pt idx="12">
                  <c:v>0</c:v>
                </c:pt>
                <c:pt idx="13">
                  <c:v>0</c:v>
                </c:pt>
                <c:pt idx="14">
                  <c:v>0</c:v>
                </c:pt>
              </c:numCache>
            </c:numRef>
          </c:xVal>
          <c:yVal>
            <c:numRef>
              <c:f>'US Child Data'!$O$3:$O$17</c:f>
              <c:numCache>
                <c:formatCode>0.0</c:formatCode>
                <c:ptCount val="15"/>
                <c:pt idx="0">
                  <c:v>23.59</c:v>
                </c:pt>
                <c:pt idx="1">
                  <c:v>26.384</c:v>
                </c:pt>
                <c:pt idx="2">
                  <c:v>28.161999999999999</c:v>
                </c:pt>
                <c:pt idx="3">
                  <c:v>29.432000000000002</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14-6454-4BFB-8987-8539845766A3}"/>
            </c:ext>
          </c:extLst>
        </c:ser>
        <c:ser>
          <c:idx val="17"/>
          <c:order val="20"/>
          <c:tx>
            <c:v>NB-E</c:v>
          </c:tx>
          <c:spPr>
            <a:ln w="19050" cap="rnd">
              <a:solidFill>
                <a:schemeClr val="accent6">
                  <a:lumMod val="80000"/>
                  <a:lumOff val="20000"/>
                </a:schemeClr>
              </a:solidFill>
              <a:round/>
            </a:ln>
            <a:effectLst/>
          </c:spPr>
          <c:marker>
            <c:symbol val="circle"/>
            <c:size val="5"/>
            <c:spPr>
              <a:solidFill>
                <a:srgbClr val="FF0000"/>
              </a:solidFill>
              <a:ln w="50800">
                <a:solidFill>
                  <a:srgbClr val="FF0000"/>
                </a:solidFill>
              </a:ln>
              <a:effectLst/>
            </c:spPr>
          </c:marker>
          <c:xVal>
            <c:numRef>
              <c:f>Dummies!$B$4</c:f>
              <c:numCache>
                <c:formatCode>0.0</c:formatCode>
                <c:ptCount val="1"/>
                <c:pt idx="0">
                  <c:v>63.322147651006709</c:v>
                </c:pt>
              </c:numCache>
            </c:numRef>
          </c:xVal>
          <c:yVal>
            <c:numRef>
              <c:f>Dummies!$D$4</c:f>
              <c:numCache>
                <c:formatCode>0.0</c:formatCode>
                <c:ptCount val="1"/>
                <c:pt idx="0">
                  <c:v>25.5</c:v>
                </c:pt>
              </c:numCache>
            </c:numRef>
          </c:yVal>
          <c:smooth val="1"/>
          <c:extLst>
            <c:ext xmlns:c16="http://schemas.microsoft.com/office/drawing/2014/chart" uri="{C3380CC4-5D6E-409C-BE32-E72D297353CC}">
              <c16:uniqueId val="{00000015-6454-4BFB-8987-8539845766A3}"/>
            </c:ext>
          </c:extLst>
        </c:ser>
        <c:ser>
          <c:idx val="21"/>
          <c:order val="21"/>
          <c:tx>
            <c:v>Q0-E</c:v>
          </c:tx>
          <c:spPr>
            <a:ln w="19050" cap="rnd">
              <a:solidFill>
                <a:schemeClr val="accent4">
                  <a:lumMod val="80000"/>
                </a:schemeClr>
              </a:solidFill>
              <a:round/>
            </a:ln>
            <a:effectLst/>
          </c:spPr>
          <c:marker>
            <c:symbol val="circle"/>
            <c:size val="5"/>
            <c:spPr>
              <a:solidFill>
                <a:srgbClr val="FF0000"/>
              </a:solidFill>
              <a:ln w="50800">
                <a:solidFill>
                  <a:srgbClr val="FF0000"/>
                </a:solidFill>
              </a:ln>
              <a:effectLst/>
            </c:spPr>
          </c:marker>
          <c:dLbls>
            <c:dLbl>
              <c:idx val="1"/>
              <c:layout>
                <c:manualLayout>
                  <c:x val="-2.9685156720415617E-2"/>
                  <c:y val="-6.3703703703703707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6-6454-4BFB-8987-8539845766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Dummies!$D$2</c:f>
              <c:numCache>
                <c:formatCode>0.0</c:formatCode>
                <c:ptCount val="1"/>
                <c:pt idx="0">
                  <c:v>24.7</c:v>
                </c:pt>
              </c:numCache>
            </c:numRef>
          </c:yVal>
          <c:smooth val="1"/>
          <c:extLst>
            <c:ext xmlns:c16="http://schemas.microsoft.com/office/drawing/2014/chart" uri="{C3380CC4-5D6E-409C-BE32-E72D297353CC}">
              <c16:uniqueId val="{00000017-6454-4BFB-8987-8539845766A3}"/>
            </c:ext>
          </c:extLst>
        </c:ser>
        <c:dLbls>
          <c:showLegendKey val="0"/>
          <c:showVal val="0"/>
          <c:showCatName val="0"/>
          <c:showSerName val="0"/>
          <c:showPercent val="0"/>
          <c:showBubbleSize val="0"/>
        </c:dLbls>
        <c:axId val="597949856"/>
        <c:axId val="604805992"/>
        <c:extLst>
          <c:ext xmlns:c15="http://schemas.microsoft.com/office/drawing/2012/chart" uri="{02D57815-91ED-43cb-92C2-25804820EDAC}">
            <c15:filteredScatterSeries>
              <c15:ser>
                <c:idx val="0"/>
                <c:order val="0"/>
                <c:tx>
                  <c:strRef>
                    <c:extLst>
                      <c:ext uri="{02D57815-91ED-43cb-92C2-25804820EDAC}">
                        <c15:formulaRef>
                          <c15:sqref>'R129 Annex 18 Data'!$B$2</c15:sqref>
                        </c15:formulaRef>
                      </c:ext>
                    </c:extLst>
                    <c:strCache>
                      <c:ptCount val="1"/>
                      <c:pt idx="0">
                        <c:v> B Minimum Sitting height cm 95%ile</c:v>
                      </c:pt>
                    </c:strCache>
                  </c:strRef>
                </c:tx>
                <c:spPr>
                  <a:ln w="25400" cap="rnd">
                    <a:solidFill>
                      <a:srgbClr val="00B050"/>
                    </a:solidFill>
                    <a:round/>
                  </a:ln>
                  <a:effectLst/>
                </c:spPr>
                <c:marker>
                  <c:symbol val="circle"/>
                  <c:size val="5"/>
                  <c:spPr>
                    <a:solidFill>
                      <a:schemeClr val="accent1"/>
                    </a:solidFill>
                    <a:ln w="9525">
                      <a:solidFill>
                        <a:schemeClr val="accent1"/>
                      </a:solidFill>
                    </a:ln>
                    <a:effectLst/>
                  </c:spPr>
                </c:marker>
                <c:dLbls>
                  <c:dLbl>
                    <c:idx val="0"/>
                    <c:layout>
                      <c:manualLayout>
                        <c:x val="-5.306021666977026E-2"/>
                        <c:y val="-0.23851851851851852"/>
                      </c:manualLayout>
                    </c:layout>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uri="{CE6537A1-D6FC-4f65-9D91-7224C49458BB}">
                        <c15:layout>
                          <c:manualLayout>
                            <c:w val="0.19323691241221325"/>
                            <c:h val="4.7540740740740745E-2"/>
                          </c:manualLayout>
                        </c15:layout>
                      </c:ext>
                      <c:ext xmlns:c16="http://schemas.microsoft.com/office/drawing/2014/chart" uri="{C3380CC4-5D6E-409C-BE32-E72D297353CC}">
                        <c16:uniqueId val="{00000018-6454-4BFB-8987-8539845766A3}"/>
                      </c:ext>
                    </c:extLst>
                  </c:dLbl>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c:ext uri="{02D57815-91ED-43cb-92C2-25804820EDAC}">
                        <c15:formulaRef>
                          <c15:sqref>'R129 Annex 18 Data'!$A$3:$A$17</c15:sqref>
                        </c15:formulaRef>
                      </c:ext>
                    </c:extLst>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extLst>
                      <c:ext uri="{02D57815-91ED-43cb-92C2-25804820EDAC}">
                        <c15:formulaRef>
                          <c15:sqref>'R129 Annex 18 Data'!$B$3:$B$17</c15:sqref>
                        </c15:formulaRef>
                      </c:ext>
                    </c:extLst>
                    <c:numCache>
                      <c:formatCode>General</c:formatCode>
                      <c:ptCount val="15"/>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numCache>
                  </c:numRef>
                </c:yVal>
                <c:smooth val="1"/>
                <c:extLst>
                  <c:ext xmlns:c16="http://schemas.microsoft.com/office/drawing/2014/chart" uri="{C3380CC4-5D6E-409C-BE32-E72D297353CC}">
                    <c16:uniqueId val="{00000019-6454-4BFB-8987-8539845766A3}"/>
                  </c:ext>
                </c:extLst>
              </c15:ser>
            </c15:filteredScatterSeries>
            <c15:filteredScatterSeries>
              <c15:ser>
                <c:idx val="1"/>
                <c:order val="1"/>
                <c:tx>
                  <c:strRef>
                    <c:extLst xmlns:c15="http://schemas.microsoft.com/office/drawing/2012/chart">
                      <c:ext xmlns:c15="http://schemas.microsoft.com/office/drawing/2012/chart" uri="{02D57815-91ED-43cb-92C2-25804820EDAC}">
                        <c15:formulaRef>
                          <c15:sqref>'R129 Annex 18 Data'!$C$2</c15:sqref>
                        </c15:formulaRef>
                      </c:ext>
                    </c:extLst>
                    <c:strCache>
                      <c:ptCount val="1"/>
                      <c:pt idx="0">
                        <c:v>C Minimum Shoulder breadth cm 95%ile</c:v>
                      </c:pt>
                    </c:strCache>
                  </c:strRef>
                </c:tx>
                <c:spPr>
                  <a:ln w="25400" cap="rnd">
                    <a:solidFill>
                      <a:srgbClr val="FFC000"/>
                    </a:solidFill>
                    <a:round/>
                  </a:ln>
                  <a:effectLst/>
                </c:spPr>
                <c:marker>
                  <c:symbol val="circle"/>
                  <c:size val="5"/>
                  <c:spPr>
                    <a:solidFill>
                      <a:srgbClr val="0070C0"/>
                    </a:solidFill>
                    <a:ln w="9525">
                      <a:solidFill>
                        <a:srgbClr val="0070C0"/>
                      </a:solidFill>
                    </a:ln>
                    <a:effectLst/>
                  </c:spPr>
                </c:marker>
                <c:dLbls>
                  <c:dLbl>
                    <c:idx val="0"/>
                    <c:layout>
                      <c:manualLayout>
                        <c:x val="-2.1123776195592529E-2"/>
                        <c:y val="5.0370370370370371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15:layout>
                          <c:manualLayout>
                            <c:w val="0.22648428793907877"/>
                            <c:h val="5.5081481481481481E-2"/>
                          </c:manualLayout>
                        </c15:layout>
                      </c:ext>
                      <c:ext xmlns:c16="http://schemas.microsoft.com/office/drawing/2014/chart" uri="{C3380CC4-5D6E-409C-BE32-E72D297353CC}">
                        <c16:uniqueId val="{0000001A-6454-4BFB-8987-8539845766A3}"/>
                      </c:ext>
                    </c:extLst>
                  </c:dLbl>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xmlns:c15="http://schemas.microsoft.com/office/drawing/2012/chart">
                      <c:ext xmlns:c15="http://schemas.microsoft.com/office/drawing/2012/chart" uri="{02D57815-91ED-43cb-92C2-25804820EDAC}">
                        <c15:formulaRef>
                          <c15:sqref>'R129 Annex 18 Data'!$A$3:$A$17</c15:sqref>
                        </c15:formulaRef>
                      </c:ext>
                    </c:extLst>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extLst xmlns:c15="http://schemas.microsoft.com/office/drawing/2012/chart">
                      <c:ext xmlns:c15="http://schemas.microsoft.com/office/drawing/2012/chart" uri="{02D57815-91ED-43cb-92C2-25804820EDAC}">
                        <c15:formulaRef>
                          <c15:sqref>'R129 Annex 18 Data'!$C$3:$C$17</c15:sqref>
                        </c15:formulaRef>
                      </c:ext>
                    </c:extLst>
                    <c:numCache>
                      <c:formatCode>General</c:formatCode>
                      <c:ptCount val="15"/>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numCache>
                  </c:numRef>
                </c:yVal>
                <c:smooth val="1"/>
                <c:extLst xmlns:c15="http://schemas.microsoft.com/office/drawing/2012/chart">
                  <c:ext xmlns:c16="http://schemas.microsoft.com/office/drawing/2014/chart" uri="{C3380CC4-5D6E-409C-BE32-E72D297353CC}">
                    <c16:uniqueId val="{0000001B-6454-4BFB-8987-8539845766A3}"/>
                  </c:ext>
                </c:extLst>
              </c15:ser>
            </c15:filteredScatterSeries>
            <c15:filteredScatterSeries>
              <c15:ser>
                <c:idx val="2"/>
                <c:order val="2"/>
                <c:tx>
                  <c:strRef>
                    <c:extLst xmlns:c15="http://schemas.microsoft.com/office/drawing/2012/chart">
                      <c:ext xmlns:c15="http://schemas.microsoft.com/office/drawing/2012/chart" uri="{02D57815-91ED-43cb-92C2-25804820EDAC}">
                        <c15:formulaRef>
                          <c15:sqref>'R129 Annex 18 Data'!$D$2</c15:sqref>
                        </c15:formulaRef>
                      </c:ext>
                    </c:extLst>
                    <c:strCache>
                      <c:ptCount val="1"/>
                      <c:pt idx="0">
                        <c:v> D Minimum Hip breadth cm 95%ile</c:v>
                      </c:pt>
                    </c:strCache>
                  </c:strRef>
                </c:tx>
                <c:spPr>
                  <a:ln w="19050" cap="rnd">
                    <a:solidFill>
                      <a:schemeClr val="accent3"/>
                    </a:solidFill>
                    <a:round/>
                  </a:ln>
                  <a:effectLst/>
                </c:spPr>
                <c:marker>
                  <c:symbol val="circle"/>
                  <c:size val="5"/>
                  <c:spPr>
                    <a:solidFill>
                      <a:srgbClr val="0070C0"/>
                    </a:solidFill>
                    <a:ln w="50800">
                      <a:solidFill>
                        <a:srgbClr val="0070C0"/>
                      </a:solidFill>
                    </a:ln>
                    <a:effectLst/>
                  </c:spPr>
                </c:marker>
                <c:dLbls>
                  <c:dLbl>
                    <c:idx val="0"/>
                    <c:layout>
                      <c:manualLayout>
                        <c:x val="-2.9685156720415617E-2"/>
                        <c:y val="-6.3703703703703707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C-6454-4BFB-8987-8539845766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xmlns:c15="http://schemas.microsoft.com/office/drawing/2012/chart">
                      <c:ext xmlns:c15="http://schemas.microsoft.com/office/drawing/2012/chart" uri="{02D57815-91ED-43cb-92C2-25804820EDAC}">
                        <c15:formulaRef>
                          <c15:sqref>'R129 Annex 18 Data'!$A$3:$A$17</c15:sqref>
                        </c15:formulaRef>
                      </c:ext>
                    </c:extLst>
                    <c:numCache>
                      <c:formatCode>General</c:formatCode>
                      <c:ptCount val="15"/>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numCache>
                  </c:numRef>
                </c:xVal>
                <c:yVal>
                  <c:numRef>
                    <c:extLst xmlns:c15="http://schemas.microsoft.com/office/drawing/2012/chart">
                      <c:ext xmlns:c15="http://schemas.microsoft.com/office/drawing/2012/chart" uri="{02D57815-91ED-43cb-92C2-25804820EDAC}">
                        <c15:formulaRef>
                          <c15:sqref>'R129 Annex 18 Data'!$D$3:$D$17</c15:sqref>
                        </c15:formulaRef>
                      </c:ext>
                    </c:extLst>
                    <c:numCache>
                      <c:formatCode>General</c:formatCode>
                      <c:ptCount val="15"/>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numCache>
                  </c:numRef>
                </c:yVal>
                <c:smooth val="1"/>
                <c:extLst xmlns:c15="http://schemas.microsoft.com/office/drawing/2012/chart">
                  <c:ext xmlns:c16="http://schemas.microsoft.com/office/drawing/2014/chart" uri="{C3380CC4-5D6E-409C-BE32-E72D297353CC}">
                    <c16:uniqueId val="{0000001D-6454-4BFB-8987-8539845766A3}"/>
                  </c:ext>
                </c:extLst>
              </c15:ser>
            </c15:filteredScatterSeries>
            <c15:filteredScatterSeries>
              <c15:ser>
                <c:idx val="5"/>
                <c:order val="5"/>
                <c:tx>
                  <c:v>Q1-B</c:v>
                </c:tx>
                <c:spPr>
                  <a:ln w="19050" cap="rnd">
                    <a:solidFill>
                      <a:schemeClr val="accent6"/>
                    </a:solidFill>
                    <a:round/>
                  </a:ln>
                  <a:effectLst/>
                </c:spPr>
                <c:marker>
                  <c:symbol val="circle"/>
                  <c:size val="5"/>
                  <c:spPr>
                    <a:solidFill>
                      <a:schemeClr val="accent6"/>
                    </a:solidFill>
                    <a:ln w="47625">
                      <a:solidFill>
                        <a:srgbClr val="0070C0"/>
                      </a:solidFill>
                    </a:ln>
                    <a:effectLst/>
                  </c:spPr>
                </c:marker>
                <c:dLbls>
                  <c:dLbl>
                    <c:idx val="0"/>
                    <c:layout>
                      <c:manualLayout>
                        <c:x val="-6.7489634619174774E-2"/>
                        <c:y val="-4.745710285451825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E-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Dummies!$B$5</c15:sqref>
                        </c15:formulaRef>
                      </c:ext>
                    </c:extLst>
                    <c:numCache>
                      <c:formatCode>0.0</c:formatCode>
                      <c:ptCount val="1"/>
                      <c:pt idx="0">
                        <c:v>74</c:v>
                      </c:pt>
                    </c:numCache>
                  </c:numRef>
                </c:xVal>
                <c:yVal>
                  <c:numRef>
                    <c:extLst xmlns:c15="http://schemas.microsoft.com/office/drawing/2012/chart">
                      <c:ext xmlns:c15="http://schemas.microsoft.com/office/drawing/2012/chart" uri="{02D57815-91ED-43cb-92C2-25804820EDAC}">
                        <c15:formulaRef>
                          <c15:sqref>Dummies!$C$5</c15:sqref>
                        </c15:formulaRef>
                      </c:ext>
                    </c:extLst>
                    <c:numCache>
                      <c:formatCode>0.0</c:formatCode>
                      <c:ptCount val="1"/>
                      <c:pt idx="0">
                        <c:v>47.9</c:v>
                      </c:pt>
                    </c:numCache>
                  </c:numRef>
                </c:yVal>
                <c:smooth val="1"/>
                <c:extLst xmlns:c15="http://schemas.microsoft.com/office/drawing/2012/chart">
                  <c:ext xmlns:c16="http://schemas.microsoft.com/office/drawing/2014/chart" uri="{C3380CC4-5D6E-409C-BE32-E72D297353CC}">
                    <c16:uniqueId val="{0000001F-6454-4BFB-8987-8539845766A3}"/>
                  </c:ext>
                </c:extLst>
              </c15:ser>
            </c15:filteredScatterSeries>
            <c15:filteredScatterSeries>
              <c15:ser>
                <c:idx val="7"/>
                <c:order val="7"/>
                <c:tx>
                  <c:v>Q1.5-B</c:v>
                </c:tx>
                <c:spPr>
                  <a:ln w="19050" cap="rnd">
                    <a:solidFill>
                      <a:schemeClr val="accent2">
                        <a:lumMod val="60000"/>
                      </a:schemeClr>
                    </a:solidFill>
                    <a:round/>
                  </a:ln>
                  <a:effectLst/>
                </c:spPr>
                <c:marker>
                  <c:symbol val="circle"/>
                  <c:size val="5"/>
                  <c:spPr>
                    <a:solidFill>
                      <a:schemeClr val="accent2">
                        <a:lumMod val="60000"/>
                      </a:schemeClr>
                    </a:solidFill>
                    <a:ln w="50800">
                      <a:solidFill>
                        <a:srgbClr val="0070C0"/>
                      </a:solidFill>
                    </a:ln>
                    <a:effectLst/>
                  </c:spPr>
                </c:marker>
                <c:dLbls>
                  <c:dLbl>
                    <c:idx val="0"/>
                    <c:layout>
                      <c:manualLayout>
                        <c:x val="3.598819983765638E-3"/>
                        <c:y val="3.7059538629170531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0-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Dummies!$B$7</c15:sqref>
                        </c15:formulaRef>
                      </c:ext>
                    </c:extLst>
                    <c:numCache>
                      <c:formatCode>0.0</c:formatCode>
                      <c:ptCount val="1"/>
                      <c:pt idx="0">
                        <c:v>80</c:v>
                      </c:pt>
                    </c:numCache>
                  </c:numRef>
                </c:xVal>
                <c:yVal>
                  <c:numRef>
                    <c:extLst xmlns:c15="http://schemas.microsoft.com/office/drawing/2012/chart">
                      <c:ext xmlns:c15="http://schemas.microsoft.com/office/drawing/2012/chart" uri="{02D57815-91ED-43cb-92C2-25804820EDAC}">
                        <c15:formulaRef>
                          <c15:sqref>Dummies!$C$7</c15:sqref>
                        </c15:formulaRef>
                      </c:ext>
                    </c:extLst>
                    <c:numCache>
                      <c:formatCode>0.0</c:formatCode>
                      <c:ptCount val="1"/>
                      <c:pt idx="0">
                        <c:v>49.9</c:v>
                      </c:pt>
                    </c:numCache>
                  </c:numRef>
                </c:yVal>
                <c:smooth val="1"/>
                <c:extLst xmlns:c15="http://schemas.microsoft.com/office/drawing/2012/chart">
                  <c:ext xmlns:c16="http://schemas.microsoft.com/office/drawing/2014/chart" uri="{C3380CC4-5D6E-409C-BE32-E72D297353CC}">
                    <c16:uniqueId val="{00000021-6454-4BFB-8987-8539845766A3}"/>
                  </c:ext>
                </c:extLst>
              </c15:ser>
            </c15:filteredScatterSeries>
            <c15:filteredScatterSeries>
              <c15:ser>
                <c:idx val="9"/>
                <c:order val="9"/>
                <c:tx>
                  <c:v>Q3-B</c:v>
                </c:tx>
                <c:spPr>
                  <a:ln w="19050" cap="rnd">
                    <a:solidFill>
                      <a:schemeClr val="accent4">
                        <a:lumMod val="60000"/>
                      </a:schemeClr>
                    </a:solidFill>
                    <a:round/>
                  </a:ln>
                  <a:effectLst/>
                </c:spPr>
                <c:marker>
                  <c:symbol val="circle"/>
                  <c:size val="5"/>
                  <c:spPr>
                    <a:solidFill>
                      <a:schemeClr val="accent4">
                        <a:lumMod val="60000"/>
                      </a:schemeClr>
                    </a:solidFill>
                    <a:ln w="50800">
                      <a:solidFill>
                        <a:srgbClr val="0070C0"/>
                      </a:solidFill>
                    </a:ln>
                    <a:effectLst/>
                  </c:spPr>
                </c:marker>
                <c:dLbls>
                  <c:dLbl>
                    <c:idx val="0"/>
                    <c:layout>
                      <c:manualLayout>
                        <c:x val="1.4399248854330604E-2"/>
                        <c:y val="2.0795450568678917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2-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extLst xmlns:c15="http://schemas.microsoft.com/office/drawing/2012/chart">
                      <c:ext xmlns:c15="http://schemas.microsoft.com/office/drawing/2012/chart" uri="{02D57815-91ED-43cb-92C2-25804820EDAC}">
                        <c15:formulaRef>
                          <c15:sqref>Dummies!$B$9</c15:sqref>
                        </c15:formulaRef>
                      </c:ext>
                    </c:extLst>
                    <c:numCache>
                      <c:formatCode>0.0</c:formatCode>
                      <c:ptCount val="1"/>
                      <c:pt idx="0">
                        <c:v>98.5</c:v>
                      </c:pt>
                    </c:numCache>
                  </c:numRef>
                </c:xVal>
                <c:yVal>
                  <c:numRef>
                    <c:extLst xmlns:c15="http://schemas.microsoft.com/office/drawing/2012/chart">
                      <c:ext xmlns:c15="http://schemas.microsoft.com/office/drawing/2012/chart" uri="{02D57815-91ED-43cb-92C2-25804820EDAC}">
                        <c15:formulaRef>
                          <c15:sqref>Dummies!$C$9</c15:sqref>
                        </c15:formulaRef>
                      </c:ext>
                    </c:extLst>
                    <c:numCache>
                      <c:formatCode>0.0</c:formatCode>
                      <c:ptCount val="1"/>
                      <c:pt idx="0">
                        <c:v>54.4</c:v>
                      </c:pt>
                    </c:numCache>
                  </c:numRef>
                </c:yVal>
                <c:smooth val="1"/>
                <c:extLst xmlns:c15="http://schemas.microsoft.com/office/drawing/2012/chart">
                  <c:ext xmlns:c16="http://schemas.microsoft.com/office/drawing/2014/chart" uri="{C3380CC4-5D6E-409C-BE32-E72D297353CC}">
                    <c16:uniqueId val="{00000023-6454-4BFB-8987-8539845766A3}"/>
                  </c:ext>
                </c:extLst>
              </c15:ser>
            </c15:filteredScatterSeries>
            <c15:filteredScatterSeries>
              <c15:ser>
                <c:idx val="11"/>
                <c:order val="11"/>
                <c:tx>
                  <c:v>CRABI 12-B</c:v>
                </c:tx>
                <c:spPr>
                  <a:ln w="19050" cap="rnd">
                    <a:solidFill>
                      <a:schemeClr val="accent6">
                        <a:lumMod val="60000"/>
                      </a:schemeClr>
                    </a:solidFill>
                    <a:round/>
                  </a:ln>
                  <a:effectLst/>
                </c:spPr>
                <c:marker>
                  <c:symbol val="circle"/>
                  <c:size val="5"/>
                  <c:spPr>
                    <a:solidFill>
                      <a:schemeClr val="accent6">
                        <a:lumMod val="60000"/>
                      </a:schemeClr>
                    </a:solidFill>
                    <a:ln w="50800">
                      <a:solidFill>
                        <a:srgbClr val="FF0000"/>
                      </a:solidFill>
                    </a:ln>
                    <a:effectLst/>
                  </c:spPr>
                </c:marker>
                <c:dLbls>
                  <c:dLbl>
                    <c:idx val="0"/>
                    <c:layout>
                      <c:manualLayout>
                        <c:x val="-2.9690964839840753E-2"/>
                        <c:y val="3.855829687955666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4-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Dummies!$B$6</c15:sqref>
                        </c15:formulaRef>
                      </c:ext>
                    </c:extLst>
                    <c:numCache>
                      <c:formatCode>0.0</c:formatCode>
                      <c:ptCount val="1"/>
                      <c:pt idx="0">
                        <c:v>74.7</c:v>
                      </c:pt>
                    </c:numCache>
                  </c:numRef>
                </c:xVal>
                <c:yVal>
                  <c:numRef>
                    <c:extLst xmlns:c15="http://schemas.microsoft.com/office/drawing/2012/chart">
                      <c:ext xmlns:c15="http://schemas.microsoft.com/office/drawing/2012/chart" uri="{02D57815-91ED-43cb-92C2-25804820EDAC}">
                        <c15:formulaRef>
                          <c15:sqref>Dummies!$C$6</c15:sqref>
                        </c15:formulaRef>
                      </c:ext>
                    </c:extLst>
                    <c:numCache>
                      <c:formatCode>0.0</c:formatCode>
                      <c:ptCount val="1"/>
                      <c:pt idx="0">
                        <c:v>48</c:v>
                      </c:pt>
                    </c:numCache>
                  </c:numRef>
                </c:yVal>
                <c:smooth val="1"/>
                <c:extLst xmlns:c15="http://schemas.microsoft.com/office/drawing/2012/chart">
                  <c:ext xmlns:c16="http://schemas.microsoft.com/office/drawing/2014/chart" uri="{C3380CC4-5D6E-409C-BE32-E72D297353CC}">
                    <c16:uniqueId val="{00000025-6454-4BFB-8987-8539845766A3}"/>
                  </c:ext>
                </c:extLst>
              </c15:ser>
            </c15:filteredScatterSeries>
            <c15:filteredScatterSeries>
              <c15:ser>
                <c:idx val="12"/>
                <c:order val="12"/>
                <c:tx>
                  <c:v>3yr-B</c:v>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50800">
                      <a:solidFill>
                        <a:srgbClr val="FF0000"/>
                      </a:solidFill>
                    </a:ln>
                    <a:effectLst/>
                  </c:spPr>
                </c:marker>
                <c:dLbls>
                  <c:dLbl>
                    <c:idx val="0"/>
                    <c:layout>
                      <c:manualLayout>
                        <c:x val="-4.3199163177486143E-2"/>
                        <c:y val="5.190749489647122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6-6454-4BFB-8987-8539845766A3}"/>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extLst xmlns:c15="http://schemas.microsoft.com/office/drawing/2012/chart">
                      <c:ext xmlns:c15="http://schemas.microsoft.com/office/drawing/2012/chart" uri="{02D57815-91ED-43cb-92C2-25804820EDAC}">
                        <c15:formulaRef>
                          <c15:sqref>Dummies!$B$10</c15:sqref>
                        </c15:formulaRef>
                      </c:ext>
                    </c:extLst>
                    <c:numCache>
                      <c:formatCode>0.0</c:formatCode>
                      <c:ptCount val="1"/>
                      <c:pt idx="0">
                        <c:v>94.5</c:v>
                      </c:pt>
                    </c:numCache>
                  </c:numRef>
                </c:xVal>
                <c:yVal>
                  <c:numRef>
                    <c:extLst xmlns:c15="http://schemas.microsoft.com/office/drawing/2012/chart">
                      <c:ext xmlns:c15="http://schemas.microsoft.com/office/drawing/2012/chart" uri="{02D57815-91ED-43cb-92C2-25804820EDAC}">
                        <c15:formulaRef>
                          <c15:sqref>Dummies!$C$10</c15:sqref>
                        </c15:formulaRef>
                      </c:ext>
                    </c:extLst>
                    <c:numCache>
                      <c:formatCode>0.0</c:formatCode>
                      <c:ptCount val="1"/>
                      <c:pt idx="0">
                        <c:v>54.6</c:v>
                      </c:pt>
                    </c:numCache>
                  </c:numRef>
                </c:yVal>
                <c:smooth val="1"/>
                <c:extLst xmlns:c15="http://schemas.microsoft.com/office/drawing/2012/chart">
                  <c:ext xmlns:c16="http://schemas.microsoft.com/office/drawing/2014/chart" uri="{C3380CC4-5D6E-409C-BE32-E72D297353CC}">
                    <c16:uniqueId val="{00000027-6454-4BFB-8987-8539845766A3}"/>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'US Child Data'!$M$1</c15:sqref>
                        </c15:formulaRef>
                      </c:ext>
                    </c:extLst>
                    <c:strCache>
                      <c:ptCount val="1"/>
                    </c:strCache>
                  </c:strRef>
                </c:tx>
                <c:spPr>
                  <a:ln w="19050" cap="rnd">
                    <a:solidFill>
                      <a:srgbClr val="92D050"/>
                    </a:solidFill>
                    <a:round/>
                  </a:ln>
                  <a:effectLst/>
                </c:spPr>
                <c:marker>
                  <c:symbol val="circle"/>
                  <c:size val="5"/>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Data'!$M$3:$M$17</c15:sqref>
                        </c15:formulaRef>
                      </c:ext>
                    </c:extLst>
                    <c:numCache>
                      <c:formatCode>0.0</c:formatCode>
                      <c:ptCount val="15"/>
                      <c:pt idx="0">
                        <c:v>45.942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28-6454-4BFB-8987-8539845766A3}"/>
                  </c:ext>
                </c:extLst>
              </c15:ser>
            </c15:filteredScatterSeries>
            <c15:filteredScatterSeries>
              <c15:ser>
                <c:idx val="18"/>
                <c:order val="17"/>
                <c:tx>
                  <c:strRef>
                    <c:extLst xmlns:c15="http://schemas.microsoft.com/office/drawing/2012/chart">
                      <c:ext xmlns:c15="http://schemas.microsoft.com/office/drawing/2012/chart" uri="{02D57815-91ED-43cb-92C2-25804820EDAC}">
                        <c15:formulaRef>
                          <c15:sqref>'US Child Data'!$Y$1</c15:sqref>
                        </c15:formulaRef>
                      </c:ext>
                    </c:extLst>
                    <c:strCache>
                      <c:ptCount val="1"/>
                    </c:strCache>
                  </c:strRef>
                </c:tx>
                <c:spPr>
                  <a:ln w="19050" cap="rnd">
                    <a:solidFill>
                      <a:srgbClr val="FFC000"/>
                    </a:solidFill>
                    <a:round/>
                  </a:ln>
                  <a:effectLst/>
                </c:spPr>
                <c:marker>
                  <c:symbol val="circle"/>
                  <c:size val="5"/>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Data'!$Y$3:$Y$17</c15:sqref>
                        </c15:formulaRef>
                      </c:ext>
                    </c:extLst>
                    <c:numCache>
                      <c:formatCode>0.0</c:formatCode>
                      <c:ptCount val="15"/>
                      <c:pt idx="0">
                        <c:v>19.812000000000001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29-6454-4BFB-8987-8539845766A3}"/>
                  </c:ext>
                </c:extLst>
              </c15:ser>
            </c15:filteredScatterSeries>
            <c15:filteredScatterSeries>
              <c15:ser>
                <c:idx val="19"/>
                <c:order val="18"/>
                <c:tx>
                  <c:strRef>
                    <c:extLst xmlns:c15="http://schemas.microsoft.com/office/drawing/2012/chart">
                      <c:ext xmlns:c15="http://schemas.microsoft.com/office/drawing/2012/chart" uri="{02D57815-91ED-43cb-92C2-25804820EDAC}">
                        <c15:formulaRef>
                          <c15:sqref>'US Child Data'!$U$1</c15:sqref>
                        </c15:formulaRef>
                      </c:ext>
                    </c:extLst>
                    <c:strCache>
                      <c:ptCount val="1"/>
                    </c:strCache>
                  </c:strRef>
                </c:tx>
                <c:spPr>
                  <a:ln w="19050" cap="rnd">
                    <a:solidFill>
                      <a:srgbClr val="FFC000"/>
                    </a:solidFill>
                    <a:round/>
                  </a:ln>
                  <a:effectLst/>
                </c:spPr>
                <c:marker>
                  <c:symbol val="circle"/>
                  <c:size val="5"/>
                  <c:spPr>
                    <a:solidFill>
                      <a:srgbClr val="FF0000"/>
                    </a:solidFill>
                    <a:ln w="9525">
                      <a:solidFill>
                        <a:srgbClr val="FF0000"/>
                      </a:solidFill>
                    </a:ln>
                    <a:effectLst/>
                  </c:spPr>
                </c:marker>
                <c:xVal>
                  <c:numRef>
                    <c:extLst xmlns:c15="http://schemas.microsoft.com/office/drawing/2012/chart">
                      <c:ext xmlns:c15="http://schemas.microsoft.com/office/drawing/2012/chart" uri="{02D57815-91ED-43cb-92C2-25804820EDAC}">
                        <c15:formulaRef>
                          <c15:sqref>'US Child Data'!$I$3:$I$17</c15:sqref>
                        </c15:formulaRef>
                      </c:ext>
                    </c:extLst>
                    <c:numCache>
                      <c:formatCode>0.0</c:formatCode>
                      <c:ptCount val="15"/>
                      <c:pt idx="0">
                        <c:v>64.262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xVal>
                <c:yVal>
                  <c:numRef>
                    <c:extLst xmlns:c15="http://schemas.microsoft.com/office/drawing/2012/chart">
                      <c:ext xmlns:c15="http://schemas.microsoft.com/office/drawing/2012/chart" uri="{02D57815-91ED-43cb-92C2-25804820EDAC}">
                        <c15:formulaRef>
                          <c15:sqref>'US Child Data'!$U$3:$U$17</c15:sqref>
                        </c15:formulaRef>
                      </c:ext>
                    </c:extLst>
                    <c:numCache>
                      <c:formatCode>0.0</c:formatCode>
                      <c:ptCount val="15"/>
                      <c:pt idx="0">
                        <c:v>17.526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xmlns:c15="http://schemas.microsoft.com/office/drawing/2012/chart">
                  <c:ext xmlns:c16="http://schemas.microsoft.com/office/drawing/2014/chart" uri="{C3380CC4-5D6E-409C-BE32-E72D297353CC}">
                    <c16:uniqueId val="{0000002A-6454-4BFB-8987-8539845766A3}"/>
                  </c:ext>
                </c:extLst>
              </c15:ser>
            </c15:filteredScatterSeries>
          </c:ext>
        </c:extLst>
      </c:scatterChart>
      <c:valAx>
        <c:axId val="597949856"/>
        <c:scaling>
          <c:orientation val="minMax"/>
          <c:max val="110"/>
          <c:min val="4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604805992"/>
        <c:crosses val="autoZero"/>
        <c:crossBetween val="midCat"/>
        <c:majorUnit val="5"/>
      </c:valAx>
      <c:valAx>
        <c:axId val="604805992"/>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 E1, E2,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597949856"/>
        <c:crosses val="autoZero"/>
        <c:crossBetween val="midCat"/>
        <c:majorUnit val="5"/>
      </c:valAx>
      <c:spPr>
        <a:noFill/>
        <a:ln>
          <a:noFill/>
        </a:ln>
        <a:effectLst/>
      </c:spPr>
    </c:plotArea>
    <c:legend>
      <c:legendPos val="b"/>
      <c:layout>
        <c:manualLayout>
          <c:xMode val="edge"/>
          <c:yMode val="edge"/>
          <c:x val="3.4794638438316157E-2"/>
          <c:y val="0.82708521434820648"/>
          <c:w val="0.63907453425079896"/>
          <c:h val="0.1420372120151647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Anthropometery</a:t>
            </a:r>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6.1664363563562891E-2"/>
          <c:y val="8.4414275451002913E-2"/>
          <c:w val="0.91749400562691086"/>
          <c:h val="0.59793038526162579"/>
        </c:manualLayout>
      </c:layout>
      <c:scatterChart>
        <c:scatterStyle val="lineMarker"/>
        <c:varyColors val="0"/>
        <c:ser>
          <c:idx val="0"/>
          <c:order val="0"/>
          <c:tx>
            <c:strRef>
              <c:f>'R129 Annex 18 Data'!$B$2</c:f>
              <c:strCache>
                <c:ptCount val="1"/>
                <c:pt idx="0">
                  <c:v> B Minimum Sitting height cm 95%ile</c:v>
                </c:pt>
              </c:strCache>
            </c:strRef>
          </c:tx>
          <c:spPr>
            <a:ln w="25400" cap="rnd">
              <a:solidFill>
                <a:srgbClr val="00B050"/>
              </a:solidFill>
              <a:round/>
            </a:ln>
            <a:effectLst/>
          </c:spPr>
          <c:marker>
            <c:symbol val="circle"/>
            <c:size val="2"/>
            <c:spPr>
              <a:solidFill>
                <a:srgbClr val="00B050"/>
              </a:solidFill>
              <a:ln w="9525">
                <a:solidFill>
                  <a:schemeClr val="accent1"/>
                </a:solidFill>
              </a:ln>
              <a:effectLst/>
            </c:spPr>
          </c:marker>
          <c:dLbls>
            <c:dLbl>
              <c:idx val="0"/>
              <c:layout>
                <c:manualLayout>
                  <c:x val="-6.2807020203118433E-3"/>
                  <c:y val="-0.26515818022747156"/>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6575093468532262"/>
                      <c:h val="5.3943733587136271E-2"/>
                    </c:manualLayout>
                  </c15:layout>
                </c:ext>
                <c:ext xmlns:c16="http://schemas.microsoft.com/office/drawing/2014/chart" uri="{C3380CC4-5D6E-409C-BE32-E72D297353CC}">
                  <c16:uniqueId val="{00000000-658A-4ABC-B0CC-692061440AF2}"/>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Data'!$B$3:$B$25</c:f>
              <c:numCache>
                <c:formatCode>General</c:formatCode>
                <c:ptCount val="23"/>
                <c:pt idx="0">
                  <c:v>39</c:v>
                </c:pt>
                <c:pt idx="1">
                  <c:v>40.5</c:v>
                </c:pt>
                <c:pt idx="2">
                  <c:v>42</c:v>
                </c:pt>
                <c:pt idx="3">
                  <c:v>43.5</c:v>
                </c:pt>
                <c:pt idx="4">
                  <c:v>45</c:v>
                </c:pt>
                <c:pt idx="5">
                  <c:v>47.1</c:v>
                </c:pt>
                <c:pt idx="6">
                  <c:v>49.2</c:v>
                </c:pt>
                <c:pt idx="7">
                  <c:v>51.3</c:v>
                </c:pt>
                <c:pt idx="8">
                  <c:v>53.4</c:v>
                </c:pt>
                <c:pt idx="9" formatCode="0.0">
                  <c:v>54.45</c:v>
                </c:pt>
                <c:pt idx="10">
                  <c:v>55.5</c:v>
                </c:pt>
                <c:pt idx="11">
                  <c:v>57.6</c:v>
                </c:pt>
                <c:pt idx="12">
                  <c:v>59.7</c:v>
                </c:pt>
                <c:pt idx="13">
                  <c:v>61.8</c:v>
                </c:pt>
                <c:pt idx="14">
                  <c:v>63.9</c:v>
                </c:pt>
                <c:pt idx="15">
                  <c:v>66</c:v>
                </c:pt>
                <c:pt idx="16">
                  <c:v>68.099999999999994</c:v>
                </c:pt>
                <c:pt idx="17">
                  <c:v>70.2</c:v>
                </c:pt>
                <c:pt idx="18">
                  <c:v>72.3</c:v>
                </c:pt>
                <c:pt idx="19">
                  <c:v>74.400000000000006</c:v>
                </c:pt>
                <c:pt idx="20">
                  <c:v>76.5</c:v>
                </c:pt>
                <c:pt idx="21">
                  <c:v>78.599999999999994</c:v>
                </c:pt>
                <c:pt idx="22">
                  <c:v>81.099999999999994</c:v>
                </c:pt>
              </c:numCache>
            </c:numRef>
          </c:yVal>
          <c:smooth val="0"/>
          <c:extLst>
            <c:ext xmlns:c16="http://schemas.microsoft.com/office/drawing/2014/chart" uri="{C3380CC4-5D6E-409C-BE32-E72D297353CC}">
              <c16:uniqueId val="{00000001-658A-4ABC-B0CC-692061440AF2}"/>
            </c:ext>
          </c:extLst>
        </c:ser>
        <c:ser>
          <c:idx val="1"/>
          <c:order val="1"/>
          <c:tx>
            <c:strRef>
              <c:f>'R129 Annex 18 Data'!$C$2</c:f>
              <c:strCache>
                <c:ptCount val="1"/>
                <c:pt idx="0">
                  <c:v>C Minimum Shoulder breadth cm 95%ile</c:v>
                </c:pt>
              </c:strCache>
            </c:strRef>
          </c:tx>
          <c:spPr>
            <a:ln w="25400" cap="rnd">
              <a:solidFill>
                <a:srgbClr val="FFC000"/>
              </a:solidFill>
              <a:round/>
            </a:ln>
            <a:effectLst/>
          </c:spPr>
          <c:marker>
            <c:symbol val="none"/>
          </c:marker>
          <c:dLbls>
            <c:dLbl>
              <c:idx val="0"/>
              <c:layout>
                <c:manualLayout>
                  <c:x val="-3.68263481735666E-2"/>
                  <c:y val="1.481481481481481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658A-4ABC-B0CC-692061440AF2}"/>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Data'!$C$3:$C$25</c:f>
              <c:numCache>
                <c:formatCode>General</c:formatCode>
                <c:ptCount val="23"/>
                <c:pt idx="0">
                  <c:v>12.1</c:v>
                </c:pt>
                <c:pt idx="1">
                  <c:v>14.1</c:v>
                </c:pt>
                <c:pt idx="2">
                  <c:v>16.100000000000001</c:v>
                </c:pt>
                <c:pt idx="3">
                  <c:v>18.100000000000001</c:v>
                </c:pt>
                <c:pt idx="4">
                  <c:v>20.100000000000001</c:v>
                </c:pt>
                <c:pt idx="5">
                  <c:v>22.1</c:v>
                </c:pt>
                <c:pt idx="6">
                  <c:v>24.1</c:v>
                </c:pt>
                <c:pt idx="7">
                  <c:v>26.1</c:v>
                </c:pt>
                <c:pt idx="8">
                  <c:v>26.9</c:v>
                </c:pt>
                <c:pt idx="9" formatCode="0.0">
                  <c:v>27.299999999999997</c:v>
                </c:pt>
                <c:pt idx="10">
                  <c:v>27.7</c:v>
                </c:pt>
                <c:pt idx="11">
                  <c:v>28.5</c:v>
                </c:pt>
                <c:pt idx="12">
                  <c:v>29.3</c:v>
                </c:pt>
                <c:pt idx="13">
                  <c:v>30.1</c:v>
                </c:pt>
                <c:pt idx="14">
                  <c:v>30.9</c:v>
                </c:pt>
                <c:pt idx="15">
                  <c:v>32.1</c:v>
                </c:pt>
                <c:pt idx="16">
                  <c:v>33.299999999999997</c:v>
                </c:pt>
                <c:pt idx="17">
                  <c:v>33.299999999999997</c:v>
                </c:pt>
                <c:pt idx="18">
                  <c:v>33.299999999999997</c:v>
                </c:pt>
                <c:pt idx="19">
                  <c:v>33.299999999999997</c:v>
                </c:pt>
                <c:pt idx="20">
                  <c:v>34.200000000000003</c:v>
                </c:pt>
                <c:pt idx="21">
                  <c:v>35.299999999999997</c:v>
                </c:pt>
                <c:pt idx="22">
                  <c:v>36.4</c:v>
                </c:pt>
              </c:numCache>
            </c:numRef>
          </c:yVal>
          <c:smooth val="0"/>
          <c:extLst>
            <c:ext xmlns:c16="http://schemas.microsoft.com/office/drawing/2014/chart" uri="{C3380CC4-5D6E-409C-BE32-E72D297353CC}">
              <c16:uniqueId val="{00000003-658A-4ABC-B0CC-692061440AF2}"/>
            </c:ext>
          </c:extLst>
        </c:ser>
        <c:ser>
          <c:idx val="2"/>
          <c:order val="2"/>
          <c:tx>
            <c:strRef>
              <c:f>'R129 Annex 18 Data'!$D$2</c:f>
              <c:strCache>
                <c:ptCount val="1"/>
                <c:pt idx="0">
                  <c:v> D Minimum Hip breadth cm 95%ile</c:v>
                </c:pt>
              </c:strCache>
            </c:strRef>
          </c:tx>
          <c:spPr>
            <a:ln w="25400" cap="rnd">
              <a:solidFill>
                <a:srgbClr val="FFC000"/>
              </a:solidFill>
              <a:round/>
            </a:ln>
            <a:effectLst/>
          </c:spPr>
          <c:marker>
            <c:symbol val="none"/>
          </c:marker>
          <c:dLbls>
            <c:dLbl>
              <c:idx val="0"/>
              <c:layout>
                <c:manualLayout>
                  <c:x val="-4.1317366243513759E-2"/>
                  <c:y val="-2.666666666666666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658A-4ABC-B0CC-692061440AF2}"/>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Data'!$D$3:$D$25</c:f>
              <c:numCache>
                <c:formatCode>General</c:formatCode>
                <c:ptCount val="23"/>
                <c:pt idx="0">
                  <c:v>14.2</c:v>
                </c:pt>
                <c:pt idx="1">
                  <c:v>14.8</c:v>
                </c:pt>
                <c:pt idx="2">
                  <c:v>15.4</c:v>
                </c:pt>
                <c:pt idx="3">
                  <c:v>16</c:v>
                </c:pt>
                <c:pt idx="4">
                  <c:v>17.2</c:v>
                </c:pt>
                <c:pt idx="5">
                  <c:v>18.399999999999999</c:v>
                </c:pt>
                <c:pt idx="6">
                  <c:v>19.600000000000001</c:v>
                </c:pt>
                <c:pt idx="7">
                  <c:v>20.8</c:v>
                </c:pt>
                <c:pt idx="8">
                  <c:v>22</c:v>
                </c:pt>
                <c:pt idx="9" formatCode="0.0">
                  <c:v>22.25</c:v>
                </c:pt>
                <c:pt idx="10">
                  <c:v>22.5</c:v>
                </c:pt>
                <c:pt idx="11">
                  <c:v>23</c:v>
                </c:pt>
                <c:pt idx="12">
                  <c:v>23.5</c:v>
                </c:pt>
                <c:pt idx="13">
                  <c:v>24.9</c:v>
                </c:pt>
                <c:pt idx="14">
                  <c:v>26.3</c:v>
                </c:pt>
                <c:pt idx="15">
                  <c:v>27.7</c:v>
                </c:pt>
                <c:pt idx="16">
                  <c:v>29.1</c:v>
                </c:pt>
                <c:pt idx="17">
                  <c:v>29.1</c:v>
                </c:pt>
                <c:pt idx="18">
                  <c:v>29.1</c:v>
                </c:pt>
                <c:pt idx="19">
                  <c:v>29.1</c:v>
                </c:pt>
                <c:pt idx="20">
                  <c:v>29.6</c:v>
                </c:pt>
                <c:pt idx="21">
                  <c:v>30.8</c:v>
                </c:pt>
                <c:pt idx="22">
                  <c:v>32</c:v>
                </c:pt>
              </c:numCache>
            </c:numRef>
          </c:yVal>
          <c:smooth val="0"/>
          <c:extLst>
            <c:ext xmlns:c16="http://schemas.microsoft.com/office/drawing/2014/chart" uri="{C3380CC4-5D6E-409C-BE32-E72D297353CC}">
              <c16:uniqueId val="{00000005-658A-4ABC-B0CC-692061440AF2}"/>
            </c:ext>
          </c:extLst>
        </c:ser>
        <c:ser>
          <c:idx val="3"/>
          <c:order val="3"/>
          <c:tx>
            <c:strRef>
              <c:f>'R129 Annex 18 Data'!$E$2</c:f>
              <c:strCache>
                <c:ptCount val="1"/>
                <c:pt idx="0">
                  <c:v>E1 Minimum Shoulder height cm 5%ile</c:v>
                </c:pt>
              </c:strCache>
            </c:strRef>
          </c:tx>
          <c:spPr>
            <a:ln w="25400" cap="rnd">
              <a:solidFill>
                <a:srgbClr val="0070C0"/>
              </a:solidFill>
              <a:round/>
            </a:ln>
            <a:effectLst/>
          </c:spPr>
          <c:marker>
            <c:symbol val="none"/>
          </c:marker>
          <c:dLbls>
            <c:dLbl>
              <c:idx val="0"/>
              <c:layout>
                <c:manualLayout>
                  <c:x val="-5.0357800373874134E-2"/>
                  <c:y val="1.036525213038577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58A-4ABC-B0CC-692061440AF2}"/>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Data'!$E$3:$E$25</c:f>
              <c:numCache>
                <c:formatCode>General</c:formatCode>
                <c:ptCount val="23"/>
                <c:pt idx="0">
                  <c:v>27.4</c:v>
                </c:pt>
                <c:pt idx="1">
                  <c:v>27.6</c:v>
                </c:pt>
                <c:pt idx="2">
                  <c:v>27.8</c:v>
                </c:pt>
                <c:pt idx="3">
                  <c:v>28</c:v>
                </c:pt>
                <c:pt idx="4">
                  <c:v>28.2</c:v>
                </c:pt>
                <c:pt idx="5">
                  <c:v>28.3</c:v>
                </c:pt>
                <c:pt idx="6">
                  <c:v>28.4</c:v>
                </c:pt>
                <c:pt idx="7">
                  <c:v>29.2</c:v>
                </c:pt>
                <c:pt idx="8">
                  <c:v>30</c:v>
                </c:pt>
                <c:pt idx="9" formatCode="0.0">
                  <c:v>30.4</c:v>
                </c:pt>
                <c:pt idx="10">
                  <c:v>30.8</c:v>
                </c:pt>
                <c:pt idx="11">
                  <c:v>31.6</c:v>
                </c:pt>
                <c:pt idx="12">
                  <c:v>32.4</c:v>
                </c:pt>
                <c:pt idx="13">
                  <c:v>33.200000000000003</c:v>
                </c:pt>
                <c:pt idx="14">
                  <c:v>34</c:v>
                </c:pt>
                <c:pt idx="15">
                  <c:v>35.5</c:v>
                </c:pt>
                <c:pt idx="16">
                  <c:v>37</c:v>
                </c:pt>
                <c:pt idx="17">
                  <c:v>38.5</c:v>
                </c:pt>
                <c:pt idx="18">
                  <c:v>40</c:v>
                </c:pt>
                <c:pt idx="19">
                  <c:v>41.5</c:v>
                </c:pt>
                <c:pt idx="20">
                  <c:v>43</c:v>
                </c:pt>
                <c:pt idx="21">
                  <c:v>44.5</c:v>
                </c:pt>
                <c:pt idx="22">
                  <c:v>46.3</c:v>
                </c:pt>
              </c:numCache>
            </c:numRef>
          </c:yVal>
          <c:smooth val="0"/>
          <c:extLst>
            <c:ext xmlns:c16="http://schemas.microsoft.com/office/drawing/2014/chart" uri="{C3380CC4-5D6E-409C-BE32-E72D297353CC}">
              <c16:uniqueId val="{00000007-658A-4ABC-B0CC-692061440AF2}"/>
            </c:ext>
          </c:extLst>
        </c:ser>
        <c:ser>
          <c:idx val="4"/>
          <c:order val="4"/>
          <c:tx>
            <c:strRef>
              <c:f>'R129 Annex 18 Data'!$F$2</c:f>
              <c:strCache>
                <c:ptCount val="1"/>
                <c:pt idx="0">
                  <c:v>E2 Maximum Shoulder height cm 95%ile</c:v>
                </c:pt>
              </c:strCache>
            </c:strRef>
          </c:tx>
          <c:spPr>
            <a:ln w="25400" cap="rnd">
              <a:solidFill>
                <a:srgbClr val="0070C0"/>
              </a:solidFill>
              <a:round/>
            </a:ln>
            <a:effectLst/>
          </c:spPr>
          <c:marker>
            <c:symbol val="none"/>
          </c:marker>
          <c:dLbls>
            <c:dLbl>
              <c:idx val="0"/>
              <c:layout>
                <c:manualLayout>
                  <c:x val="-4.088171982099361E-2"/>
                  <c:y val="-1.5556564486734051E-2"/>
                </c:manualLayout>
              </c:layout>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0.16221223021582734"/>
                      <c:h val="2.5150602216484991E-2"/>
                    </c:manualLayout>
                  </c15:layout>
                </c:ext>
                <c:ext xmlns:c16="http://schemas.microsoft.com/office/drawing/2014/chart" uri="{C3380CC4-5D6E-409C-BE32-E72D297353CC}">
                  <c16:uniqueId val="{00000008-658A-4ABC-B0CC-692061440AF2}"/>
                </c:ext>
              </c:extLst>
            </c:dLbl>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'R129 Annex 18 Data'!$A$3:$A$25</c:f>
              <c:numCache>
                <c:formatCode>General</c:formatCode>
                <c:ptCount val="23"/>
                <c:pt idx="0">
                  <c:v>45</c:v>
                </c:pt>
                <c:pt idx="1">
                  <c:v>50</c:v>
                </c:pt>
                <c:pt idx="2">
                  <c:v>55</c:v>
                </c:pt>
                <c:pt idx="3">
                  <c:v>60</c:v>
                </c:pt>
                <c:pt idx="4">
                  <c:v>65</c:v>
                </c:pt>
                <c:pt idx="5">
                  <c:v>70</c:v>
                </c:pt>
                <c:pt idx="6">
                  <c:v>75</c:v>
                </c:pt>
                <c:pt idx="7">
                  <c:v>80</c:v>
                </c:pt>
                <c:pt idx="8">
                  <c:v>85</c:v>
                </c:pt>
                <c:pt idx="9">
                  <c:v>87.5</c:v>
                </c:pt>
                <c:pt idx="10">
                  <c:v>90</c:v>
                </c:pt>
                <c:pt idx="11">
                  <c:v>95</c:v>
                </c:pt>
                <c:pt idx="12">
                  <c:v>100</c:v>
                </c:pt>
                <c:pt idx="13">
                  <c:v>105</c:v>
                </c:pt>
                <c:pt idx="14">
                  <c:v>110</c:v>
                </c:pt>
                <c:pt idx="15">
                  <c:v>115</c:v>
                </c:pt>
                <c:pt idx="16">
                  <c:v>120</c:v>
                </c:pt>
                <c:pt idx="17">
                  <c:v>125</c:v>
                </c:pt>
                <c:pt idx="18">
                  <c:v>130</c:v>
                </c:pt>
                <c:pt idx="19">
                  <c:v>135</c:v>
                </c:pt>
                <c:pt idx="20">
                  <c:v>140</c:v>
                </c:pt>
                <c:pt idx="21">
                  <c:v>145</c:v>
                </c:pt>
                <c:pt idx="22">
                  <c:v>150</c:v>
                </c:pt>
              </c:numCache>
            </c:numRef>
          </c:xVal>
          <c:yVal>
            <c:numRef>
              <c:f>'R129 Annex 18 Data'!$F$3:$F$25</c:f>
              <c:numCache>
                <c:formatCode>General</c:formatCode>
                <c:ptCount val="23"/>
                <c:pt idx="0">
                  <c:v>0</c:v>
                </c:pt>
                <c:pt idx="1">
                  <c:v>0</c:v>
                </c:pt>
                <c:pt idx="2">
                  <c:v>0</c:v>
                </c:pt>
                <c:pt idx="3">
                  <c:v>0</c:v>
                </c:pt>
                <c:pt idx="4">
                  <c:v>0</c:v>
                </c:pt>
                <c:pt idx="5">
                  <c:v>0</c:v>
                </c:pt>
                <c:pt idx="6">
                  <c:v>0</c:v>
                </c:pt>
                <c:pt idx="7">
                  <c:v>0</c:v>
                </c:pt>
                <c:pt idx="8">
                  <c:v>0</c:v>
                </c:pt>
                <c:pt idx="9" formatCode="0">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0"/>
          <c:extLst>
            <c:ext xmlns:c16="http://schemas.microsoft.com/office/drawing/2014/chart" uri="{C3380CC4-5D6E-409C-BE32-E72D297353CC}">
              <c16:uniqueId val="{00000009-658A-4ABC-B0CC-692061440AF2}"/>
            </c:ext>
          </c:extLst>
        </c:ser>
        <c:ser>
          <c:idx val="5"/>
          <c:order val="5"/>
          <c:tx>
            <c:v>Q1-B</c:v>
          </c:tx>
          <c:spPr>
            <a:ln w="19050" cap="rnd">
              <a:solidFill>
                <a:schemeClr val="accent6"/>
              </a:solidFill>
              <a:round/>
            </a:ln>
            <a:effectLst/>
          </c:spPr>
          <c:marker>
            <c:symbol val="circle"/>
            <c:size val="5"/>
            <c:spPr>
              <a:solidFill>
                <a:srgbClr val="0070C0"/>
              </a:solidFill>
              <a:ln w="50800">
                <a:solidFill>
                  <a:srgbClr val="0070C0"/>
                </a:solidFill>
              </a:ln>
              <a:effectLst/>
            </c:spPr>
          </c:marker>
          <c:dLbls>
            <c:dLbl>
              <c:idx val="0"/>
              <c:layout>
                <c:manualLayout>
                  <c:x val="-6.7489634619174774E-2"/>
                  <c:y val="-4.745710285451825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A-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extLst xmlns:c15="http://schemas.microsoft.com/office/drawing/2012/chart"/>
            </c:numRef>
          </c:xVal>
          <c:yVal>
            <c:numRef>
              <c:f>Dummies!$C$5</c:f>
              <c:numCache>
                <c:formatCode>0.0</c:formatCode>
                <c:ptCount val="1"/>
                <c:pt idx="0">
                  <c:v>47.9</c:v>
                </c:pt>
              </c:numCache>
              <c:extLst xmlns:c15="http://schemas.microsoft.com/office/drawing/2012/chart"/>
            </c:numRef>
          </c:yVal>
          <c:smooth val="0"/>
          <c:extLst>
            <c:ext xmlns:c16="http://schemas.microsoft.com/office/drawing/2014/chart" uri="{C3380CC4-5D6E-409C-BE32-E72D297353CC}">
              <c16:uniqueId val="{0000000B-658A-4ABC-B0CC-692061440AF2}"/>
            </c:ext>
          </c:extLst>
        </c:ser>
        <c:ser>
          <c:idx val="6"/>
          <c:order val="6"/>
          <c:tx>
            <c:v>Q1-E</c:v>
          </c:tx>
          <c:spPr>
            <a:ln w="19050" cap="rnd">
              <a:solidFill>
                <a:schemeClr val="accent1">
                  <a:lumMod val="60000"/>
                </a:schemeClr>
              </a:solidFill>
              <a:round/>
            </a:ln>
            <a:effectLst/>
          </c:spPr>
          <c:marker>
            <c:symbol val="circle"/>
            <c:size val="5"/>
            <c:spPr>
              <a:solidFill>
                <a:schemeClr val="accent1">
                  <a:lumMod val="60000"/>
                </a:schemeClr>
              </a:solidFill>
              <a:ln w="44450">
                <a:solidFill>
                  <a:schemeClr val="accent1">
                    <a:lumMod val="60000"/>
                  </a:schemeClr>
                </a:solidFill>
              </a:ln>
              <a:effectLst/>
            </c:spPr>
          </c:marker>
          <c:dLbls>
            <c:dLbl>
              <c:idx val="0"/>
              <c:layout>
                <c:manualLayout>
                  <c:x val="-6.74913348490883E-2"/>
                  <c:y val="3.708241632860775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C-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Dummies!$B$5</c:f>
              <c:numCache>
                <c:formatCode>0.0</c:formatCode>
                <c:ptCount val="1"/>
                <c:pt idx="0">
                  <c:v>74</c:v>
                </c:pt>
              </c:numCache>
              <c:extLst xmlns:c15="http://schemas.microsoft.com/office/drawing/2012/chart"/>
            </c:numRef>
          </c:xVal>
          <c:yVal>
            <c:numRef>
              <c:f>Dummies!$D$5</c:f>
              <c:numCache>
                <c:formatCode>0.0</c:formatCode>
                <c:ptCount val="1"/>
                <c:pt idx="0">
                  <c:v>29.8</c:v>
                </c:pt>
              </c:numCache>
              <c:extLst xmlns:c15="http://schemas.microsoft.com/office/drawing/2012/chart"/>
            </c:numRef>
          </c:yVal>
          <c:smooth val="0"/>
          <c:extLst>
            <c:ext xmlns:c16="http://schemas.microsoft.com/office/drawing/2014/chart" uri="{C3380CC4-5D6E-409C-BE32-E72D297353CC}">
              <c16:uniqueId val="{0000000D-658A-4ABC-B0CC-692061440AF2}"/>
            </c:ext>
          </c:extLst>
        </c:ser>
        <c:ser>
          <c:idx val="7"/>
          <c:order val="7"/>
          <c:tx>
            <c:v>Q1.5-B</c:v>
          </c:tx>
          <c:spPr>
            <a:ln w="19050" cap="rnd">
              <a:solidFill>
                <a:schemeClr val="accent2">
                  <a:lumMod val="60000"/>
                </a:schemeClr>
              </a:solidFill>
              <a:round/>
            </a:ln>
            <a:effectLst/>
          </c:spPr>
          <c:marker>
            <c:symbol val="circle"/>
            <c:size val="5"/>
            <c:spPr>
              <a:solidFill>
                <a:schemeClr val="accent2">
                  <a:lumMod val="60000"/>
                </a:schemeClr>
              </a:solidFill>
              <a:ln w="50800">
                <a:solidFill>
                  <a:srgbClr val="0070C0"/>
                </a:solidFill>
              </a:ln>
              <a:effectLst/>
            </c:spPr>
          </c:marker>
          <c:dLbls>
            <c:dLbl>
              <c:idx val="0"/>
              <c:layout>
                <c:manualLayout>
                  <c:x val="-9.8967549553555054E-3"/>
                  <c:y val="4.891859099050516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E-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extLst xmlns:c15="http://schemas.microsoft.com/office/drawing/2012/chart"/>
            </c:numRef>
          </c:xVal>
          <c:yVal>
            <c:numRef>
              <c:f>Dummies!$C$7</c:f>
              <c:numCache>
                <c:formatCode>0.0</c:formatCode>
                <c:ptCount val="1"/>
                <c:pt idx="0">
                  <c:v>49.9</c:v>
                </c:pt>
              </c:numCache>
              <c:extLst xmlns:c15="http://schemas.microsoft.com/office/drawing/2012/chart"/>
            </c:numRef>
          </c:yVal>
          <c:smooth val="0"/>
          <c:extLst>
            <c:ext xmlns:c16="http://schemas.microsoft.com/office/drawing/2014/chart" uri="{C3380CC4-5D6E-409C-BE32-E72D297353CC}">
              <c16:uniqueId val="{0000000F-658A-4ABC-B0CC-692061440AF2}"/>
            </c:ext>
          </c:extLst>
        </c:ser>
        <c:ser>
          <c:idx val="8"/>
          <c:order val="8"/>
          <c:tx>
            <c:v>Q1.5-E</c:v>
          </c:tx>
          <c:spPr>
            <a:ln w="19050" cap="rnd">
              <a:solidFill>
                <a:schemeClr val="accent3">
                  <a:lumMod val="60000"/>
                </a:schemeClr>
              </a:solidFill>
              <a:round/>
            </a:ln>
            <a:effectLst/>
          </c:spPr>
          <c:marker>
            <c:symbol val="circle"/>
            <c:size val="5"/>
            <c:spPr>
              <a:solidFill>
                <a:schemeClr val="accent3">
                  <a:lumMod val="60000"/>
                </a:schemeClr>
              </a:solidFill>
              <a:ln w="50800">
                <a:solidFill>
                  <a:srgbClr val="0070C0"/>
                </a:solidFill>
              </a:ln>
              <a:effectLst/>
            </c:spPr>
          </c:marker>
          <c:dLbls>
            <c:dLbl>
              <c:idx val="0"/>
              <c:layout>
                <c:manualLayout>
                  <c:x val="-1.7544247420857553E-2"/>
                  <c:y val="-4.076543413060954E-2"/>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ln w="3175">
                        <a:noFill/>
                      </a:ln>
                      <a:solidFill>
                        <a:srgbClr val="0070C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15:layout>
                    <c:manualLayout>
                      <c:w val="5.4648081453481212E-2"/>
                      <c:h val="2.598614848677441E-2"/>
                    </c:manualLayout>
                  </c15:layout>
                </c:ext>
                <c:ext xmlns:c16="http://schemas.microsoft.com/office/drawing/2014/chart" uri="{C3380CC4-5D6E-409C-BE32-E72D297353CC}">
                  <c16:uniqueId val="{00000010-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ln w="3175">
                      <a:noFill/>
                    </a:ln>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Dummies!$B$7</c:f>
              <c:numCache>
                <c:formatCode>0.0</c:formatCode>
                <c:ptCount val="1"/>
                <c:pt idx="0">
                  <c:v>80</c:v>
                </c:pt>
              </c:numCache>
              <c:extLst xmlns:c15="http://schemas.microsoft.com/office/drawing/2012/chart"/>
            </c:numRef>
          </c:xVal>
          <c:yVal>
            <c:numRef>
              <c:f>Dummies!$D$7</c:f>
              <c:numCache>
                <c:formatCode>0.0</c:formatCode>
                <c:ptCount val="1"/>
                <c:pt idx="0">
                  <c:v>30.9</c:v>
                </c:pt>
              </c:numCache>
              <c:extLst xmlns:c15="http://schemas.microsoft.com/office/drawing/2012/chart"/>
            </c:numRef>
          </c:yVal>
          <c:smooth val="0"/>
          <c:extLst>
            <c:ext xmlns:c16="http://schemas.microsoft.com/office/drawing/2014/chart" uri="{C3380CC4-5D6E-409C-BE32-E72D297353CC}">
              <c16:uniqueId val="{00000011-658A-4ABC-B0CC-692061440AF2}"/>
            </c:ext>
          </c:extLst>
        </c:ser>
        <c:ser>
          <c:idx val="9"/>
          <c:order val="9"/>
          <c:tx>
            <c:v>Q3-B</c:v>
          </c:tx>
          <c:spPr>
            <a:ln w="19050" cap="rnd">
              <a:solidFill>
                <a:schemeClr val="accent4">
                  <a:lumMod val="60000"/>
                </a:schemeClr>
              </a:solidFill>
              <a:round/>
            </a:ln>
            <a:effectLst/>
          </c:spPr>
          <c:marker>
            <c:symbol val="circle"/>
            <c:size val="5"/>
            <c:spPr>
              <a:solidFill>
                <a:schemeClr val="accent4">
                  <a:lumMod val="60000"/>
                </a:schemeClr>
              </a:solidFill>
              <a:ln w="50800">
                <a:solidFill>
                  <a:srgbClr val="0070C0"/>
                </a:solidFill>
              </a:ln>
              <a:effectLst/>
            </c:spPr>
          </c:marker>
          <c:dLbls>
            <c:dLbl>
              <c:idx val="0"/>
              <c:layout>
                <c:manualLayout>
                  <c:x val="-2.1575228006571186E-2"/>
                  <c:y val="4.300040586549674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2-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extLst xmlns:c15="http://schemas.microsoft.com/office/drawing/2012/chart"/>
            </c:numRef>
          </c:xVal>
          <c:yVal>
            <c:numRef>
              <c:f>Dummies!$C$9</c:f>
              <c:numCache>
                <c:formatCode>0.0</c:formatCode>
                <c:ptCount val="1"/>
                <c:pt idx="0">
                  <c:v>54.4</c:v>
                </c:pt>
              </c:numCache>
              <c:extLst xmlns:c15="http://schemas.microsoft.com/office/drawing/2012/chart"/>
            </c:numRef>
          </c:yVal>
          <c:smooth val="0"/>
          <c:extLst>
            <c:ext xmlns:c16="http://schemas.microsoft.com/office/drawing/2014/chart" uri="{C3380CC4-5D6E-409C-BE32-E72D297353CC}">
              <c16:uniqueId val="{00000013-658A-4ABC-B0CC-692061440AF2}"/>
            </c:ext>
          </c:extLst>
        </c:ser>
        <c:ser>
          <c:idx val="10"/>
          <c:order val="10"/>
          <c:tx>
            <c:v>Q3-E</c:v>
          </c:tx>
          <c:spPr>
            <a:ln w="19050" cap="rnd">
              <a:solidFill>
                <a:schemeClr val="accent5">
                  <a:lumMod val="60000"/>
                </a:schemeClr>
              </a:solidFill>
              <a:round/>
            </a:ln>
            <a:effectLst/>
          </c:spPr>
          <c:marker>
            <c:symbol val="circle"/>
            <c:size val="5"/>
            <c:spPr>
              <a:solidFill>
                <a:srgbClr val="0070C0"/>
              </a:solidFill>
              <a:ln w="50800">
                <a:solidFill>
                  <a:srgbClr val="0070C0"/>
                </a:solidFill>
              </a:ln>
              <a:effectLst/>
            </c:spPr>
          </c:marker>
          <c:dLbls>
            <c:dLbl>
              <c:idx val="0"/>
              <c:layout>
                <c:manualLayout>
                  <c:x val="-1.9780348949187107E-2"/>
                  <c:y val="-7.4112602082867685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4-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Dummies!$B$9</c:f>
              <c:numCache>
                <c:formatCode>0.0</c:formatCode>
                <c:ptCount val="1"/>
                <c:pt idx="0">
                  <c:v>98.5</c:v>
                </c:pt>
              </c:numCache>
              <c:extLst xmlns:c15="http://schemas.microsoft.com/office/drawing/2012/chart"/>
            </c:numRef>
          </c:xVal>
          <c:yVal>
            <c:numRef>
              <c:f>Dummies!$D$9</c:f>
              <c:numCache>
                <c:formatCode>0.0</c:formatCode>
                <c:ptCount val="1"/>
                <c:pt idx="0">
                  <c:v>32.9</c:v>
                </c:pt>
              </c:numCache>
              <c:extLst xmlns:c15="http://schemas.microsoft.com/office/drawing/2012/chart"/>
            </c:numRef>
          </c:yVal>
          <c:smooth val="0"/>
          <c:extLst>
            <c:ext xmlns:c16="http://schemas.microsoft.com/office/drawing/2014/chart" uri="{C3380CC4-5D6E-409C-BE32-E72D297353CC}">
              <c16:uniqueId val="{00000015-658A-4ABC-B0CC-692061440AF2}"/>
            </c:ext>
          </c:extLst>
        </c:ser>
        <c:ser>
          <c:idx val="11"/>
          <c:order val="11"/>
          <c:tx>
            <c:v>CRABI 12-B</c:v>
          </c:tx>
          <c:spPr>
            <a:ln w="19050" cap="rnd">
              <a:solidFill>
                <a:schemeClr val="accent6">
                  <a:lumMod val="60000"/>
                </a:schemeClr>
              </a:solidFill>
              <a:round/>
            </a:ln>
            <a:effectLst/>
          </c:spPr>
          <c:marker>
            <c:symbol val="circle"/>
            <c:size val="5"/>
            <c:spPr>
              <a:solidFill>
                <a:srgbClr val="FF0000"/>
              </a:solidFill>
              <a:ln w="50800">
                <a:solidFill>
                  <a:srgbClr val="FF0000"/>
                </a:solidFill>
              </a:ln>
              <a:effectLst/>
            </c:spPr>
          </c:marker>
          <c:dLbls>
            <c:dLbl>
              <c:idx val="0"/>
              <c:layout>
                <c:manualLayout>
                  <c:x val="-4.6785509903910054E-2"/>
                  <c:y val="4.300097055138173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6-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extLst xmlns:c15="http://schemas.microsoft.com/office/drawing/2012/chart"/>
            </c:numRef>
          </c:xVal>
          <c:yVal>
            <c:numRef>
              <c:f>Dummies!$C$6</c:f>
              <c:numCache>
                <c:formatCode>0.0</c:formatCode>
                <c:ptCount val="1"/>
                <c:pt idx="0">
                  <c:v>48</c:v>
                </c:pt>
              </c:numCache>
              <c:extLst xmlns:c15="http://schemas.microsoft.com/office/drawing/2012/chart"/>
            </c:numRef>
          </c:yVal>
          <c:smooth val="0"/>
          <c:extLst>
            <c:ext xmlns:c16="http://schemas.microsoft.com/office/drawing/2014/chart" uri="{C3380CC4-5D6E-409C-BE32-E72D297353CC}">
              <c16:uniqueId val="{00000017-658A-4ABC-B0CC-692061440AF2}"/>
            </c:ext>
          </c:extLst>
        </c:ser>
        <c:ser>
          <c:idx val="12"/>
          <c:order val="12"/>
          <c:tx>
            <c:v>3yr-B</c:v>
          </c:tx>
          <c:spPr>
            <a:ln w="19050" cap="rnd">
              <a:solidFill>
                <a:schemeClr val="accent1">
                  <a:lumMod val="80000"/>
                  <a:lumOff val="20000"/>
                </a:schemeClr>
              </a:solidFill>
              <a:round/>
            </a:ln>
            <a:effectLst/>
          </c:spPr>
          <c:marker>
            <c:symbol val="circle"/>
            <c:size val="5"/>
            <c:spPr>
              <a:solidFill>
                <a:srgbClr val="FF0000"/>
              </a:solidFill>
              <a:ln w="50800">
                <a:solidFill>
                  <a:srgbClr val="FF0000"/>
                </a:solidFill>
              </a:ln>
              <a:effectLst/>
            </c:spPr>
          </c:marker>
          <c:dLbls>
            <c:dLbl>
              <c:idx val="0"/>
              <c:layout>
                <c:manualLayout>
                  <c:x val="-4.0499759913367621E-2"/>
                  <c:y val="4.1523608093336342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8-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extLst xmlns:c15="http://schemas.microsoft.com/office/drawing/2012/chart"/>
            </c:numRef>
          </c:xVal>
          <c:yVal>
            <c:numRef>
              <c:f>Dummies!$C$10</c:f>
              <c:numCache>
                <c:formatCode>0.0</c:formatCode>
                <c:ptCount val="1"/>
                <c:pt idx="0">
                  <c:v>54.6</c:v>
                </c:pt>
              </c:numCache>
              <c:extLst xmlns:c15="http://schemas.microsoft.com/office/drawing/2012/chart"/>
            </c:numRef>
          </c:yVal>
          <c:smooth val="0"/>
          <c:extLst>
            <c:ext xmlns:c16="http://schemas.microsoft.com/office/drawing/2014/chart" uri="{C3380CC4-5D6E-409C-BE32-E72D297353CC}">
              <c16:uniqueId val="{00000019-658A-4ABC-B0CC-692061440AF2}"/>
            </c:ext>
          </c:extLst>
        </c:ser>
        <c:ser>
          <c:idx val="13"/>
          <c:order val="13"/>
          <c:tx>
            <c:v>CRABI 12-E</c:v>
          </c:tx>
          <c:spPr>
            <a:ln w="19050" cap="rnd">
              <a:solidFill>
                <a:schemeClr val="accent2">
                  <a:lumMod val="80000"/>
                  <a:lumOff val="20000"/>
                </a:schemeClr>
              </a:solidFill>
              <a:round/>
            </a:ln>
            <a:effectLst/>
          </c:spPr>
          <c:marker>
            <c:symbol val="circle"/>
            <c:size val="5"/>
            <c:spPr>
              <a:solidFill>
                <a:srgbClr val="FF0000"/>
              </a:solidFill>
              <a:ln w="50800">
                <a:solidFill>
                  <a:srgbClr val="FF0000"/>
                </a:solidFill>
              </a:ln>
              <a:effectLst/>
            </c:spPr>
          </c:marker>
          <c:dLbls>
            <c:dLbl>
              <c:idx val="0"/>
              <c:layout>
                <c:manualLayout>
                  <c:x val="-4.7702004670248231E-2"/>
                  <c:y val="-4.300890771241097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A-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Dummies!$B$6</c:f>
              <c:numCache>
                <c:formatCode>0.0</c:formatCode>
                <c:ptCount val="1"/>
                <c:pt idx="0">
                  <c:v>74.7</c:v>
                </c:pt>
              </c:numCache>
              <c:extLst xmlns:c15="http://schemas.microsoft.com/office/drawing/2012/chart"/>
            </c:numRef>
          </c:xVal>
          <c:yVal>
            <c:numRef>
              <c:f>Dummies!$D$6</c:f>
              <c:numCache>
                <c:formatCode>0.0</c:formatCode>
                <c:ptCount val="1"/>
                <c:pt idx="0">
                  <c:v>30.7</c:v>
                </c:pt>
              </c:numCache>
              <c:extLst xmlns:c15="http://schemas.microsoft.com/office/drawing/2012/chart"/>
            </c:numRef>
          </c:yVal>
          <c:smooth val="0"/>
          <c:extLst>
            <c:ext xmlns:c16="http://schemas.microsoft.com/office/drawing/2014/chart" uri="{C3380CC4-5D6E-409C-BE32-E72D297353CC}">
              <c16:uniqueId val="{0000001B-658A-4ABC-B0CC-692061440AF2}"/>
            </c:ext>
          </c:extLst>
        </c:ser>
        <c:ser>
          <c:idx val="14"/>
          <c:order val="14"/>
          <c:tx>
            <c:v>3yr-E</c:v>
          </c:tx>
          <c:spPr>
            <a:ln w="19050" cap="rnd">
              <a:solidFill>
                <a:schemeClr val="accent3">
                  <a:lumMod val="80000"/>
                  <a:lumOff val="20000"/>
                </a:schemeClr>
              </a:solidFill>
              <a:round/>
            </a:ln>
            <a:effectLst/>
          </c:spPr>
          <c:marker>
            <c:symbol val="circle"/>
            <c:size val="5"/>
            <c:spPr>
              <a:solidFill>
                <a:srgbClr val="FF0000"/>
              </a:solidFill>
              <a:ln w="50800">
                <a:solidFill>
                  <a:srgbClr val="FF0000"/>
                </a:solidFill>
              </a:ln>
              <a:effectLst/>
            </c:spPr>
          </c:marker>
          <c:dLbls>
            <c:dLbl>
              <c:idx val="0"/>
              <c:layout>
                <c:manualLayout>
                  <c:x val="-3.9587019821422022E-2"/>
                  <c:y val="-6.374240644217346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C-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Dummies!$B$10</c:f>
              <c:numCache>
                <c:formatCode>0.0</c:formatCode>
                <c:ptCount val="1"/>
                <c:pt idx="0">
                  <c:v>94.5</c:v>
                </c:pt>
              </c:numCache>
              <c:extLst xmlns:c15="http://schemas.microsoft.com/office/drawing/2012/chart"/>
            </c:numRef>
          </c:xVal>
          <c:yVal>
            <c:numRef>
              <c:f>Dummies!$D$10</c:f>
              <c:numCache>
                <c:formatCode>0.0</c:formatCode>
                <c:ptCount val="1"/>
                <c:pt idx="0">
                  <c:v>35.9</c:v>
                </c:pt>
              </c:numCache>
              <c:extLst xmlns:c15="http://schemas.microsoft.com/office/drawing/2012/chart"/>
            </c:numRef>
          </c:yVal>
          <c:smooth val="0"/>
          <c:extLst>
            <c:ext xmlns:c16="http://schemas.microsoft.com/office/drawing/2014/chart" uri="{C3380CC4-5D6E-409C-BE32-E72D297353CC}">
              <c16:uniqueId val="{0000001D-658A-4ABC-B0CC-692061440AF2}"/>
            </c:ext>
          </c:extLst>
        </c:ser>
        <c:ser>
          <c:idx val="15"/>
          <c:order val="15"/>
          <c:tx>
            <c:v>6yr-E</c:v>
          </c:tx>
          <c:spPr>
            <a:ln w="19050" cap="rnd">
              <a:solidFill>
                <a:schemeClr val="accent4">
                  <a:lumMod val="80000"/>
                  <a:lumOff val="20000"/>
                </a:schemeClr>
              </a:solidFill>
              <a:round/>
            </a:ln>
            <a:effectLst/>
          </c:spPr>
          <c:marker>
            <c:symbol val="circle"/>
            <c:size val="5"/>
            <c:spPr>
              <a:solidFill>
                <a:srgbClr val="FF0000"/>
              </a:solidFill>
              <a:ln w="50800">
                <a:solidFill>
                  <a:srgbClr val="FF0000"/>
                </a:solidFill>
              </a:ln>
              <a:effectLst/>
            </c:spPr>
          </c:marker>
          <c:dLbls>
            <c:dLbl>
              <c:idx val="0"/>
              <c:layout>
                <c:manualLayout>
                  <c:x val="2.6991149878240967E-3"/>
                  <c:y val="-7.115431416800757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1E-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Dummies!$B$12</c:f>
              <c:numCache>
                <c:formatCode>0.0</c:formatCode>
                <c:ptCount val="1"/>
                <c:pt idx="0">
                  <c:v>114.5</c:v>
                </c:pt>
              </c:numCache>
              <c:extLst xmlns:c15="http://schemas.microsoft.com/office/drawing/2012/chart"/>
            </c:numRef>
          </c:xVal>
          <c:yVal>
            <c:numRef>
              <c:f>Dummies!$D$12</c:f>
              <c:numCache>
                <c:formatCode>0.0</c:formatCode>
                <c:ptCount val="1"/>
                <c:pt idx="0">
                  <c:v>39.25</c:v>
                </c:pt>
              </c:numCache>
              <c:extLst xmlns:c15="http://schemas.microsoft.com/office/drawing/2012/chart"/>
            </c:numRef>
          </c:yVal>
          <c:smooth val="0"/>
          <c:extLst>
            <c:ext xmlns:c16="http://schemas.microsoft.com/office/drawing/2014/chart" uri="{C3380CC4-5D6E-409C-BE32-E72D297353CC}">
              <c16:uniqueId val="{0000001F-658A-4ABC-B0CC-692061440AF2}"/>
            </c:ext>
          </c:extLst>
        </c:ser>
        <c:ser>
          <c:idx val="16"/>
          <c:order val="16"/>
          <c:tx>
            <c:v>6yr-B</c:v>
          </c:tx>
          <c:spPr>
            <a:ln w="19050" cap="rnd">
              <a:solidFill>
                <a:schemeClr val="accent5">
                  <a:lumMod val="80000"/>
                  <a:lumOff val="20000"/>
                </a:schemeClr>
              </a:solidFill>
              <a:round/>
            </a:ln>
            <a:effectLst/>
          </c:spPr>
          <c:marker>
            <c:symbol val="circle"/>
            <c:size val="5"/>
            <c:spPr>
              <a:solidFill>
                <a:srgbClr val="FF0000"/>
              </a:solidFill>
              <a:ln w="50800">
                <a:solidFill>
                  <a:srgbClr val="FF0000"/>
                </a:solidFill>
              </a:ln>
              <a:effectLst/>
            </c:spPr>
          </c:marker>
          <c:dLbls>
            <c:dLbl>
              <c:idx val="0"/>
              <c:layout>
                <c:manualLayout>
                  <c:x val="3.5988199837655062E-3"/>
                  <c:y val="6.2260024897006584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0-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Dummies!$B$12</c:f>
              <c:numCache>
                <c:formatCode>0.0</c:formatCode>
                <c:ptCount val="1"/>
                <c:pt idx="0">
                  <c:v>114.5</c:v>
                </c:pt>
              </c:numCache>
              <c:extLst xmlns:c15="http://schemas.microsoft.com/office/drawing/2012/chart"/>
            </c:numRef>
          </c:xVal>
          <c:yVal>
            <c:numRef>
              <c:f>Dummies!$C$12</c:f>
              <c:numCache>
                <c:formatCode>0.0</c:formatCode>
                <c:ptCount val="1"/>
                <c:pt idx="0">
                  <c:v>63.5</c:v>
                </c:pt>
              </c:numCache>
              <c:extLst xmlns:c15="http://schemas.microsoft.com/office/drawing/2012/chart"/>
            </c:numRef>
          </c:yVal>
          <c:smooth val="0"/>
          <c:extLst>
            <c:ext xmlns:c16="http://schemas.microsoft.com/office/drawing/2014/chart" uri="{C3380CC4-5D6E-409C-BE32-E72D297353CC}">
              <c16:uniqueId val="{00000021-658A-4ABC-B0CC-692061440AF2}"/>
            </c:ext>
          </c:extLst>
        </c:ser>
        <c:ser>
          <c:idx val="17"/>
          <c:order val="17"/>
          <c:tx>
            <c:v>Q6-B</c:v>
          </c:tx>
          <c:spPr>
            <a:ln w="19050" cap="rnd">
              <a:solidFill>
                <a:schemeClr val="accent6">
                  <a:lumMod val="80000"/>
                  <a:lumOff val="20000"/>
                </a:schemeClr>
              </a:solidFill>
              <a:round/>
            </a:ln>
            <a:effectLst/>
          </c:spPr>
          <c:marker>
            <c:symbol val="circle"/>
            <c:size val="5"/>
            <c:spPr>
              <a:solidFill>
                <a:srgbClr val="0070C0"/>
              </a:solidFill>
              <a:ln w="50800">
                <a:solidFill>
                  <a:srgbClr val="0070C0"/>
                </a:solidFill>
              </a:ln>
              <a:effectLst/>
            </c:spPr>
          </c:marker>
          <c:dLbls>
            <c:dLbl>
              <c:idx val="0"/>
              <c:layout>
                <c:manualLayout>
                  <c:x val="-3.598819983765638E-2"/>
                  <c:y val="4.447144635500464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2-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Dummies!$B$11</c:f>
              <c:numCache>
                <c:formatCode>0.0</c:formatCode>
                <c:ptCount val="1"/>
                <c:pt idx="0">
                  <c:v>114.3</c:v>
                </c:pt>
              </c:numCache>
              <c:extLst xmlns:c15="http://schemas.microsoft.com/office/drawing/2012/chart"/>
            </c:numRef>
          </c:xVal>
          <c:yVal>
            <c:numRef>
              <c:f>Dummies!$C$11</c:f>
              <c:numCache>
                <c:formatCode>0.0</c:formatCode>
                <c:ptCount val="1"/>
                <c:pt idx="0">
                  <c:v>60.1</c:v>
                </c:pt>
              </c:numCache>
              <c:extLst xmlns:c15="http://schemas.microsoft.com/office/drawing/2012/chart"/>
            </c:numRef>
          </c:yVal>
          <c:smooth val="0"/>
          <c:extLst>
            <c:ext xmlns:c16="http://schemas.microsoft.com/office/drawing/2014/chart" uri="{C3380CC4-5D6E-409C-BE32-E72D297353CC}">
              <c16:uniqueId val="{00000023-658A-4ABC-B0CC-692061440AF2}"/>
            </c:ext>
          </c:extLst>
        </c:ser>
        <c:ser>
          <c:idx val="18"/>
          <c:order val="18"/>
          <c:tx>
            <c:v>Q6-E</c:v>
          </c:tx>
          <c:spPr>
            <a:ln w="19050" cap="rnd">
              <a:solidFill>
                <a:schemeClr val="accent1">
                  <a:lumMod val="80000"/>
                </a:schemeClr>
              </a:solidFill>
              <a:round/>
            </a:ln>
            <a:effectLst/>
          </c:spPr>
          <c:marker>
            <c:symbol val="circle"/>
            <c:size val="5"/>
            <c:spPr>
              <a:solidFill>
                <a:srgbClr val="0070C0"/>
              </a:solidFill>
              <a:ln w="50800">
                <a:solidFill>
                  <a:srgbClr val="0070C0"/>
                </a:solidFill>
              </a:ln>
              <a:effectLst/>
            </c:spPr>
          </c:marker>
          <c:dLbls>
            <c:dLbl>
              <c:idx val="0"/>
              <c:layout>
                <c:manualLayout>
                  <c:x val="-3.598819983765638E-2"/>
                  <c:y val="-8.894289271000940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4-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Dummies!$B$11</c:f>
              <c:numCache>
                <c:formatCode>0.0</c:formatCode>
                <c:ptCount val="1"/>
                <c:pt idx="0">
                  <c:v>114.3</c:v>
                </c:pt>
              </c:numCache>
              <c:extLst xmlns:c15="http://schemas.microsoft.com/office/drawing/2012/chart"/>
            </c:numRef>
          </c:xVal>
          <c:yVal>
            <c:numRef>
              <c:f>Dummies!$D$11</c:f>
              <c:numCache>
                <c:formatCode>0.0</c:formatCode>
                <c:ptCount val="1"/>
                <c:pt idx="0">
                  <c:v>36.200000000000003</c:v>
                </c:pt>
              </c:numCache>
              <c:extLst xmlns:c15="http://schemas.microsoft.com/office/drawing/2012/chart"/>
            </c:numRef>
          </c:yVal>
          <c:smooth val="0"/>
          <c:extLst>
            <c:ext xmlns:c16="http://schemas.microsoft.com/office/drawing/2014/chart" uri="{C3380CC4-5D6E-409C-BE32-E72D297353CC}">
              <c16:uniqueId val="{00000025-658A-4ABC-B0CC-692061440AF2}"/>
            </c:ext>
          </c:extLst>
        </c:ser>
        <c:ser>
          <c:idx val="19"/>
          <c:order val="19"/>
          <c:tx>
            <c:v>6yr wtd-B</c:v>
          </c:tx>
          <c:spPr>
            <a:ln w="19050" cap="rnd">
              <a:solidFill>
                <a:schemeClr val="accent2">
                  <a:lumMod val="80000"/>
                </a:schemeClr>
              </a:solidFill>
              <a:round/>
            </a:ln>
            <a:effectLst/>
          </c:spPr>
          <c:marker>
            <c:symbol val="circle"/>
            <c:size val="5"/>
            <c:spPr>
              <a:solidFill>
                <a:srgbClr val="FF0000"/>
              </a:solidFill>
              <a:ln w="50800">
                <a:solidFill>
                  <a:srgbClr val="FF0000"/>
                </a:solidFill>
              </a:ln>
              <a:effectLst/>
            </c:spPr>
          </c:marker>
          <c:dLbls>
            <c:dLbl>
              <c:idx val="0"/>
              <c:layout>
                <c:manualLayout>
                  <c:x val="4.4985249797070475E-3"/>
                  <c:y val="2.8165249358169591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6-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Dummies!$B$13</c:f>
              <c:numCache>
                <c:formatCode>0.0</c:formatCode>
                <c:ptCount val="1"/>
                <c:pt idx="0">
                  <c:v>115.25</c:v>
                </c:pt>
              </c:numCache>
              <c:extLst xmlns:c15="http://schemas.microsoft.com/office/drawing/2012/chart"/>
            </c:numRef>
          </c:xVal>
          <c:yVal>
            <c:numRef>
              <c:f>Dummies!$C$13</c:f>
              <c:numCache>
                <c:formatCode>0.0</c:formatCode>
                <c:ptCount val="1"/>
                <c:pt idx="0">
                  <c:v>64.25</c:v>
                </c:pt>
              </c:numCache>
              <c:extLst xmlns:c15="http://schemas.microsoft.com/office/drawing/2012/chart"/>
            </c:numRef>
          </c:yVal>
          <c:smooth val="0"/>
          <c:extLst>
            <c:ext xmlns:c16="http://schemas.microsoft.com/office/drawing/2014/chart" uri="{C3380CC4-5D6E-409C-BE32-E72D297353CC}">
              <c16:uniqueId val="{00000027-658A-4ABC-B0CC-692061440AF2}"/>
            </c:ext>
          </c:extLst>
        </c:ser>
        <c:ser>
          <c:idx val="20"/>
          <c:order val="20"/>
          <c:tx>
            <c:v>6yr wtd-E</c:v>
          </c:tx>
          <c:spPr>
            <a:ln w="19050" cap="rnd">
              <a:solidFill>
                <a:schemeClr val="accent3">
                  <a:lumMod val="80000"/>
                </a:schemeClr>
              </a:solidFill>
              <a:round/>
            </a:ln>
            <a:effectLst/>
          </c:spPr>
          <c:marker>
            <c:symbol val="circle"/>
            <c:size val="5"/>
            <c:spPr>
              <a:solidFill>
                <a:srgbClr val="FF0000"/>
              </a:solidFill>
              <a:ln w="50800">
                <a:solidFill>
                  <a:srgbClr val="FF0000"/>
                </a:solidFill>
              </a:ln>
              <a:effectLst/>
            </c:spPr>
          </c:marker>
          <c:dLbls>
            <c:dLbl>
              <c:idx val="0"/>
              <c:layout>
                <c:manualLayout>
                  <c:x val="7.1976399675312761E-3"/>
                  <c:y val="-3.557715708400381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8-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Dummies!$B$13</c:f>
              <c:numCache>
                <c:formatCode>0.0</c:formatCode>
                <c:ptCount val="1"/>
                <c:pt idx="0">
                  <c:v>115.25</c:v>
                </c:pt>
              </c:numCache>
              <c:extLst xmlns:c15="http://schemas.microsoft.com/office/drawing/2012/chart"/>
            </c:numRef>
          </c:xVal>
          <c:yVal>
            <c:numRef>
              <c:f>Dummies!$D$13</c:f>
              <c:numCache>
                <c:formatCode>0.0</c:formatCode>
                <c:ptCount val="1"/>
                <c:pt idx="0">
                  <c:v>40</c:v>
                </c:pt>
              </c:numCache>
              <c:extLst xmlns:c15="http://schemas.microsoft.com/office/drawing/2012/chart"/>
            </c:numRef>
          </c:yVal>
          <c:smooth val="0"/>
          <c:extLst>
            <c:ext xmlns:c16="http://schemas.microsoft.com/office/drawing/2014/chart" uri="{C3380CC4-5D6E-409C-BE32-E72D297353CC}">
              <c16:uniqueId val="{00000029-658A-4ABC-B0CC-692061440AF2}"/>
            </c:ext>
          </c:extLst>
        </c:ser>
        <c:ser>
          <c:idx val="21"/>
          <c:order val="21"/>
          <c:tx>
            <c:v>10yr-B</c:v>
          </c:tx>
          <c:spPr>
            <a:ln w="19050" cap="rnd">
              <a:solidFill>
                <a:schemeClr val="accent4">
                  <a:lumMod val="80000"/>
                </a:schemeClr>
              </a:solidFill>
              <a:round/>
            </a:ln>
            <a:effectLst/>
          </c:spPr>
          <c:marker>
            <c:symbol val="circle"/>
            <c:size val="5"/>
            <c:spPr>
              <a:solidFill>
                <a:srgbClr val="0070C0"/>
              </a:solidFill>
              <a:ln w="50800">
                <a:solidFill>
                  <a:srgbClr val="0070C0"/>
                </a:solidFill>
              </a:ln>
              <a:effectLst/>
            </c:spPr>
          </c:marker>
          <c:dLbls>
            <c:dLbl>
              <c:idx val="0"/>
              <c:layout>
                <c:manualLayout>
                  <c:x val="1.0771992818671455E-2"/>
                  <c:y val="4.1461008521543108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A-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Dummies!$B$15</c:f>
              <c:numCache>
                <c:formatCode>0.0</c:formatCode>
                <c:ptCount val="1"/>
                <c:pt idx="0">
                  <c:v>144.30000000000001</c:v>
                </c:pt>
              </c:numCache>
              <c:extLst xmlns:c15="http://schemas.microsoft.com/office/drawing/2012/chart"/>
            </c:numRef>
          </c:xVal>
          <c:yVal>
            <c:numRef>
              <c:f>Dummies!$C$15</c:f>
              <c:numCache>
                <c:formatCode>0.0</c:formatCode>
                <c:ptCount val="1"/>
                <c:pt idx="0">
                  <c:v>74.8</c:v>
                </c:pt>
              </c:numCache>
              <c:extLst xmlns:c15="http://schemas.microsoft.com/office/drawing/2012/chart"/>
            </c:numRef>
          </c:yVal>
          <c:smooth val="0"/>
          <c:extLst>
            <c:ext xmlns:c16="http://schemas.microsoft.com/office/drawing/2014/chart" uri="{C3380CC4-5D6E-409C-BE32-E72D297353CC}">
              <c16:uniqueId val="{0000002B-658A-4ABC-B0CC-692061440AF2}"/>
            </c:ext>
          </c:extLst>
        </c:ser>
        <c:ser>
          <c:idx val="22"/>
          <c:order val="22"/>
          <c:tx>
            <c:v>10yr-E</c:v>
          </c:tx>
          <c:spPr>
            <a:ln w="19050" cap="rnd">
              <a:solidFill>
                <a:schemeClr val="accent5">
                  <a:lumMod val="80000"/>
                </a:schemeClr>
              </a:solidFill>
              <a:round/>
            </a:ln>
            <a:effectLst/>
          </c:spPr>
          <c:marker>
            <c:symbol val="circle"/>
            <c:size val="5"/>
            <c:spPr>
              <a:solidFill>
                <a:srgbClr val="0070C0"/>
              </a:solidFill>
              <a:ln w="50800">
                <a:solidFill>
                  <a:srgbClr val="0070C0"/>
                </a:solidFill>
              </a:ln>
              <a:effectLst/>
            </c:spPr>
          </c:marker>
          <c:dLbls>
            <c:dLbl>
              <c:idx val="0"/>
              <c:layout>
                <c:manualLayout>
                  <c:x val="7.1813285457809697E-3"/>
                  <c:y val="-7.1076014608359675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C-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Dummies!$B$15</c:f>
              <c:numCache>
                <c:formatCode>0.0</c:formatCode>
                <c:ptCount val="1"/>
                <c:pt idx="0">
                  <c:v>144.30000000000001</c:v>
                </c:pt>
              </c:numCache>
              <c:extLst xmlns:c15="http://schemas.microsoft.com/office/drawing/2012/chart"/>
            </c:numRef>
          </c:xVal>
          <c:yVal>
            <c:numRef>
              <c:f>Dummies!$D$15</c:f>
              <c:numCache>
                <c:formatCode>0.0</c:formatCode>
                <c:ptCount val="1"/>
                <c:pt idx="0">
                  <c:v>47.3</c:v>
                </c:pt>
              </c:numCache>
              <c:extLst xmlns:c15="http://schemas.microsoft.com/office/drawing/2012/chart"/>
            </c:numRef>
          </c:yVal>
          <c:smooth val="0"/>
          <c:extLst>
            <c:ext xmlns:c16="http://schemas.microsoft.com/office/drawing/2014/chart" uri="{C3380CC4-5D6E-409C-BE32-E72D297353CC}">
              <c16:uniqueId val="{0000002D-658A-4ABC-B0CC-692061440AF2}"/>
            </c:ext>
          </c:extLst>
        </c:ser>
        <c:ser>
          <c:idx val="23"/>
          <c:order val="23"/>
          <c:tx>
            <c:v>Q10-B</c:v>
          </c:tx>
          <c:spPr>
            <a:ln w="19050" cap="rnd">
              <a:solidFill>
                <a:schemeClr val="accent6">
                  <a:lumMod val="80000"/>
                </a:schemeClr>
              </a:solidFill>
              <a:round/>
            </a:ln>
            <a:effectLst/>
          </c:spPr>
          <c:marker>
            <c:symbol val="circle"/>
            <c:size val="5"/>
            <c:spPr>
              <a:solidFill>
                <a:srgbClr val="FF0000"/>
              </a:solidFill>
              <a:ln w="50800">
                <a:solidFill>
                  <a:srgbClr val="FF0000"/>
                </a:solidFill>
              </a:ln>
              <a:effectLst/>
            </c:spPr>
          </c:marker>
          <c:dLbls>
            <c:dLbl>
              <c:idx val="0"/>
              <c:layout>
                <c:manualLayout>
                  <c:x val="2.244165170556553E-2"/>
                  <c:y val="5.33070109562697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2E-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Dummies!$B$14</c:f>
              <c:numCache>
                <c:formatCode>0.0</c:formatCode>
                <c:ptCount val="1"/>
                <c:pt idx="0">
                  <c:v>130</c:v>
                </c:pt>
              </c:numCache>
              <c:extLst xmlns:c15="http://schemas.microsoft.com/office/drawing/2012/chart"/>
            </c:numRef>
          </c:xVal>
          <c:yVal>
            <c:numRef>
              <c:f>Dummies!$C$14</c:f>
              <c:numCache>
                <c:formatCode>0.0</c:formatCode>
                <c:ptCount val="1"/>
                <c:pt idx="0">
                  <c:v>74</c:v>
                </c:pt>
              </c:numCache>
              <c:extLst xmlns:c15="http://schemas.microsoft.com/office/drawing/2012/chart"/>
            </c:numRef>
          </c:yVal>
          <c:smooth val="0"/>
          <c:extLst>
            <c:ext xmlns:c16="http://schemas.microsoft.com/office/drawing/2014/chart" uri="{C3380CC4-5D6E-409C-BE32-E72D297353CC}">
              <c16:uniqueId val="{0000002F-658A-4ABC-B0CC-692061440AF2}"/>
            </c:ext>
          </c:extLst>
        </c:ser>
        <c:ser>
          <c:idx val="24"/>
          <c:order val="24"/>
          <c:tx>
            <c:v>Q10-E</c:v>
          </c:tx>
          <c:spPr>
            <a:ln w="19050" cap="rnd">
              <a:solidFill>
                <a:schemeClr val="accent1">
                  <a:lumMod val="60000"/>
                  <a:lumOff val="40000"/>
                </a:schemeClr>
              </a:solidFill>
              <a:round/>
            </a:ln>
            <a:effectLst/>
          </c:spPr>
          <c:marker>
            <c:symbol val="circle"/>
            <c:size val="5"/>
            <c:spPr>
              <a:solidFill>
                <a:srgbClr val="FF0000"/>
              </a:solidFill>
              <a:ln w="50800">
                <a:solidFill>
                  <a:srgbClr val="FF0000"/>
                </a:solidFill>
              </a:ln>
              <a:effectLst/>
            </c:spPr>
          </c:marker>
          <c:dLbls>
            <c:dLbl>
              <c:idx val="0"/>
              <c:layout>
                <c:manualLayout>
                  <c:x val="2.423698384201077E-2"/>
                  <c:y val="-8.1441266738745396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30-658A-4ABC-B0CC-692061440AF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Dummies!$B$14</c:f>
              <c:numCache>
                <c:formatCode>0.0</c:formatCode>
                <c:ptCount val="1"/>
                <c:pt idx="0">
                  <c:v>130</c:v>
                </c:pt>
              </c:numCache>
              <c:extLst xmlns:c15="http://schemas.microsoft.com/office/drawing/2012/chart"/>
            </c:numRef>
          </c:xVal>
          <c:yVal>
            <c:numRef>
              <c:f>Dummies!$D$14</c:f>
              <c:numCache>
                <c:formatCode>0.0</c:formatCode>
                <c:ptCount val="1"/>
                <c:pt idx="0">
                  <c:v>44.5</c:v>
                </c:pt>
              </c:numCache>
              <c:extLst xmlns:c15="http://schemas.microsoft.com/office/drawing/2012/chart"/>
            </c:numRef>
          </c:yVal>
          <c:smooth val="0"/>
          <c:extLst>
            <c:ext xmlns:c16="http://schemas.microsoft.com/office/drawing/2014/chart" uri="{C3380CC4-5D6E-409C-BE32-E72D297353CC}">
              <c16:uniqueId val="{00000031-658A-4ABC-B0CC-692061440AF2}"/>
            </c:ext>
          </c:extLst>
        </c:ser>
        <c:ser>
          <c:idx val="36"/>
          <c:order val="25"/>
          <c:tx>
            <c:v>B-Kate</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7.8237410071942515E-2"/>
                  <c:y val="-0.1007407407407408"/>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2-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Data'!$C$2</c:f>
              <c:numCache>
                <c:formatCode>General</c:formatCode>
                <c:ptCount val="1"/>
                <c:pt idx="0">
                  <c:v>99.06</c:v>
                </c:pt>
              </c:numCache>
            </c:numRef>
          </c:xVal>
          <c:yVal>
            <c:numRef>
              <c:f>'little Lambs Data'!$F$2</c:f>
              <c:numCache>
                <c:formatCode>General</c:formatCode>
                <c:ptCount val="1"/>
                <c:pt idx="0">
                  <c:v>52.07</c:v>
                </c:pt>
              </c:numCache>
            </c:numRef>
          </c:yVal>
          <c:smooth val="0"/>
          <c:extLst>
            <c:ext xmlns:c16="http://schemas.microsoft.com/office/drawing/2014/chart" uri="{C3380CC4-5D6E-409C-BE32-E72D297353CC}">
              <c16:uniqueId val="{00000033-658A-4ABC-B0CC-692061440AF2}"/>
            </c:ext>
          </c:extLst>
        </c:ser>
        <c:ser>
          <c:idx val="25"/>
          <c:order val="26"/>
          <c:tx>
            <c:v>E-Kate</c:v>
          </c:tx>
          <c:spPr>
            <a:ln w="19050" cap="rnd">
              <a:noFill/>
              <a:round/>
            </a:ln>
            <a:effectLst/>
          </c:spPr>
          <c:marker>
            <c:symbol val="circle"/>
            <c:size val="5"/>
            <c:spPr>
              <a:solidFill>
                <a:schemeClr val="accent2">
                  <a:lumMod val="60000"/>
                  <a:lumOff val="40000"/>
                </a:schemeClr>
              </a:solidFill>
              <a:ln w="50800">
                <a:solidFill>
                  <a:srgbClr val="0070C0"/>
                </a:solidFill>
              </a:ln>
              <a:effectLst/>
            </c:spPr>
          </c:marker>
          <c:dLbls>
            <c:dLbl>
              <c:idx val="0"/>
              <c:layout>
                <c:manualLayout>
                  <c:x val="-0.16098333144508015"/>
                  <c:y val="0.15111111111111111"/>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4-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Data'!$C$2</c:f>
              <c:numCache>
                <c:formatCode>General</c:formatCode>
                <c:ptCount val="1"/>
                <c:pt idx="0">
                  <c:v>99.06</c:v>
                </c:pt>
              </c:numCache>
            </c:numRef>
          </c:xVal>
          <c:yVal>
            <c:numRef>
              <c:f>'little Lambs Data'!$G$2</c:f>
              <c:numCache>
                <c:formatCode>General</c:formatCode>
                <c:ptCount val="1"/>
                <c:pt idx="0">
                  <c:v>31.75</c:v>
                </c:pt>
              </c:numCache>
            </c:numRef>
          </c:yVal>
          <c:smooth val="0"/>
          <c:extLst>
            <c:ext xmlns:c16="http://schemas.microsoft.com/office/drawing/2014/chart" uri="{C3380CC4-5D6E-409C-BE32-E72D297353CC}">
              <c16:uniqueId val="{00000035-658A-4ABC-B0CC-692061440AF2}"/>
            </c:ext>
          </c:extLst>
        </c:ser>
        <c:ser>
          <c:idx val="37"/>
          <c:order val="27"/>
          <c:tx>
            <c:v>B-Jiulianna</c:v>
          </c:tx>
          <c:spPr>
            <a:ln w="19050" cap="rnd">
              <a:noFill/>
              <a:round/>
            </a:ln>
            <a:effectLst/>
          </c:spPr>
          <c:marker>
            <c:symbol val="circle"/>
            <c:size val="5"/>
            <c:spPr>
              <a:solidFill>
                <a:schemeClr val="accent2">
                  <a:lumMod val="70000"/>
                  <a:lumOff val="30000"/>
                </a:schemeClr>
              </a:solidFill>
              <a:ln w="50800">
                <a:solidFill>
                  <a:srgbClr val="00B050"/>
                </a:solidFill>
              </a:ln>
              <a:effectLst/>
            </c:spPr>
          </c:marker>
          <c:dLbls>
            <c:dLbl>
              <c:idx val="0"/>
              <c:layout>
                <c:manualLayout>
                  <c:x val="-9.2625899280575533E-2"/>
                  <c:y val="-0.11703703703703704"/>
                </c:manualLayout>
              </c:layou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36-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Data'!$C$3</c:f>
              <c:numCache>
                <c:formatCode>General</c:formatCode>
                <c:ptCount val="1"/>
                <c:pt idx="0">
                  <c:v>102.87</c:v>
                </c:pt>
              </c:numCache>
            </c:numRef>
          </c:xVal>
          <c:yVal>
            <c:numRef>
              <c:f>'little Lambs Data'!$F$3</c:f>
              <c:numCache>
                <c:formatCode>General</c:formatCode>
                <c:ptCount val="1"/>
                <c:pt idx="0">
                  <c:v>55.88</c:v>
                </c:pt>
              </c:numCache>
            </c:numRef>
          </c:yVal>
          <c:smooth val="0"/>
          <c:extLst>
            <c:ext xmlns:c16="http://schemas.microsoft.com/office/drawing/2014/chart" uri="{C3380CC4-5D6E-409C-BE32-E72D297353CC}">
              <c16:uniqueId val="{00000037-658A-4ABC-B0CC-692061440AF2}"/>
            </c:ext>
          </c:extLst>
        </c:ser>
        <c:ser>
          <c:idx val="26"/>
          <c:order val="28"/>
          <c:tx>
            <c:v>E-Jiulianna</c:v>
          </c:tx>
          <c:spPr>
            <a:ln w="50800" cap="rnd">
              <a:noFill/>
              <a:round/>
            </a:ln>
            <a:effectLst/>
          </c:spPr>
          <c:marker>
            <c:symbol val="circle"/>
            <c:size val="5"/>
            <c:spPr>
              <a:solidFill>
                <a:schemeClr val="accent3">
                  <a:lumMod val="60000"/>
                  <a:lumOff val="40000"/>
                </a:schemeClr>
              </a:solidFill>
              <a:ln w="50800">
                <a:solidFill>
                  <a:srgbClr val="0070C0"/>
                </a:solidFill>
              </a:ln>
              <a:effectLst/>
            </c:spPr>
          </c:marker>
          <c:dLbls>
            <c:dLbl>
              <c:idx val="0"/>
              <c:layout>
                <c:manualLayout>
                  <c:x val="-0.17446581317623072"/>
                  <c:y val="0.1911111111111111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8-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Data'!$C$3</c:f>
              <c:numCache>
                <c:formatCode>General</c:formatCode>
                <c:ptCount val="1"/>
                <c:pt idx="0">
                  <c:v>102.87</c:v>
                </c:pt>
              </c:numCache>
            </c:numRef>
          </c:xVal>
          <c:yVal>
            <c:numRef>
              <c:f>'little Lambs Data'!$G$3</c:f>
              <c:numCache>
                <c:formatCode>General</c:formatCode>
                <c:ptCount val="1"/>
                <c:pt idx="0">
                  <c:v>34.924999999999997</c:v>
                </c:pt>
              </c:numCache>
            </c:numRef>
          </c:yVal>
          <c:smooth val="0"/>
          <c:extLst>
            <c:ext xmlns:c16="http://schemas.microsoft.com/office/drawing/2014/chart" uri="{C3380CC4-5D6E-409C-BE32-E72D297353CC}">
              <c16:uniqueId val="{00000039-658A-4ABC-B0CC-692061440AF2}"/>
            </c:ext>
          </c:extLst>
        </c:ser>
        <c:ser>
          <c:idx val="38"/>
          <c:order val="29"/>
          <c:tx>
            <c:v>B-Easton</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8.6330935251798566E-2"/>
                  <c:y val="-0.14666666666666667"/>
                </c:manualLayout>
              </c:layou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3A-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Data'!$C$4</c:f>
              <c:numCache>
                <c:formatCode>General</c:formatCode>
                <c:ptCount val="1"/>
                <c:pt idx="0">
                  <c:v>104.14</c:v>
                </c:pt>
              </c:numCache>
            </c:numRef>
          </c:xVal>
          <c:yVal>
            <c:numRef>
              <c:f>'little Lambs Data'!$F$4</c:f>
              <c:numCache>
                <c:formatCode>General</c:formatCode>
                <c:ptCount val="1"/>
                <c:pt idx="0">
                  <c:v>55.88</c:v>
                </c:pt>
              </c:numCache>
            </c:numRef>
          </c:yVal>
          <c:smooth val="0"/>
          <c:extLst>
            <c:ext xmlns:c16="http://schemas.microsoft.com/office/drawing/2014/chart" uri="{C3380CC4-5D6E-409C-BE32-E72D297353CC}">
              <c16:uniqueId val="{0000003B-658A-4ABC-B0CC-692061440AF2}"/>
            </c:ext>
          </c:extLst>
        </c:ser>
        <c:ser>
          <c:idx val="27"/>
          <c:order val="30"/>
          <c:tx>
            <c:v>E-Easton</c:v>
          </c:tx>
          <c:spPr>
            <a:ln w="19050" cap="rnd">
              <a:noFill/>
              <a:round/>
            </a:ln>
            <a:effectLst/>
          </c:spPr>
          <c:marker>
            <c:symbol val="circle"/>
            <c:size val="5"/>
            <c:spPr>
              <a:solidFill>
                <a:schemeClr val="accent4">
                  <a:lumMod val="60000"/>
                  <a:lumOff val="40000"/>
                </a:schemeClr>
              </a:solidFill>
              <a:ln w="50800">
                <a:solidFill>
                  <a:srgbClr val="0070C0"/>
                </a:solidFill>
              </a:ln>
              <a:effectLst/>
            </c:spPr>
          </c:marker>
          <c:dLbls>
            <c:dLbl>
              <c:idx val="0"/>
              <c:layout>
                <c:manualLayout>
                  <c:x val="-0.10791444796918377"/>
                  <c:y val="0.17925925925925926"/>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C-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Data'!$C$4</c:f>
              <c:numCache>
                <c:formatCode>General</c:formatCode>
                <c:ptCount val="1"/>
                <c:pt idx="0">
                  <c:v>104.14</c:v>
                </c:pt>
              </c:numCache>
            </c:numRef>
          </c:xVal>
          <c:yVal>
            <c:numRef>
              <c:f>'little Lambs Data'!$G$4</c:f>
              <c:numCache>
                <c:formatCode>General</c:formatCode>
                <c:ptCount val="1"/>
                <c:pt idx="0">
                  <c:v>34.29</c:v>
                </c:pt>
              </c:numCache>
            </c:numRef>
          </c:yVal>
          <c:smooth val="0"/>
          <c:extLst>
            <c:ext xmlns:c16="http://schemas.microsoft.com/office/drawing/2014/chart" uri="{C3380CC4-5D6E-409C-BE32-E72D297353CC}">
              <c16:uniqueId val="{0000003D-658A-4ABC-B0CC-692061440AF2}"/>
            </c:ext>
          </c:extLst>
        </c:ser>
        <c:ser>
          <c:idx val="39"/>
          <c:order val="31"/>
          <c:tx>
            <c:v>B-Biynn</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7.8237410071942445E-2"/>
                  <c:y val="-0.16740740740740739"/>
                </c:manualLayout>
              </c:layou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3E-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lumMod val="70000"/>
                    <a:lumOff val="30000"/>
                  </a:schemeClr>
                </a:solidFill>
                <a:prstDash val="sysDot"/>
              </a:ln>
              <a:effectLst/>
            </c:spPr>
            <c:trendlineType val="linear"/>
            <c:dispRSqr val="0"/>
            <c:dispEq val="0"/>
          </c:trendline>
          <c:xVal>
            <c:numRef>
              <c:f>'little Lambs Data'!$C$5</c:f>
              <c:numCache>
                <c:formatCode>General</c:formatCode>
                <c:ptCount val="1"/>
                <c:pt idx="0">
                  <c:v>105.41</c:v>
                </c:pt>
              </c:numCache>
            </c:numRef>
          </c:xVal>
          <c:yVal>
            <c:numRef>
              <c:f>'little Lambs Data'!$F$5</c:f>
              <c:numCache>
                <c:formatCode>General</c:formatCode>
                <c:ptCount val="1"/>
                <c:pt idx="0">
                  <c:v>57.15</c:v>
                </c:pt>
              </c:numCache>
            </c:numRef>
          </c:yVal>
          <c:smooth val="0"/>
          <c:extLst>
            <c:ext xmlns:c16="http://schemas.microsoft.com/office/drawing/2014/chart" uri="{C3380CC4-5D6E-409C-BE32-E72D297353CC}">
              <c16:uniqueId val="{0000003F-658A-4ABC-B0CC-692061440AF2}"/>
            </c:ext>
          </c:extLst>
        </c:ser>
        <c:ser>
          <c:idx val="28"/>
          <c:order val="32"/>
          <c:tx>
            <c:v>E-Biynn</c:v>
          </c:tx>
          <c:spPr>
            <a:ln w="19050" cap="rnd">
              <a:noFill/>
              <a:round/>
            </a:ln>
            <a:effectLst/>
          </c:spPr>
          <c:marker>
            <c:symbol val="circle"/>
            <c:size val="5"/>
            <c:spPr>
              <a:solidFill>
                <a:schemeClr val="accent5">
                  <a:lumMod val="60000"/>
                  <a:lumOff val="40000"/>
                </a:schemeClr>
              </a:solidFill>
              <a:ln w="50800">
                <a:solidFill>
                  <a:srgbClr val="0070C0"/>
                </a:solidFill>
              </a:ln>
              <a:effectLst/>
            </c:spPr>
          </c:marker>
          <c:dLbls>
            <c:dLbl>
              <c:idx val="0"/>
              <c:layout>
                <c:manualLayout>
                  <c:x val="-0.10790722540078181"/>
                  <c:y val="0.20296296296296296"/>
                </c:manualLayout>
              </c:layou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40-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Data'!$C$5</c:f>
              <c:numCache>
                <c:formatCode>General</c:formatCode>
                <c:ptCount val="1"/>
                <c:pt idx="0">
                  <c:v>105.41</c:v>
                </c:pt>
              </c:numCache>
            </c:numRef>
          </c:xVal>
          <c:yVal>
            <c:numRef>
              <c:f>'little Lambs Data'!$G$5</c:f>
              <c:numCache>
                <c:formatCode>General</c:formatCode>
                <c:ptCount val="1"/>
                <c:pt idx="0">
                  <c:v>34.29</c:v>
                </c:pt>
              </c:numCache>
            </c:numRef>
          </c:yVal>
          <c:smooth val="0"/>
          <c:extLst>
            <c:ext xmlns:c16="http://schemas.microsoft.com/office/drawing/2014/chart" uri="{C3380CC4-5D6E-409C-BE32-E72D297353CC}">
              <c16:uniqueId val="{00000041-658A-4ABC-B0CC-692061440AF2}"/>
            </c:ext>
          </c:extLst>
        </c:ser>
        <c:ser>
          <c:idx val="40"/>
          <c:order val="33"/>
          <c:tx>
            <c:v>B-Blake</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6.3848920863309414E-2"/>
                  <c:y val="-0.19555555555555559"/>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2-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Data'!$C$6</c:f>
              <c:numCache>
                <c:formatCode>General</c:formatCode>
                <c:ptCount val="1"/>
                <c:pt idx="0">
                  <c:v>107.95</c:v>
                </c:pt>
              </c:numCache>
            </c:numRef>
          </c:xVal>
          <c:yVal>
            <c:numRef>
              <c:f>'little Lambs Data'!$F$6</c:f>
              <c:numCache>
                <c:formatCode>General</c:formatCode>
                <c:ptCount val="1"/>
                <c:pt idx="0">
                  <c:v>56.515000000000001</c:v>
                </c:pt>
              </c:numCache>
            </c:numRef>
          </c:yVal>
          <c:smooth val="0"/>
          <c:extLst>
            <c:ext xmlns:c16="http://schemas.microsoft.com/office/drawing/2014/chart" uri="{C3380CC4-5D6E-409C-BE32-E72D297353CC}">
              <c16:uniqueId val="{00000043-658A-4ABC-B0CC-692061440AF2}"/>
            </c:ext>
          </c:extLst>
        </c:ser>
        <c:ser>
          <c:idx val="29"/>
          <c:order val="34"/>
          <c:tx>
            <c:v>E-Blake</c:v>
          </c:tx>
          <c:spPr>
            <a:ln w="19050" cap="rnd">
              <a:noFill/>
              <a:round/>
            </a:ln>
            <a:effectLst/>
          </c:spPr>
          <c:marker>
            <c:symbol val="circle"/>
            <c:size val="5"/>
            <c:spPr>
              <a:solidFill>
                <a:schemeClr val="accent6">
                  <a:lumMod val="60000"/>
                  <a:lumOff val="40000"/>
                </a:schemeClr>
              </a:solidFill>
              <a:ln w="50800">
                <a:solidFill>
                  <a:srgbClr val="0070C0"/>
                </a:solidFill>
              </a:ln>
              <a:effectLst/>
            </c:spPr>
          </c:marker>
          <c:dLbls>
            <c:dLbl>
              <c:idx val="0"/>
              <c:layout>
                <c:manualLayout>
                  <c:x val="-6.0273395456862854E-2"/>
                  <c:y val="0.17629629629629628"/>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4-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Data'!$C$6</c:f>
              <c:numCache>
                <c:formatCode>General</c:formatCode>
                <c:ptCount val="1"/>
                <c:pt idx="0">
                  <c:v>107.95</c:v>
                </c:pt>
              </c:numCache>
            </c:numRef>
          </c:xVal>
          <c:yVal>
            <c:numRef>
              <c:f>'little Lambs Data'!$G$6</c:f>
              <c:numCache>
                <c:formatCode>General</c:formatCode>
                <c:ptCount val="1"/>
                <c:pt idx="0">
                  <c:v>33.655000000000001</c:v>
                </c:pt>
              </c:numCache>
            </c:numRef>
          </c:yVal>
          <c:smooth val="0"/>
          <c:extLst>
            <c:ext xmlns:c16="http://schemas.microsoft.com/office/drawing/2014/chart" uri="{C3380CC4-5D6E-409C-BE32-E72D297353CC}">
              <c16:uniqueId val="{00000045-658A-4ABC-B0CC-692061440AF2}"/>
            </c:ext>
          </c:extLst>
        </c:ser>
        <c:ser>
          <c:idx val="41"/>
          <c:order val="35"/>
          <c:tx>
            <c:v>B-Hayleigh</c:v>
          </c:tx>
          <c:spPr>
            <a:ln w="15875" cap="rnd">
              <a:noFill/>
              <a:round/>
            </a:ln>
            <a:effectLst/>
          </c:spPr>
          <c:marker>
            <c:symbol val="circle"/>
            <c:size val="5"/>
            <c:spPr>
              <a:solidFill>
                <a:srgbClr val="00B050"/>
              </a:solidFill>
              <a:ln w="50800">
                <a:solidFill>
                  <a:srgbClr val="00B050"/>
                </a:solidFill>
              </a:ln>
              <a:effectLst/>
            </c:spPr>
          </c:marker>
          <c:dLbls>
            <c:dLbl>
              <c:idx val="0"/>
              <c:layout>
                <c:manualLayout>
                  <c:x val="8.0935251798561151E-3"/>
                  <c:y val="-0.1185185185185185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6-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Data'!$C$7</c:f>
              <c:numCache>
                <c:formatCode>General</c:formatCode>
                <c:ptCount val="1"/>
                <c:pt idx="0">
                  <c:v>115.57000000000001</c:v>
                </c:pt>
              </c:numCache>
            </c:numRef>
          </c:xVal>
          <c:yVal>
            <c:numRef>
              <c:f>'little Lambs Data'!$F$7</c:f>
              <c:numCache>
                <c:formatCode>General</c:formatCode>
                <c:ptCount val="1"/>
                <c:pt idx="0">
                  <c:v>60.325000000000003</c:v>
                </c:pt>
              </c:numCache>
            </c:numRef>
          </c:yVal>
          <c:smooth val="0"/>
          <c:extLst>
            <c:ext xmlns:c16="http://schemas.microsoft.com/office/drawing/2014/chart" uri="{C3380CC4-5D6E-409C-BE32-E72D297353CC}">
              <c16:uniqueId val="{00000047-658A-4ABC-B0CC-692061440AF2}"/>
            </c:ext>
          </c:extLst>
        </c:ser>
        <c:ser>
          <c:idx val="30"/>
          <c:order val="36"/>
          <c:tx>
            <c:v>E-Hayleigh</c:v>
          </c:tx>
          <c:spPr>
            <a:ln w="19050" cap="rnd">
              <a:noFill/>
              <a:round/>
            </a:ln>
            <a:effectLst/>
          </c:spPr>
          <c:marker>
            <c:symbol val="circle"/>
            <c:size val="5"/>
            <c:spPr>
              <a:solidFill>
                <a:schemeClr val="accent1">
                  <a:lumMod val="50000"/>
                </a:schemeClr>
              </a:solidFill>
              <a:ln w="50800">
                <a:solidFill>
                  <a:srgbClr val="0070C0"/>
                </a:solidFill>
              </a:ln>
              <a:effectLst/>
            </c:spPr>
          </c:marker>
          <c:dLbls>
            <c:dLbl>
              <c:idx val="0"/>
              <c:layout>
                <c:manualLayout>
                  <c:x val="4.1367968617232201E-2"/>
                  <c:y val="0.21925925925925926"/>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Data'!$C$7</c:f>
              <c:numCache>
                <c:formatCode>General</c:formatCode>
                <c:ptCount val="1"/>
                <c:pt idx="0">
                  <c:v>115.57000000000001</c:v>
                </c:pt>
              </c:numCache>
            </c:numRef>
          </c:xVal>
          <c:yVal>
            <c:numRef>
              <c:f>'little Lambs Data'!$G$7</c:f>
              <c:numCache>
                <c:formatCode>General</c:formatCode>
                <c:ptCount val="1"/>
                <c:pt idx="0">
                  <c:v>38.734999999999999</c:v>
                </c:pt>
              </c:numCache>
            </c:numRef>
          </c:yVal>
          <c:smooth val="0"/>
          <c:extLst>
            <c:ext xmlns:c16="http://schemas.microsoft.com/office/drawing/2014/chart" uri="{C3380CC4-5D6E-409C-BE32-E72D297353CC}">
              <c16:uniqueId val="{00000049-658A-4ABC-B0CC-692061440AF2}"/>
            </c:ext>
          </c:extLst>
        </c:ser>
        <c:ser>
          <c:idx val="42"/>
          <c:order val="37"/>
          <c:tx>
            <c:v>B-Conor</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2.2482014388489208E-2"/>
                  <c:y val="-0.20148148148148148"/>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Data'!$C$8</c:f>
              <c:numCache>
                <c:formatCode>General</c:formatCode>
                <c:ptCount val="1"/>
                <c:pt idx="0">
                  <c:v>109.22</c:v>
                </c:pt>
              </c:numCache>
            </c:numRef>
          </c:xVal>
          <c:yVal>
            <c:numRef>
              <c:f>'little Lambs Data'!$F$8</c:f>
              <c:numCache>
                <c:formatCode>General</c:formatCode>
                <c:ptCount val="1"/>
                <c:pt idx="0">
                  <c:v>57.785000000000004</c:v>
                </c:pt>
              </c:numCache>
            </c:numRef>
          </c:yVal>
          <c:smooth val="0"/>
          <c:extLst>
            <c:ext xmlns:c16="http://schemas.microsoft.com/office/drawing/2014/chart" uri="{C3380CC4-5D6E-409C-BE32-E72D297353CC}">
              <c16:uniqueId val="{0000004B-658A-4ABC-B0CC-692061440AF2}"/>
            </c:ext>
          </c:extLst>
        </c:ser>
        <c:ser>
          <c:idx val="31"/>
          <c:order val="38"/>
          <c:tx>
            <c:v>E-Conor</c:v>
          </c:tx>
          <c:spPr>
            <a:ln w="19050" cap="rnd">
              <a:noFill/>
              <a:round/>
            </a:ln>
            <a:effectLst/>
          </c:spPr>
          <c:marker>
            <c:symbol val="circle"/>
            <c:size val="5"/>
            <c:spPr>
              <a:solidFill>
                <a:schemeClr val="accent2">
                  <a:lumMod val="50000"/>
                </a:schemeClr>
              </a:solidFill>
              <a:ln w="50800">
                <a:solidFill>
                  <a:srgbClr val="0070C0"/>
                </a:solidFill>
              </a:ln>
              <a:effectLst/>
            </c:spPr>
          </c:marker>
          <c:dLbls>
            <c:dLbl>
              <c:idx val="0"/>
              <c:layout>
                <c:manualLayout>
                  <c:x val="-2.6991871070073011E-2"/>
                  <c:y val="0.23407407407407407"/>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C-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Data'!$C$8</c:f>
              <c:numCache>
                <c:formatCode>General</c:formatCode>
                <c:ptCount val="1"/>
                <c:pt idx="0">
                  <c:v>109.22</c:v>
                </c:pt>
              </c:numCache>
            </c:numRef>
          </c:xVal>
          <c:yVal>
            <c:numRef>
              <c:f>'little Lambs Data'!$G$8</c:f>
              <c:numCache>
                <c:formatCode>General</c:formatCode>
                <c:ptCount val="1"/>
                <c:pt idx="0">
                  <c:v>37.465000000000003</c:v>
                </c:pt>
              </c:numCache>
            </c:numRef>
          </c:yVal>
          <c:smooth val="0"/>
          <c:extLst>
            <c:ext xmlns:c16="http://schemas.microsoft.com/office/drawing/2014/chart" uri="{C3380CC4-5D6E-409C-BE32-E72D297353CC}">
              <c16:uniqueId val="{0000004D-658A-4ABC-B0CC-692061440AF2}"/>
            </c:ext>
          </c:extLst>
        </c:ser>
        <c:ser>
          <c:idx val="43"/>
          <c:order val="39"/>
          <c:tx>
            <c:v>B-Caleb</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7.1942446043165471E-3"/>
                  <c:y val="-0.17629629629629634"/>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E-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Data'!$C$9</c:f>
              <c:numCache>
                <c:formatCode>General</c:formatCode>
                <c:ptCount val="1"/>
                <c:pt idx="0">
                  <c:v>111.76</c:v>
                </c:pt>
              </c:numCache>
            </c:numRef>
          </c:xVal>
          <c:yVal>
            <c:numRef>
              <c:f>'little Lambs Data'!$F$9</c:f>
              <c:numCache>
                <c:formatCode>General</c:formatCode>
                <c:ptCount val="1"/>
                <c:pt idx="0">
                  <c:v>58.42</c:v>
                </c:pt>
              </c:numCache>
            </c:numRef>
          </c:yVal>
          <c:smooth val="0"/>
          <c:extLst>
            <c:ext xmlns:c16="http://schemas.microsoft.com/office/drawing/2014/chart" uri="{C3380CC4-5D6E-409C-BE32-E72D297353CC}">
              <c16:uniqueId val="{0000004F-658A-4ABC-B0CC-692061440AF2}"/>
            </c:ext>
          </c:extLst>
        </c:ser>
        <c:ser>
          <c:idx val="32"/>
          <c:order val="40"/>
          <c:tx>
            <c:v>E-Caleb</c:v>
          </c:tx>
          <c:spPr>
            <a:ln w="19050" cap="rnd">
              <a:noFill/>
              <a:round/>
            </a:ln>
            <a:effectLst/>
          </c:spPr>
          <c:marker>
            <c:symbol val="circle"/>
            <c:size val="5"/>
            <c:spPr>
              <a:solidFill>
                <a:schemeClr val="accent3">
                  <a:lumMod val="50000"/>
                </a:schemeClr>
              </a:solidFill>
              <a:ln w="50800">
                <a:solidFill>
                  <a:srgbClr val="0070C0"/>
                </a:solidFill>
              </a:ln>
              <a:effectLst/>
            </c:spPr>
          </c:marker>
          <c:dLbls>
            <c:dLbl>
              <c:idx val="0"/>
              <c:layout>
                <c:manualLayout>
                  <c:x val="-9.003073132045545E-3"/>
                  <c:y val="0.18814814814814804"/>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0-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Data'!$C$9</c:f>
              <c:numCache>
                <c:formatCode>General</c:formatCode>
                <c:ptCount val="1"/>
                <c:pt idx="0">
                  <c:v>111.76</c:v>
                </c:pt>
              </c:numCache>
            </c:numRef>
          </c:xVal>
          <c:yVal>
            <c:numRef>
              <c:f>'little Lambs Data'!$G$9</c:f>
              <c:numCache>
                <c:formatCode>General</c:formatCode>
                <c:ptCount val="1"/>
                <c:pt idx="0">
                  <c:v>38.1</c:v>
                </c:pt>
              </c:numCache>
            </c:numRef>
          </c:yVal>
          <c:smooth val="0"/>
          <c:extLst>
            <c:ext xmlns:c16="http://schemas.microsoft.com/office/drawing/2014/chart" uri="{C3380CC4-5D6E-409C-BE32-E72D297353CC}">
              <c16:uniqueId val="{00000051-658A-4ABC-B0CC-692061440AF2}"/>
            </c:ext>
          </c:extLst>
        </c:ser>
        <c:ser>
          <c:idx val="44"/>
          <c:order val="41"/>
          <c:tx>
            <c:v>B-Joel</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2.1582733812949641E-2"/>
                  <c:y val="-0.136296296296296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2-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Data'!$C$10</c:f>
              <c:numCache>
                <c:formatCode>General</c:formatCode>
                <c:ptCount val="1"/>
                <c:pt idx="0">
                  <c:v>113.03</c:v>
                </c:pt>
              </c:numCache>
            </c:numRef>
          </c:xVal>
          <c:yVal>
            <c:numRef>
              <c:f>'little Lambs Data'!$F$10</c:f>
              <c:numCache>
                <c:formatCode>General</c:formatCode>
                <c:ptCount val="1"/>
                <c:pt idx="0">
                  <c:v>61.594999999999999</c:v>
                </c:pt>
              </c:numCache>
            </c:numRef>
          </c:yVal>
          <c:smooth val="0"/>
          <c:extLst>
            <c:ext xmlns:c16="http://schemas.microsoft.com/office/drawing/2014/chart" uri="{C3380CC4-5D6E-409C-BE32-E72D297353CC}">
              <c16:uniqueId val="{00000053-658A-4ABC-B0CC-692061440AF2}"/>
            </c:ext>
          </c:extLst>
        </c:ser>
        <c:ser>
          <c:idx val="33"/>
          <c:order val="42"/>
          <c:tx>
            <c:v>E-Joel</c:v>
          </c:tx>
          <c:spPr>
            <a:ln w="19050" cap="rnd">
              <a:noFill/>
              <a:round/>
            </a:ln>
            <a:effectLst/>
          </c:spPr>
          <c:marker>
            <c:symbol val="circle"/>
            <c:size val="5"/>
            <c:spPr>
              <a:solidFill>
                <a:schemeClr val="accent4">
                  <a:lumMod val="50000"/>
                </a:schemeClr>
              </a:solidFill>
              <a:ln w="50800">
                <a:solidFill>
                  <a:srgbClr val="0070C0"/>
                </a:solidFill>
              </a:ln>
              <a:effectLst/>
            </c:spPr>
          </c:marker>
          <c:dLbls>
            <c:dLbl>
              <c:idx val="0"/>
              <c:layout>
                <c:manualLayout>
                  <c:x val="5.0358366849827224E-2"/>
                  <c:y val="0.24888888888888888"/>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4-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Data'!$C$10</c:f>
              <c:numCache>
                <c:formatCode>General</c:formatCode>
                <c:ptCount val="1"/>
                <c:pt idx="0">
                  <c:v>113.03</c:v>
                </c:pt>
              </c:numCache>
            </c:numRef>
          </c:xVal>
          <c:yVal>
            <c:numRef>
              <c:f>'little Lambs Data'!$G$10</c:f>
              <c:numCache>
                <c:formatCode>General</c:formatCode>
                <c:ptCount val="1"/>
                <c:pt idx="0">
                  <c:v>39.369999999999997</c:v>
                </c:pt>
              </c:numCache>
            </c:numRef>
          </c:yVal>
          <c:smooth val="0"/>
          <c:extLst>
            <c:ext xmlns:c16="http://schemas.microsoft.com/office/drawing/2014/chart" uri="{C3380CC4-5D6E-409C-BE32-E72D297353CC}">
              <c16:uniqueId val="{00000055-658A-4ABC-B0CC-692061440AF2}"/>
            </c:ext>
          </c:extLst>
        </c:ser>
        <c:ser>
          <c:idx val="45"/>
          <c:order val="43"/>
          <c:tx>
            <c:v>B-Henry</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4.4964028776978415E-3"/>
                  <c:y val="-6.22222222222222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6-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Data'!$C$11</c:f>
              <c:numCache>
                <c:formatCode>General</c:formatCode>
                <c:ptCount val="1"/>
                <c:pt idx="0">
                  <c:v>118.11</c:v>
                </c:pt>
              </c:numCache>
            </c:numRef>
          </c:xVal>
          <c:yVal>
            <c:numRef>
              <c:f>'little Lambs Data'!$F$11</c:f>
              <c:numCache>
                <c:formatCode>General</c:formatCode>
                <c:ptCount val="1"/>
                <c:pt idx="0">
                  <c:v>64.77</c:v>
                </c:pt>
              </c:numCache>
            </c:numRef>
          </c:yVal>
          <c:smooth val="0"/>
          <c:extLst>
            <c:ext xmlns:c16="http://schemas.microsoft.com/office/drawing/2014/chart" uri="{C3380CC4-5D6E-409C-BE32-E72D297353CC}">
              <c16:uniqueId val="{00000057-658A-4ABC-B0CC-692061440AF2}"/>
            </c:ext>
          </c:extLst>
        </c:ser>
        <c:ser>
          <c:idx val="34"/>
          <c:order val="44"/>
          <c:tx>
            <c:v>E-Henry</c:v>
          </c:tx>
          <c:spPr>
            <a:ln w="19050" cap="rnd">
              <a:solidFill>
                <a:schemeClr val="accent5">
                  <a:lumMod val="50000"/>
                </a:schemeClr>
              </a:solidFill>
              <a:round/>
            </a:ln>
            <a:effectLst/>
          </c:spPr>
          <c:marker>
            <c:symbol val="circle"/>
            <c:size val="5"/>
            <c:spPr>
              <a:solidFill>
                <a:srgbClr val="FF0000"/>
              </a:solidFill>
              <a:ln w="50800">
                <a:solidFill>
                  <a:srgbClr val="0070C0"/>
                </a:solidFill>
              </a:ln>
              <a:effectLst/>
            </c:spPr>
          </c:marker>
          <c:dLbls>
            <c:dLbl>
              <c:idx val="0"/>
              <c:layout>
                <c:manualLayout>
                  <c:x val="9.3523267999773271E-2"/>
                  <c:y val="0.23555555555555555"/>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8-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Data'!$C$11</c:f>
              <c:numCache>
                <c:formatCode>General</c:formatCode>
                <c:ptCount val="1"/>
                <c:pt idx="0">
                  <c:v>118.11</c:v>
                </c:pt>
              </c:numCache>
            </c:numRef>
          </c:xVal>
          <c:yVal>
            <c:numRef>
              <c:f>'little Lambs Data'!$G$11</c:f>
              <c:numCache>
                <c:formatCode>General</c:formatCode>
                <c:ptCount val="1"/>
                <c:pt idx="0">
                  <c:v>38.734999999999999</c:v>
                </c:pt>
              </c:numCache>
            </c:numRef>
          </c:yVal>
          <c:smooth val="0"/>
          <c:extLst>
            <c:ext xmlns:c16="http://schemas.microsoft.com/office/drawing/2014/chart" uri="{C3380CC4-5D6E-409C-BE32-E72D297353CC}">
              <c16:uniqueId val="{00000059-658A-4ABC-B0CC-692061440AF2}"/>
            </c:ext>
          </c:extLst>
        </c:ser>
        <c:ser>
          <c:idx val="46"/>
          <c:order val="45"/>
          <c:tx>
            <c:v>B-Jack</c:v>
          </c:tx>
          <c:spPr>
            <a:ln w="19050" cap="rnd">
              <a:noFill/>
              <a:round/>
            </a:ln>
            <a:effectLst/>
          </c:spPr>
          <c:marker>
            <c:symbol val="circle"/>
            <c:size val="5"/>
            <c:spPr>
              <a:solidFill>
                <a:srgbClr val="00B050"/>
              </a:solidFill>
              <a:ln w="50800">
                <a:solidFill>
                  <a:srgbClr val="00B050"/>
                </a:solidFill>
              </a:ln>
              <a:effectLst/>
            </c:spPr>
          </c:marker>
          <c:dLbls>
            <c:dLbl>
              <c:idx val="0"/>
              <c:layout>
                <c:manualLayout>
                  <c:x val="-4.4964028776979734E-3"/>
                  <c:y val="-6.518518518518520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A-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Data'!$C$12</c:f>
              <c:numCache>
                <c:formatCode>General</c:formatCode>
                <c:ptCount val="1"/>
                <c:pt idx="0">
                  <c:v>130.81</c:v>
                </c:pt>
              </c:numCache>
            </c:numRef>
          </c:xVal>
          <c:yVal>
            <c:numRef>
              <c:f>'little Lambs Data'!$F$12</c:f>
              <c:numCache>
                <c:formatCode>General</c:formatCode>
                <c:ptCount val="1"/>
                <c:pt idx="0">
                  <c:v>69.215000000000003</c:v>
                </c:pt>
              </c:numCache>
            </c:numRef>
          </c:yVal>
          <c:smooth val="0"/>
          <c:extLst>
            <c:ext xmlns:c16="http://schemas.microsoft.com/office/drawing/2014/chart" uri="{C3380CC4-5D6E-409C-BE32-E72D297353CC}">
              <c16:uniqueId val="{0000005B-658A-4ABC-B0CC-692061440AF2}"/>
            </c:ext>
          </c:extLst>
        </c:ser>
        <c:ser>
          <c:idx val="35"/>
          <c:order val="46"/>
          <c:tx>
            <c:v>E-Jack</c:v>
          </c:tx>
          <c:spPr>
            <a:ln w="19050" cap="rnd">
              <a:noFill/>
              <a:round/>
            </a:ln>
            <a:effectLst/>
          </c:spPr>
          <c:marker>
            <c:symbol val="circle"/>
            <c:size val="5"/>
            <c:spPr>
              <a:solidFill>
                <a:srgbClr val="FF0000"/>
              </a:solidFill>
              <a:ln w="50800">
                <a:solidFill>
                  <a:srgbClr val="0070C0"/>
                </a:solidFill>
              </a:ln>
              <a:effectLst/>
            </c:spPr>
          </c:marker>
          <c:dLbls>
            <c:dLbl>
              <c:idx val="0"/>
              <c:layout>
                <c:manualLayout>
                  <c:x val="5.3055146434033876E-2"/>
                  <c:y val="0.21185185185185185"/>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C-658A-4ABC-B0CC-692061440AF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'little Lambs Data'!$C$12</c:f>
              <c:numCache>
                <c:formatCode>General</c:formatCode>
                <c:ptCount val="1"/>
                <c:pt idx="0">
                  <c:v>130.81</c:v>
                </c:pt>
              </c:numCache>
            </c:numRef>
          </c:xVal>
          <c:yVal>
            <c:numRef>
              <c:f>'little Lambs Data'!$G$12</c:f>
              <c:numCache>
                <c:formatCode>General</c:formatCode>
                <c:ptCount val="1"/>
                <c:pt idx="0">
                  <c:v>41.910000000000004</c:v>
                </c:pt>
              </c:numCache>
            </c:numRef>
          </c:yVal>
          <c:smooth val="0"/>
          <c:extLst>
            <c:ext xmlns:c16="http://schemas.microsoft.com/office/drawing/2014/chart" uri="{C3380CC4-5D6E-409C-BE32-E72D297353CC}">
              <c16:uniqueId val="{0000005D-658A-4ABC-B0CC-692061440AF2}"/>
            </c:ext>
          </c:extLst>
        </c:ser>
        <c:ser>
          <c:idx val="47"/>
          <c:order val="47"/>
          <c:tx>
            <c:v>Q0-B</c:v>
          </c:tx>
          <c:spPr>
            <a:ln w="19050" cap="rnd">
              <a:solidFill>
                <a:schemeClr val="accent6">
                  <a:lumMod val="70000"/>
                </a:schemeClr>
              </a:solidFill>
              <a:round/>
            </a:ln>
            <a:effectLst/>
          </c:spPr>
          <c:marker>
            <c:symbol val="circle"/>
            <c:size val="5"/>
            <c:spPr>
              <a:solidFill>
                <a:srgbClr val="FF0000"/>
              </a:solidFill>
              <a:ln w="50800">
                <a:solidFill>
                  <a:srgbClr val="FF0000"/>
                </a:solidFill>
              </a:ln>
              <a:effectLst/>
            </c:spPr>
          </c:marker>
          <c:dLbls>
            <c:dLbl>
              <c:idx val="0"/>
              <c:layout>
                <c:manualLayout>
                  <c:x val="-7.5539568345323743E-2"/>
                  <c:y val="-4.4422509130224762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5E-658A-4ABC-B0CC-692061440A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Dummies!$C$2</c:f>
              <c:numCache>
                <c:formatCode>0.0</c:formatCode>
                <c:ptCount val="1"/>
                <c:pt idx="0">
                  <c:v>34.299999999999997</c:v>
                </c:pt>
              </c:numCache>
            </c:numRef>
          </c:yVal>
          <c:smooth val="0"/>
          <c:extLst>
            <c:ext xmlns:c16="http://schemas.microsoft.com/office/drawing/2014/chart" uri="{C3380CC4-5D6E-409C-BE32-E72D297353CC}">
              <c16:uniqueId val="{0000005F-658A-4ABC-B0CC-692061440AF2}"/>
            </c:ext>
          </c:extLst>
        </c:ser>
        <c:ser>
          <c:idx val="48"/>
          <c:order val="48"/>
          <c:tx>
            <c:v>Q0-E</c:v>
          </c:tx>
          <c:spPr>
            <a:ln w="19050" cap="rnd">
              <a:solidFill>
                <a:schemeClr val="accent1">
                  <a:lumMod val="50000"/>
                  <a:lumOff val="50000"/>
                </a:schemeClr>
              </a:solidFill>
              <a:round/>
            </a:ln>
            <a:effectLst/>
          </c:spPr>
          <c:marker>
            <c:symbol val="circle"/>
            <c:size val="5"/>
            <c:spPr>
              <a:solidFill>
                <a:schemeClr val="accent1">
                  <a:lumMod val="50000"/>
                  <a:lumOff val="50000"/>
                </a:schemeClr>
              </a:solidFill>
              <a:ln w="9525">
                <a:solidFill>
                  <a:schemeClr val="accent1">
                    <a:lumMod val="50000"/>
                    <a:lumOff val="50000"/>
                  </a:schemeClr>
                </a:solidFill>
              </a:ln>
              <a:effectLst/>
            </c:spPr>
          </c:marker>
          <c:dPt>
            <c:idx val="0"/>
            <c:marker>
              <c:symbol val="circle"/>
              <c:size val="5"/>
              <c:spPr>
                <a:solidFill>
                  <a:srgbClr val="FF0000"/>
                </a:solidFill>
                <a:ln w="50800">
                  <a:solidFill>
                    <a:srgbClr val="FF0000"/>
                  </a:solidFill>
                </a:ln>
                <a:effectLst/>
              </c:spPr>
            </c:marker>
            <c:bubble3D val="0"/>
            <c:extLst>
              <c:ext xmlns:c16="http://schemas.microsoft.com/office/drawing/2014/chart" uri="{C3380CC4-5D6E-409C-BE32-E72D297353CC}">
                <c16:uniqueId val="{00000060-658A-4ABC-B0CC-692061440AF2}"/>
              </c:ext>
            </c:extLst>
          </c:dPt>
          <c:dLbls>
            <c:dLbl>
              <c:idx val="0"/>
              <c:layout>
                <c:manualLayout>
                  <c:x val="1.0791366906474821E-2"/>
                  <c:y val="2.22112545651123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F0000"/>
                      </a:solidFill>
                      <a:latin typeface="+mn-lt"/>
                      <a:ea typeface="+mn-ea"/>
                      <a:cs typeface="+mn-cs"/>
                    </a:defRPr>
                  </a:pPr>
                  <a:endParaRPr lang="zh-CN"/>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0-658A-4ABC-B0CC-692061440A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rgbClr val="0070C0"/>
                      </a:solidFill>
                      <a:round/>
                    </a:ln>
                    <a:effectLst/>
                  </c:spPr>
                </c15:leaderLines>
              </c:ext>
            </c:extLst>
          </c:dLbls>
          <c:xVal>
            <c:numRef>
              <c:f>Dummies!$B$2</c:f>
              <c:numCache>
                <c:formatCode>0.0</c:formatCode>
                <c:ptCount val="1"/>
                <c:pt idx="0">
                  <c:v>50.4</c:v>
                </c:pt>
              </c:numCache>
            </c:numRef>
          </c:xVal>
          <c:yVal>
            <c:numRef>
              <c:f>Dummies!$D$2</c:f>
              <c:numCache>
                <c:formatCode>0.0</c:formatCode>
                <c:ptCount val="1"/>
                <c:pt idx="0">
                  <c:v>24.7</c:v>
                </c:pt>
              </c:numCache>
            </c:numRef>
          </c:yVal>
          <c:smooth val="0"/>
          <c:extLst>
            <c:ext xmlns:c16="http://schemas.microsoft.com/office/drawing/2014/chart" uri="{C3380CC4-5D6E-409C-BE32-E72D297353CC}">
              <c16:uniqueId val="{00000061-658A-4ABC-B0CC-692061440AF2}"/>
            </c:ext>
          </c:extLst>
        </c:ser>
        <c:ser>
          <c:idx val="49"/>
          <c:order val="49"/>
          <c:tx>
            <c:v>Newborn-B</c:v>
          </c:tx>
          <c:spPr>
            <a:ln w="19050" cap="rnd">
              <a:solidFill>
                <a:schemeClr val="accent2">
                  <a:lumMod val="50000"/>
                  <a:lumOff val="50000"/>
                </a:schemeClr>
              </a:solidFill>
              <a:round/>
            </a:ln>
            <a:effectLst/>
          </c:spPr>
          <c:marker>
            <c:symbol val="circle"/>
            <c:size val="5"/>
            <c:spPr>
              <a:solidFill>
                <a:srgbClr val="0070C0"/>
              </a:solidFill>
              <a:ln w="50800">
                <a:solidFill>
                  <a:srgbClr val="0070C0"/>
                </a:solidFill>
              </a:ln>
              <a:effectLst/>
            </c:spPr>
          </c:marker>
          <c:dLbls>
            <c:dLbl>
              <c:idx val="0"/>
              <c:layout>
                <c:manualLayout>
                  <c:x val="1.7985611510791368E-3"/>
                  <c:y val="-1.480750304340830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2-658A-4ABC-B0CC-692061440AF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Dummies!$B$4</c:f>
              <c:numCache>
                <c:formatCode>0.0</c:formatCode>
                <c:ptCount val="1"/>
                <c:pt idx="0">
                  <c:v>63.322147651006709</c:v>
                </c:pt>
              </c:numCache>
            </c:numRef>
          </c:xVal>
          <c:yVal>
            <c:numRef>
              <c:f>Dummies!$C$4</c:f>
              <c:numCache>
                <c:formatCode>0.0</c:formatCode>
                <c:ptCount val="1"/>
                <c:pt idx="0">
                  <c:v>35.5</c:v>
                </c:pt>
              </c:numCache>
            </c:numRef>
          </c:yVal>
          <c:smooth val="0"/>
          <c:extLst>
            <c:ext xmlns:c16="http://schemas.microsoft.com/office/drawing/2014/chart" uri="{C3380CC4-5D6E-409C-BE32-E72D297353CC}">
              <c16:uniqueId val="{00000063-658A-4ABC-B0CC-692061440AF2}"/>
            </c:ext>
          </c:extLst>
        </c:ser>
        <c:ser>
          <c:idx val="50"/>
          <c:order val="50"/>
          <c:tx>
            <c:v>Newborn-E</c:v>
          </c:tx>
          <c:spPr>
            <a:ln w="19050" cap="rnd">
              <a:solidFill>
                <a:schemeClr val="accent3">
                  <a:lumMod val="50000"/>
                  <a:lumOff val="50000"/>
                </a:schemeClr>
              </a:solidFill>
              <a:round/>
            </a:ln>
            <a:effectLst/>
          </c:spPr>
          <c:marker>
            <c:symbol val="circle"/>
            <c:size val="5"/>
            <c:spPr>
              <a:solidFill>
                <a:srgbClr val="0070C0"/>
              </a:solidFill>
              <a:ln w="50800">
                <a:solidFill>
                  <a:srgbClr val="0070C0"/>
                </a:solidFill>
              </a:ln>
              <a:effectLst/>
            </c:spPr>
          </c:marker>
          <c:dLbls>
            <c:dLbl>
              <c:idx val="0"/>
              <c:layout>
                <c:manualLayout>
                  <c:x val="4.2266187050359713E-2"/>
                  <c:y val="1.480750304340825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64-658A-4ABC-B0CC-692061440AF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70C0"/>
                    </a:solidFill>
                    <a:latin typeface="+mn-lt"/>
                    <a:ea typeface="+mn-ea"/>
                    <a:cs typeface="+mn-cs"/>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rgbClr val="FF0000"/>
                      </a:solidFill>
                      <a:round/>
                    </a:ln>
                    <a:effectLst/>
                  </c:spPr>
                </c15:leaderLines>
              </c:ext>
            </c:extLst>
          </c:dLbls>
          <c:xVal>
            <c:numRef>
              <c:f>Dummies!$B$4</c:f>
              <c:numCache>
                <c:formatCode>0.0</c:formatCode>
                <c:ptCount val="1"/>
                <c:pt idx="0">
                  <c:v>63.322147651006709</c:v>
                </c:pt>
              </c:numCache>
            </c:numRef>
          </c:xVal>
          <c:yVal>
            <c:numRef>
              <c:f>Dummies!$D$4</c:f>
              <c:numCache>
                <c:formatCode>0.0</c:formatCode>
                <c:ptCount val="1"/>
                <c:pt idx="0">
                  <c:v>25.5</c:v>
                </c:pt>
              </c:numCache>
            </c:numRef>
          </c:yVal>
          <c:smooth val="0"/>
          <c:extLst>
            <c:ext xmlns:c16="http://schemas.microsoft.com/office/drawing/2014/chart" uri="{C3380CC4-5D6E-409C-BE32-E72D297353CC}">
              <c16:uniqueId val="{00000065-658A-4ABC-B0CC-692061440AF2}"/>
            </c:ext>
          </c:extLst>
        </c:ser>
        <c:dLbls>
          <c:showLegendKey val="0"/>
          <c:showVal val="0"/>
          <c:showCatName val="0"/>
          <c:showSerName val="0"/>
          <c:showPercent val="0"/>
          <c:showBubbleSize val="0"/>
        </c:dLbls>
        <c:axId val="604807168"/>
        <c:axId val="604807560"/>
        <c:extLst/>
      </c:scatterChart>
      <c:valAx>
        <c:axId val="604807168"/>
        <c:scaling>
          <c:orientation val="minMax"/>
          <c:max val="160"/>
          <c:min val="40"/>
        </c:scaling>
        <c:delete val="0"/>
        <c:axPos val="b"/>
        <c:majorGridlines>
          <c:spPr>
            <a:ln w="9525" cap="flat" cmpd="sng" algn="ctr">
              <a:solidFill>
                <a:schemeClr val="bg1">
                  <a:lumMod val="6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A, Stature (cm)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604807560"/>
        <c:crosses val="autoZero"/>
        <c:crossBetween val="midCat"/>
        <c:majorUnit val="5"/>
      </c:valAx>
      <c:valAx>
        <c:axId val="604807560"/>
        <c:scaling>
          <c:orientation val="minMax"/>
        </c:scaling>
        <c:delete val="0"/>
        <c:axPos val="l"/>
        <c:majorGridlines>
          <c:spPr>
            <a:ln w="9525" cap="flat" cmpd="sng" algn="ctr">
              <a:solidFill>
                <a:schemeClr val="bg1">
                  <a:lumMod val="6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B, C, D, E1, E2, Heights (cm)</a:t>
                </a:r>
              </a:p>
            </c:rich>
          </c:tx>
          <c:layout>
            <c:manualLayout>
              <c:xMode val="edge"/>
              <c:yMode val="edge"/>
              <c:x val="7.1993791527521188E-3"/>
              <c:y val="0.32324384644279447"/>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zh-CN"/>
          </a:p>
        </c:txPr>
        <c:crossAx val="604807168"/>
        <c:crosses val="autoZero"/>
        <c:crossBetween val="midCat"/>
        <c:majorUnit val="5"/>
      </c:valAx>
      <c:spPr>
        <a:noFill/>
        <a:ln w="50800">
          <a:noFill/>
        </a:ln>
        <a:effectLst/>
      </c:spPr>
    </c:plotArea>
    <c:legend>
      <c:legendPos val="b"/>
      <c:layout>
        <c:manualLayout>
          <c:xMode val="edge"/>
          <c:yMode val="edge"/>
          <c:x val="3.4794638438316157E-2"/>
          <c:y val="0.77375192519926084"/>
          <c:w val="0.8185719141222455"/>
          <c:h val="0.2262481529971843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6.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100-000000000000}">
  <sheetPr codeName="Chart7"/>
  <sheetViews>
    <sheetView zoomScale="75" workbookViewId="0"/>
  </sheetViews>
  <pageMargins left="0.7" right="0.7" top="0.75" bottom="0.75" header="0.3" footer="0.3"/>
  <pageSetup paperSize="3" orientation="landscape" r:id="rId1"/>
  <headerFooter>
    <oddFooter>&amp;F</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1"/>
  <sheetViews>
    <sheetView zoomScale="51" workbookViewId="0" zoomToFit="1"/>
  </sheetViews>
  <pageMargins left="0.7" right="0.7" top="0.75" bottom="0.75" header="0.3" footer="0.3"/>
  <pageSetup paperSize="3" orientation="portrait" r:id="rId1"/>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14"/>
  <sheetViews>
    <sheetView workbookViewId="0"/>
  </sheetViews>
  <pageMargins left="0.7" right="0.7" top="0.75" bottom="0.75" header="0.3" footer="0.3"/>
  <pageSetup paperSize="3" orientation="portrait" r:id="rId1"/>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3"/>
  <sheetViews>
    <sheetView zoomScale="60" workbookViewId="0"/>
  </sheetViews>
  <pageMargins left="0.7" right="0.7" top="0.75" bottom="0.75" header="0.3" footer="0.3"/>
  <pageSetup paperSize="3" orientation="landscape" r:id="rId1"/>
  <headerFooter>
    <oddFooter>&amp;F</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21"/>
  <sheetViews>
    <sheetView zoomScale="60" workbookViewId="0"/>
  </sheetViews>
  <pageMargins left="0.7" right="0.7" top="0.75" bottom="0.75" header="0.3" footer="0.3"/>
  <pageSetup paperSize="3" orientation="landscape" r:id="rId1"/>
  <headerFooter>
    <oddFooter>&amp;F</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A00-000000000000}">
  <sheetPr codeName="Chart22"/>
  <sheetViews>
    <sheetView zoomScale="60" workbookViewId="0"/>
  </sheetViews>
  <pageMargins left="0.7" right="0.7" top="0.75" bottom="0.75" header="0.3" footer="0.3"/>
  <pageSetup paperSize="3" orientation="landscape" r:id="rId1"/>
  <headerFooter>
    <oddFooter>&amp;F</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23"/>
  <sheetViews>
    <sheetView zoomScale="60" workbookViewId="0"/>
  </sheetViews>
  <pageMargins left="0.7" right="0.7" top="0.75" bottom="0.75" header="0.3" footer="0.3"/>
  <pageSetup paperSize="3" orientation="landscape" r:id="rId1"/>
  <headerFooter>
    <oddFooter>&amp;F</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C00-000000000000}">
  <sheetPr codeName="Chart24"/>
  <sheetViews>
    <sheetView zoomScale="60" workbookViewId="0"/>
  </sheetViews>
  <pageMargins left="0.7" right="0.7" top="0.75" bottom="0.75" header="0.3" footer="0.3"/>
  <pageSetup paperSize="3" orientation="landscape" r:id="rId1"/>
  <headerFooter>
    <oddFooter>&amp;F</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D00-000000000000}">
  <sheetPr codeName="Chart8"/>
  <sheetViews>
    <sheetView zoomScale="75" workbookViewId="0"/>
  </sheetViews>
  <pageMargins left="0.7" right="0.7" top="0.75" bottom="0.75" header="0.3" footer="0.3"/>
  <pageSetup paperSize="3" orientation="landscape" r:id="rId1"/>
  <headerFooter>
    <oddFooter>&amp;F</oddFooter>
  </headerFooter>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11.emf"/><Relationship Id="rId2" Type="http://schemas.openxmlformats.org/officeDocument/2006/relationships/image" Target="../media/image7.jpeg"/><Relationship Id="rId1" Type="http://schemas.openxmlformats.org/officeDocument/2006/relationships/chart" Target="../charts/chart2.xml"/><Relationship Id="rId6" Type="http://schemas.openxmlformats.org/officeDocument/2006/relationships/image" Target="../media/image10.png"/><Relationship Id="rId5" Type="http://schemas.openxmlformats.org/officeDocument/2006/relationships/image" Target="../media/image9.jpeg"/><Relationship Id="rId4" Type="http://schemas.openxmlformats.org/officeDocument/2006/relationships/hyperlink" Target="#'GPS Anthro Tool'!A1"/></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hyperlink" Target="#'GPS Anthro Tool'!A1"/><Relationship Id="rId1" Type="http://schemas.openxmlformats.org/officeDocument/2006/relationships/image" Target="../media/image14.jpeg"/><Relationship Id="rId5" Type="http://schemas.openxmlformats.org/officeDocument/2006/relationships/chart" Target="../charts/chart6.xml"/><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image" Target="../media/image18.emf"/><Relationship Id="rId7" Type="http://schemas.openxmlformats.org/officeDocument/2006/relationships/image" Target="../media/image10.png"/><Relationship Id="rId2" Type="http://schemas.openxmlformats.org/officeDocument/2006/relationships/image" Target="../media/image17.emf"/><Relationship Id="rId1" Type="http://schemas.openxmlformats.org/officeDocument/2006/relationships/image" Target="../media/image16.png"/><Relationship Id="rId6" Type="http://schemas.openxmlformats.org/officeDocument/2006/relationships/image" Target="../media/image19.jpeg"/><Relationship Id="rId5" Type="http://schemas.openxmlformats.org/officeDocument/2006/relationships/hyperlink" Target="#'GPS Anthro Tool'!A1"/><Relationship Id="rId4" Type="http://schemas.openxmlformats.org/officeDocument/2006/relationships/image" Target="../media/image8.emf"/><Relationship Id="rId9" Type="http://schemas.openxmlformats.org/officeDocument/2006/relationships/image" Target="../media/image2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2.emf"/></Relationships>
</file>

<file path=xl/drawings/_rels/drawing9.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image" Target="../media/image27.emf"/></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7.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30.png"/><Relationship Id="rId1" Type="http://schemas.openxmlformats.org/officeDocument/2006/relationships/image" Target="../media/image29.jpeg"/><Relationship Id="rId4" Type="http://schemas.openxmlformats.org/officeDocument/2006/relationships/image" Target="../media/image32.jpeg"/></Relationships>
</file>

<file path=xl/drawings/_rels/drawing17.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34.png"/><Relationship Id="rId1" Type="http://schemas.openxmlformats.org/officeDocument/2006/relationships/image" Target="../media/image33.png"/><Relationship Id="rId6" Type="http://schemas.openxmlformats.org/officeDocument/2006/relationships/image" Target="../media/image38.png"/><Relationship Id="rId5" Type="http://schemas.openxmlformats.org/officeDocument/2006/relationships/image" Target="../media/image37.png"/><Relationship Id="rId4" Type="http://schemas.openxmlformats.org/officeDocument/2006/relationships/image" Target="../media/image36.png"/></Relationships>
</file>

<file path=xl/drawings/_rels/drawing1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3.xml.rels><?xml version="1.0" encoding="UTF-8" standalone="yes"?>
<Relationships xmlns="http://schemas.openxmlformats.org/package/2006/relationships"><Relationship Id="rId1" Type="http://schemas.openxmlformats.org/officeDocument/2006/relationships/image" Target="../media/image39.png"/></Relationships>
</file>

<file path=xl/drawings/_rels/drawing2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7.xml.rels><?xml version="1.0" encoding="UTF-8" standalone="yes"?>
<Relationships xmlns="http://schemas.openxmlformats.org/package/2006/relationships"><Relationship Id="rId1" Type="http://schemas.openxmlformats.org/officeDocument/2006/relationships/image" Target="../media/image39.png"/></Relationships>
</file>

<file path=xl/drawings/_rels/drawing2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14122400" cy="8576733"/>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c:userShapes xmlns:c="http://schemas.openxmlformats.org/drawingml/2006/chart">
  <cdr:relSizeAnchor xmlns:cdr="http://schemas.openxmlformats.org/drawingml/2006/chartDrawing">
    <cdr:from>
      <cdr:x>0.65169</cdr:x>
      <cdr:y>0.74136</cdr:y>
    </cdr:from>
    <cdr:to>
      <cdr:x>0.97894</cdr:x>
      <cdr:y>0.98478</cdr:y>
    </cdr:to>
    <cdr:pic>
      <cdr:nvPicPr>
        <cdr:cNvPr id="2" name="chart">
          <a:extLst xmlns:a="http://schemas.openxmlformats.org/drawingml/2006/main">
            <a:ext uri="{FF2B5EF4-FFF2-40B4-BE49-F238E27FC236}">
              <a16:creationId xmlns:a16="http://schemas.microsoft.com/office/drawing/2014/main" id="{117657D6-F482-1610-5384-12A724DBC13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220021" y="6358437"/>
          <a:ext cx="4629868" cy="2087749"/>
        </a:xfrm>
        <a:prstGeom xmlns:a="http://schemas.openxmlformats.org/drawingml/2006/main" prst="rect">
          <a:avLst/>
        </a:prstGeom>
      </cdr:spPr>
    </cdr:pic>
  </cdr:relSizeAnchor>
  <cdr:relSizeAnchor xmlns:cdr="http://schemas.openxmlformats.org/drawingml/2006/chartDrawing">
    <cdr:from>
      <cdr:x>0.25304</cdr:x>
      <cdr:y>0.38245</cdr:y>
    </cdr:from>
    <cdr:to>
      <cdr:x>0.25312</cdr:x>
      <cdr:y>0.6839</cdr:y>
    </cdr:to>
    <cdr:cxnSp macro="">
      <cdr:nvCxnSpPr>
        <cdr:cNvPr id="4" name="Straight Connector 3">
          <a:extLst xmlns:a="http://schemas.openxmlformats.org/drawingml/2006/main">
            <a:ext uri="{FF2B5EF4-FFF2-40B4-BE49-F238E27FC236}">
              <a16:creationId xmlns:a16="http://schemas.microsoft.com/office/drawing/2014/main" id="{4CE8A284-E417-CD1E-ED26-8ADFA30FD015}"/>
            </a:ext>
          </a:extLst>
        </cdr:cNvPr>
        <cdr:cNvCxnSpPr/>
      </cdr:nvCxnSpPr>
      <cdr:spPr>
        <a:xfrm xmlns:a="http://schemas.openxmlformats.org/drawingml/2006/main" flipH="1">
          <a:off x="3571907" y="3276600"/>
          <a:ext cx="1026" cy="2582595"/>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0.40486</cdr:x>
      <cdr:y>0.32612</cdr:y>
    </cdr:from>
    <cdr:to>
      <cdr:x>0.40607</cdr:x>
      <cdr:y>0.68243</cdr:y>
    </cdr:to>
    <cdr:cxnSp macro="">
      <cdr:nvCxnSpPr>
        <cdr:cNvPr id="7" name="Straight Connector 6">
          <a:extLst xmlns:a="http://schemas.openxmlformats.org/drawingml/2006/main">
            <a:ext uri="{FF2B5EF4-FFF2-40B4-BE49-F238E27FC236}">
              <a16:creationId xmlns:a16="http://schemas.microsoft.com/office/drawing/2014/main" id="{4B3AC153-996E-6FEE-3DF7-60F6BA1696D1}"/>
            </a:ext>
          </a:extLst>
        </cdr:cNvPr>
        <cdr:cNvCxnSpPr/>
      </cdr:nvCxnSpPr>
      <cdr:spPr>
        <a:xfrm xmlns:a="http://schemas.openxmlformats.org/drawingml/2006/main" flipH="1">
          <a:off x="5714905" y="2794000"/>
          <a:ext cx="17028" cy="3052591"/>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0.21467</cdr:x>
      <cdr:y>0.20951</cdr:y>
    </cdr:from>
    <cdr:to>
      <cdr:x>0.21593</cdr:x>
      <cdr:y>0.57413</cdr:y>
    </cdr:to>
    <cdr:cxnSp macro="">
      <cdr:nvCxnSpPr>
        <cdr:cNvPr id="24" name="Straight Connector 23">
          <a:extLst xmlns:a="http://schemas.openxmlformats.org/drawingml/2006/main">
            <a:ext uri="{FF2B5EF4-FFF2-40B4-BE49-F238E27FC236}">
              <a16:creationId xmlns:a16="http://schemas.microsoft.com/office/drawing/2014/main" id="{DC6C98FC-BD83-065A-6593-9DD344D3D7F9}"/>
            </a:ext>
          </a:extLst>
        </cdr:cNvPr>
        <cdr:cNvCxnSpPr/>
      </cdr:nvCxnSpPr>
      <cdr:spPr>
        <a:xfrm xmlns:a="http://schemas.openxmlformats.org/drawingml/2006/main" flipH="1">
          <a:off x="3031656" y="1796911"/>
          <a:ext cx="17794" cy="3127249"/>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0.32899</cdr:x>
      <cdr:y>0.15874</cdr:y>
    </cdr:from>
    <cdr:to>
      <cdr:x>0.33079</cdr:x>
      <cdr:y>0.55206</cdr:y>
    </cdr:to>
    <cdr:cxnSp macro="">
      <cdr:nvCxnSpPr>
        <cdr:cNvPr id="25" name="Straight Connector 24">
          <a:extLst xmlns:a="http://schemas.openxmlformats.org/drawingml/2006/main">
            <a:ext uri="{FF2B5EF4-FFF2-40B4-BE49-F238E27FC236}">
              <a16:creationId xmlns:a16="http://schemas.microsoft.com/office/drawing/2014/main" id="{502B98D8-00B0-6E36-1078-3D9DCEC88395}"/>
            </a:ext>
          </a:extLst>
        </cdr:cNvPr>
        <cdr:cNvCxnSpPr/>
      </cdr:nvCxnSpPr>
      <cdr:spPr>
        <a:xfrm xmlns:a="http://schemas.openxmlformats.org/drawingml/2006/main" flipH="1">
          <a:off x="4643967" y="1359958"/>
          <a:ext cx="25400" cy="3369734"/>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0.42436</cdr:x>
      <cdr:y>0.08796</cdr:y>
    </cdr:from>
    <cdr:to>
      <cdr:x>0.42616</cdr:x>
      <cdr:y>0.53761</cdr:y>
    </cdr:to>
    <cdr:cxnSp macro="">
      <cdr:nvCxnSpPr>
        <cdr:cNvPr id="27" name="Straight Connector 26">
          <a:extLst xmlns:a="http://schemas.openxmlformats.org/drawingml/2006/main">
            <a:ext uri="{FF2B5EF4-FFF2-40B4-BE49-F238E27FC236}">
              <a16:creationId xmlns:a16="http://schemas.microsoft.com/office/drawing/2014/main" id="{AF7989C5-544F-36DE-C50B-C1383ADE159B}"/>
            </a:ext>
          </a:extLst>
        </cdr:cNvPr>
        <cdr:cNvCxnSpPr/>
      </cdr:nvCxnSpPr>
      <cdr:spPr>
        <a:xfrm xmlns:a="http://schemas.openxmlformats.org/drawingml/2006/main" flipH="1">
          <a:off x="5992972" y="754002"/>
          <a:ext cx="25420" cy="3854625"/>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0.55902</cdr:x>
      <cdr:y>0.08104</cdr:y>
    </cdr:from>
    <cdr:to>
      <cdr:x>0.55962</cdr:x>
      <cdr:y>0.5129</cdr:y>
    </cdr:to>
    <cdr:cxnSp macro="">
      <cdr:nvCxnSpPr>
        <cdr:cNvPr id="30" name="Straight Connector 29">
          <a:extLst xmlns:a="http://schemas.openxmlformats.org/drawingml/2006/main">
            <a:ext uri="{FF2B5EF4-FFF2-40B4-BE49-F238E27FC236}">
              <a16:creationId xmlns:a16="http://schemas.microsoft.com/office/drawing/2014/main" id="{AFDA64E4-1F50-8B79-9EB4-67BA57BC806A}"/>
            </a:ext>
          </a:extLst>
        </cdr:cNvPr>
        <cdr:cNvCxnSpPr/>
      </cdr:nvCxnSpPr>
      <cdr:spPr>
        <a:xfrm xmlns:a="http://schemas.openxmlformats.org/drawingml/2006/main" flipH="1">
          <a:off x="7890933" y="694267"/>
          <a:ext cx="8467" cy="3699933"/>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0.12054</cdr:x>
      <cdr:y>0.29076</cdr:y>
    </cdr:from>
    <cdr:to>
      <cdr:x>0.16293</cdr:x>
      <cdr:y>0.33649</cdr:y>
    </cdr:to>
    <cdr:sp macro="" textlink="">
      <cdr:nvSpPr>
        <cdr:cNvPr id="34" name="TextBox 33"/>
        <cdr:cNvSpPr txBox="1"/>
      </cdr:nvSpPr>
      <cdr:spPr>
        <a:xfrm xmlns:a="http://schemas.openxmlformats.org/drawingml/2006/main">
          <a:off x="1701463" y="2491042"/>
          <a:ext cx="598366" cy="3917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a:solidFill>
                <a:srgbClr val="0070C0"/>
              </a:solidFill>
            </a:rPr>
            <a:t>Q0</a:t>
          </a:r>
        </a:p>
      </cdr:txBody>
    </cdr:sp>
  </cdr:relSizeAnchor>
  <cdr:relSizeAnchor xmlns:cdr="http://schemas.openxmlformats.org/drawingml/2006/chartDrawing">
    <cdr:from>
      <cdr:x>0.25352</cdr:x>
      <cdr:y>0.22662</cdr:y>
    </cdr:from>
    <cdr:to>
      <cdr:x>0.29591</cdr:x>
      <cdr:y>0.27235</cdr:y>
    </cdr:to>
    <cdr:sp macro="" textlink="">
      <cdr:nvSpPr>
        <cdr:cNvPr id="36" name="TextBox 1"/>
        <cdr:cNvSpPr txBox="1"/>
      </cdr:nvSpPr>
      <cdr:spPr>
        <a:xfrm xmlns:a="http://schemas.openxmlformats.org/drawingml/2006/main">
          <a:off x="3578640" y="1941480"/>
          <a:ext cx="598366" cy="39178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a:t>
          </a:r>
        </a:p>
      </cdr:txBody>
    </cdr:sp>
  </cdr:relSizeAnchor>
  <cdr:relSizeAnchor xmlns:cdr="http://schemas.openxmlformats.org/drawingml/2006/chartDrawing">
    <cdr:from>
      <cdr:x>0.35257</cdr:x>
      <cdr:y>0.1779</cdr:y>
    </cdr:from>
    <cdr:to>
      <cdr:x>0.40067</cdr:x>
      <cdr:y>0.21905</cdr:y>
    </cdr:to>
    <cdr:sp macro="" textlink="">
      <cdr:nvSpPr>
        <cdr:cNvPr id="37" name="TextBox 1"/>
        <cdr:cNvSpPr txBox="1"/>
      </cdr:nvSpPr>
      <cdr:spPr>
        <a:xfrm xmlns:a="http://schemas.openxmlformats.org/drawingml/2006/main">
          <a:off x="4976845" y="1524119"/>
          <a:ext cx="678889" cy="352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Q1.5</a:t>
          </a:r>
        </a:p>
      </cdr:txBody>
    </cdr:sp>
  </cdr:relSizeAnchor>
  <cdr:relSizeAnchor xmlns:cdr="http://schemas.openxmlformats.org/drawingml/2006/chartDrawing">
    <cdr:from>
      <cdr:x>0.47663</cdr:x>
      <cdr:y>0.13952</cdr:y>
    </cdr:from>
    <cdr:to>
      <cdr:x>0.51103</cdr:x>
      <cdr:y>0.18068</cdr:y>
    </cdr:to>
    <cdr:sp macro="" textlink="">
      <cdr:nvSpPr>
        <cdr:cNvPr id="38" name="TextBox 1"/>
        <cdr:cNvSpPr txBox="1"/>
      </cdr:nvSpPr>
      <cdr:spPr>
        <a:xfrm xmlns:a="http://schemas.openxmlformats.org/drawingml/2006/main">
          <a:off x="6727973" y="1195275"/>
          <a:ext cx="485628" cy="35263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Q3</a:t>
          </a:r>
        </a:p>
      </cdr:txBody>
    </cdr:sp>
  </cdr:relSizeAnchor>
  <cdr:relSizeAnchor xmlns:cdr="http://schemas.openxmlformats.org/drawingml/2006/chartDrawing">
    <cdr:from>
      <cdr:x>0.07006</cdr:x>
      <cdr:y>0.61956</cdr:y>
    </cdr:from>
    <cdr:to>
      <cdr:x>0.18611</cdr:x>
      <cdr:y>0.67607</cdr:y>
    </cdr:to>
    <cdr:sp macro="" textlink="">
      <cdr:nvSpPr>
        <cdr:cNvPr id="42" name="TextBox 1"/>
        <cdr:cNvSpPr txBox="1"/>
      </cdr:nvSpPr>
      <cdr:spPr>
        <a:xfrm xmlns:a="http://schemas.openxmlformats.org/drawingml/2006/main">
          <a:off x="988890" y="5307953"/>
          <a:ext cx="1638131" cy="48413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New</a:t>
          </a:r>
          <a:r>
            <a:rPr lang="en-US" sz="1800" b="1" baseline="0">
              <a:solidFill>
                <a:srgbClr val="FF0000"/>
              </a:solidFill>
            </a:rPr>
            <a:t> Born </a:t>
          </a:r>
          <a:r>
            <a:rPr lang="en-US" sz="1100" b="1" baseline="0">
              <a:solidFill>
                <a:srgbClr val="FF0000"/>
              </a:solidFill>
            </a:rPr>
            <a:t>5kg</a:t>
          </a:r>
          <a:endParaRPr lang="en-US" sz="1600" b="1">
            <a:solidFill>
              <a:srgbClr val="FF0000"/>
            </a:solidFill>
          </a:endParaRPr>
        </a:p>
      </cdr:txBody>
    </cdr:sp>
  </cdr:relSizeAnchor>
  <cdr:relSizeAnchor xmlns:cdr="http://schemas.openxmlformats.org/drawingml/2006/chartDrawing">
    <cdr:from>
      <cdr:x>0.27862</cdr:x>
      <cdr:y>0.60729</cdr:y>
    </cdr:from>
    <cdr:to>
      <cdr:x>0.39544</cdr:x>
      <cdr:y>0.68783</cdr:y>
    </cdr:to>
    <cdr:sp macro="" textlink="">
      <cdr:nvSpPr>
        <cdr:cNvPr id="43" name="TextBox 1"/>
        <cdr:cNvSpPr txBox="1"/>
      </cdr:nvSpPr>
      <cdr:spPr>
        <a:xfrm xmlns:a="http://schemas.openxmlformats.org/drawingml/2006/main">
          <a:off x="3932894" y="5202840"/>
          <a:ext cx="1649001" cy="68996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New</a:t>
          </a:r>
          <a:r>
            <a:rPr lang="en-US" sz="1800" b="1" baseline="0">
              <a:solidFill>
                <a:srgbClr val="FF0000"/>
              </a:solidFill>
            </a:rPr>
            <a:t> Born and CRABI </a:t>
          </a:r>
          <a:r>
            <a:rPr lang="en-US" sz="1100" b="1" baseline="0">
              <a:solidFill>
                <a:srgbClr val="FF0000"/>
              </a:solidFill>
              <a:effectLst/>
              <a:latin typeface="+mn-lt"/>
              <a:ea typeface="+mn-ea"/>
              <a:cs typeface="+mn-cs"/>
            </a:rPr>
            <a:t>5.1-10kg</a:t>
          </a:r>
          <a:endParaRPr lang="en-US" sz="1800" b="1">
            <a:solidFill>
              <a:srgbClr val="FF0000"/>
            </a:solidFill>
          </a:endParaRPr>
        </a:p>
      </cdr:txBody>
    </cdr:sp>
  </cdr:relSizeAnchor>
  <cdr:relSizeAnchor xmlns:cdr="http://schemas.openxmlformats.org/drawingml/2006/chartDrawing">
    <cdr:from>
      <cdr:x>0.45449</cdr:x>
      <cdr:y>0.5485</cdr:y>
    </cdr:from>
    <cdr:to>
      <cdr:x>0.55471</cdr:x>
      <cdr:y>0.62463</cdr:y>
    </cdr:to>
    <cdr:sp macro="" textlink="">
      <cdr:nvSpPr>
        <cdr:cNvPr id="45" name="TextBox 1"/>
        <cdr:cNvSpPr txBox="1"/>
      </cdr:nvSpPr>
      <cdr:spPr>
        <a:xfrm xmlns:a="http://schemas.openxmlformats.org/drawingml/2006/main">
          <a:off x="6415449" y="4699182"/>
          <a:ext cx="1414680" cy="65222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CRABI</a:t>
          </a:r>
          <a:r>
            <a:rPr lang="en-US" sz="1800" b="1" baseline="0">
              <a:solidFill>
                <a:srgbClr val="FF0000"/>
              </a:solidFill>
            </a:rPr>
            <a:t> and 3yr </a:t>
          </a:r>
          <a:r>
            <a:rPr lang="en-US" sz="1100" b="1" baseline="0">
              <a:solidFill>
                <a:srgbClr val="FF0000"/>
              </a:solidFill>
            </a:rPr>
            <a:t>10.1-18kg</a:t>
          </a:r>
          <a:endParaRPr lang="en-US" sz="1100" b="1">
            <a:solidFill>
              <a:srgbClr val="FF0000"/>
            </a:solidFill>
          </a:endParaRPr>
        </a:p>
      </cdr:txBody>
    </cdr:sp>
  </cdr:relSizeAnchor>
  <cdr:relSizeAnchor xmlns:cdr="http://schemas.openxmlformats.org/drawingml/2006/chartDrawing">
    <cdr:from>
      <cdr:x>0.16495</cdr:x>
      <cdr:y>0.31426</cdr:y>
    </cdr:from>
    <cdr:to>
      <cdr:x>0.21473</cdr:x>
      <cdr:y>0.31426</cdr:y>
    </cdr:to>
    <cdr:cxnSp macro="">
      <cdr:nvCxnSpPr>
        <cdr:cNvPr id="51" name="Straight Arrow Connector 50">
          <a:extLst xmlns:a="http://schemas.openxmlformats.org/drawingml/2006/main">
            <a:ext uri="{FF2B5EF4-FFF2-40B4-BE49-F238E27FC236}">
              <a16:creationId xmlns:a16="http://schemas.microsoft.com/office/drawing/2014/main" id="{307514B8-9D30-BF3D-E1E0-55779148C142}"/>
            </a:ext>
          </a:extLst>
        </cdr:cNvPr>
        <cdr:cNvCxnSpPr/>
      </cdr:nvCxnSpPr>
      <cdr:spPr>
        <a:xfrm xmlns:a="http://schemas.openxmlformats.org/drawingml/2006/main">
          <a:off x="2328334" y="2692399"/>
          <a:ext cx="702733" cy="0"/>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0.2933</cdr:x>
      <cdr:y>0.25299</cdr:y>
    </cdr:from>
    <cdr:to>
      <cdr:x>0.32389</cdr:x>
      <cdr:y>0.25299</cdr:y>
    </cdr:to>
    <cdr:cxnSp macro="">
      <cdr:nvCxnSpPr>
        <cdr:cNvPr id="53" name="Straight Arrow Connector 52">
          <a:extLst xmlns:a="http://schemas.openxmlformats.org/drawingml/2006/main">
            <a:ext uri="{FF2B5EF4-FFF2-40B4-BE49-F238E27FC236}">
              <a16:creationId xmlns:a16="http://schemas.microsoft.com/office/drawing/2014/main" id="{FB76EB75-12C3-B627-5019-53FD098AA9A8}"/>
            </a:ext>
          </a:extLst>
        </cdr:cNvPr>
        <cdr:cNvCxnSpPr/>
      </cdr:nvCxnSpPr>
      <cdr:spPr>
        <a:xfrm xmlns:a="http://schemas.openxmlformats.org/drawingml/2006/main">
          <a:off x="4140199" y="2167467"/>
          <a:ext cx="431800" cy="0"/>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0.39767</cdr:x>
      <cdr:y>0.20062</cdr:y>
    </cdr:from>
    <cdr:to>
      <cdr:x>0.42226</cdr:x>
      <cdr:y>0.20062</cdr:y>
    </cdr:to>
    <cdr:cxnSp macro="">
      <cdr:nvCxnSpPr>
        <cdr:cNvPr id="55" name="Straight Arrow Connector 54">
          <a:extLst xmlns:a="http://schemas.openxmlformats.org/drawingml/2006/main">
            <a:ext uri="{FF2B5EF4-FFF2-40B4-BE49-F238E27FC236}">
              <a16:creationId xmlns:a16="http://schemas.microsoft.com/office/drawing/2014/main" id="{587FEB0F-DDFE-CB16-DAA6-48A01A4AC42C}"/>
            </a:ext>
          </a:extLst>
        </cdr:cNvPr>
        <cdr:cNvCxnSpPr/>
      </cdr:nvCxnSpPr>
      <cdr:spPr>
        <a:xfrm xmlns:a="http://schemas.openxmlformats.org/drawingml/2006/main">
          <a:off x="5613401" y="1718733"/>
          <a:ext cx="347133" cy="0"/>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0.50863</cdr:x>
      <cdr:y>0.16306</cdr:y>
    </cdr:from>
    <cdr:to>
      <cdr:x>0.55842</cdr:x>
      <cdr:y>0.16405</cdr:y>
    </cdr:to>
    <cdr:cxnSp macro="">
      <cdr:nvCxnSpPr>
        <cdr:cNvPr id="57" name="Straight Arrow Connector 56">
          <a:extLst xmlns:a="http://schemas.openxmlformats.org/drawingml/2006/main">
            <a:ext uri="{FF2B5EF4-FFF2-40B4-BE49-F238E27FC236}">
              <a16:creationId xmlns:a16="http://schemas.microsoft.com/office/drawing/2014/main" id="{B1B877AB-C71F-D083-C339-5F10C4B52914}"/>
            </a:ext>
          </a:extLst>
        </cdr:cNvPr>
        <cdr:cNvCxnSpPr/>
      </cdr:nvCxnSpPr>
      <cdr:spPr>
        <a:xfrm xmlns:a="http://schemas.openxmlformats.org/drawingml/2006/main">
          <a:off x="7179733" y="1397001"/>
          <a:ext cx="702734" cy="8466"/>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0.42913</cdr:x>
      <cdr:y>0.16109</cdr:y>
    </cdr:from>
    <cdr:to>
      <cdr:x>0.47924</cdr:x>
      <cdr:y>0.16116</cdr:y>
    </cdr:to>
    <cdr:cxnSp macro="">
      <cdr:nvCxnSpPr>
        <cdr:cNvPr id="65" name="Straight Arrow Connector 64">
          <a:extLst xmlns:a="http://schemas.openxmlformats.org/drawingml/2006/main">
            <a:ext uri="{FF2B5EF4-FFF2-40B4-BE49-F238E27FC236}">
              <a16:creationId xmlns:a16="http://schemas.microsoft.com/office/drawing/2014/main" id="{17363D4A-7698-893C-C92B-26BAA89D9DEE}"/>
            </a:ext>
          </a:extLst>
        </cdr:cNvPr>
        <cdr:cNvCxnSpPr/>
      </cdr:nvCxnSpPr>
      <cdr:spPr>
        <a:xfrm xmlns:a="http://schemas.openxmlformats.org/drawingml/2006/main" flipH="1">
          <a:off x="6057419" y="1380067"/>
          <a:ext cx="707448" cy="661"/>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0.32892</cdr:x>
      <cdr:y>0.19963</cdr:y>
    </cdr:from>
    <cdr:to>
      <cdr:x>0.35208</cdr:x>
      <cdr:y>0.19988</cdr:y>
    </cdr:to>
    <cdr:cxnSp macro="">
      <cdr:nvCxnSpPr>
        <cdr:cNvPr id="68" name="Straight Arrow Connector 67">
          <a:extLst xmlns:a="http://schemas.openxmlformats.org/drawingml/2006/main">
            <a:ext uri="{FF2B5EF4-FFF2-40B4-BE49-F238E27FC236}">
              <a16:creationId xmlns:a16="http://schemas.microsoft.com/office/drawing/2014/main" id="{26B91E70-B739-5CE6-2E73-B3FCB9C79FFD}"/>
            </a:ext>
          </a:extLst>
        </cdr:cNvPr>
        <cdr:cNvCxnSpPr/>
      </cdr:nvCxnSpPr>
      <cdr:spPr>
        <a:xfrm xmlns:a="http://schemas.openxmlformats.org/drawingml/2006/main" flipH="1">
          <a:off x="4643011" y="1710267"/>
          <a:ext cx="326923" cy="2131"/>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0.21638</cdr:x>
      <cdr:y>0.25003</cdr:y>
    </cdr:from>
    <cdr:to>
      <cdr:x>0.25612</cdr:x>
      <cdr:y>0.25028</cdr:y>
    </cdr:to>
    <cdr:cxnSp macro="">
      <cdr:nvCxnSpPr>
        <cdr:cNvPr id="71" name="Straight Arrow Connector 70">
          <a:extLst xmlns:a="http://schemas.openxmlformats.org/drawingml/2006/main">
            <a:ext uri="{FF2B5EF4-FFF2-40B4-BE49-F238E27FC236}">
              <a16:creationId xmlns:a16="http://schemas.microsoft.com/office/drawing/2014/main" id="{83708C08-9A35-0B64-5650-53D22FF31BBB}"/>
            </a:ext>
          </a:extLst>
        </cdr:cNvPr>
        <cdr:cNvCxnSpPr/>
      </cdr:nvCxnSpPr>
      <cdr:spPr>
        <a:xfrm xmlns:a="http://schemas.openxmlformats.org/drawingml/2006/main" flipH="1">
          <a:off x="3054309" y="2142067"/>
          <a:ext cx="560957" cy="2131"/>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0.16996</cdr:x>
      <cdr:y>0.64591</cdr:y>
    </cdr:from>
    <cdr:to>
      <cdr:x>0.25132</cdr:x>
      <cdr:y>0.64632</cdr:y>
    </cdr:to>
    <cdr:cxnSp macro="">
      <cdr:nvCxnSpPr>
        <cdr:cNvPr id="73" name="Straight Arrow Connector 72">
          <a:extLst xmlns:a="http://schemas.openxmlformats.org/drawingml/2006/main">
            <a:ext uri="{FF2B5EF4-FFF2-40B4-BE49-F238E27FC236}">
              <a16:creationId xmlns:a16="http://schemas.microsoft.com/office/drawing/2014/main" id="{B8189B2A-CB77-5CB5-7104-5E6E057DE7F7}"/>
            </a:ext>
          </a:extLst>
        </cdr:cNvPr>
        <cdr:cNvCxnSpPr/>
      </cdr:nvCxnSpPr>
      <cdr:spPr>
        <a:xfrm xmlns:a="http://schemas.openxmlformats.org/drawingml/2006/main">
          <a:off x="2399093" y="5533689"/>
          <a:ext cx="1148440" cy="3511"/>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0.38333</cdr:x>
      <cdr:y>0.64731</cdr:y>
    </cdr:from>
    <cdr:to>
      <cdr:x>0.40187</cdr:x>
      <cdr:y>0.6474</cdr:y>
    </cdr:to>
    <cdr:cxnSp macro="">
      <cdr:nvCxnSpPr>
        <cdr:cNvPr id="75" name="Straight Arrow Connector 74">
          <a:extLst xmlns:a="http://schemas.openxmlformats.org/drawingml/2006/main">
            <a:ext uri="{FF2B5EF4-FFF2-40B4-BE49-F238E27FC236}">
              <a16:creationId xmlns:a16="http://schemas.microsoft.com/office/drawing/2014/main" id="{FA318D77-0622-0B2C-56D5-B4CDB1FF28B0}"/>
            </a:ext>
          </a:extLst>
        </cdr:cNvPr>
        <cdr:cNvCxnSpPr/>
      </cdr:nvCxnSpPr>
      <cdr:spPr>
        <a:xfrm xmlns:a="http://schemas.openxmlformats.org/drawingml/2006/main" flipV="1">
          <a:off x="5410966" y="5545667"/>
          <a:ext cx="261701" cy="828"/>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0.54042</cdr:x>
      <cdr:y>0.58999</cdr:y>
    </cdr:from>
    <cdr:to>
      <cdr:x>0.5962</cdr:x>
      <cdr:y>0.59098</cdr:y>
    </cdr:to>
    <cdr:cxnSp macro="">
      <cdr:nvCxnSpPr>
        <cdr:cNvPr id="81" name="Straight Arrow Connector 80">
          <a:extLst xmlns:a="http://schemas.openxmlformats.org/drawingml/2006/main">
            <a:ext uri="{FF2B5EF4-FFF2-40B4-BE49-F238E27FC236}">
              <a16:creationId xmlns:a16="http://schemas.microsoft.com/office/drawing/2014/main" id="{838212D5-93CE-DDFC-4B03-BDAD2AE19585}"/>
            </a:ext>
          </a:extLst>
        </cdr:cNvPr>
        <cdr:cNvCxnSpPr/>
      </cdr:nvCxnSpPr>
      <cdr:spPr>
        <a:xfrm xmlns:a="http://schemas.openxmlformats.org/drawingml/2006/main">
          <a:off x="7628467" y="5054600"/>
          <a:ext cx="787400" cy="8466"/>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0.4065</cdr:x>
      <cdr:y>0.59098</cdr:y>
    </cdr:from>
    <cdr:to>
      <cdr:x>0.44745</cdr:x>
      <cdr:y>0.59135</cdr:y>
    </cdr:to>
    <cdr:cxnSp macro="">
      <cdr:nvCxnSpPr>
        <cdr:cNvPr id="85" name="Straight Arrow Connector 84">
          <a:extLst xmlns:a="http://schemas.openxmlformats.org/drawingml/2006/main">
            <a:ext uri="{FF2B5EF4-FFF2-40B4-BE49-F238E27FC236}">
              <a16:creationId xmlns:a16="http://schemas.microsoft.com/office/drawing/2014/main" id="{C2AFE2C5-A9B1-F9C9-B9A5-3BF36322651B}"/>
            </a:ext>
          </a:extLst>
        </cdr:cNvPr>
        <cdr:cNvCxnSpPr/>
      </cdr:nvCxnSpPr>
      <cdr:spPr>
        <a:xfrm xmlns:a="http://schemas.openxmlformats.org/drawingml/2006/main" flipH="1">
          <a:off x="5738051" y="5063066"/>
          <a:ext cx="578083" cy="3225"/>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0.25672</cdr:x>
      <cdr:y>0.64731</cdr:y>
    </cdr:from>
    <cdr:to>
      <cdr:x>0.27862</cdr:x>
      <cdr:y>0.64756</cdr:y>
    </cdr:to>
    <cdr:cxnSp macro="">
      <cdr:nvCxnSpPr>
        <cdr:cNvPr id="87" name="Straight Arrow Connector 86">
          <a:extLst xmlns:a="http://schemas.openxmlformats.org/drawingml/2006/main">
            <a:ext uri="{FF2B5EF4-FFF2-40B4-BE49-F238E27FC236}">
              <a16:creationId xmlns:a16="http://schemas.microsoft.com/office/drawing/2014/main" id="{F140488F-2EB7-0B02-76EB-265750E56645}"/>
            </a:ext>
          </a:extLst>
        </cdr:cNvPr>
        <cdr:cNvCxnSpPr>
          <a:stCxn xmlns:a="http://schemas.openxmlformats.org/drawingml/2006/main" id="43" idx="1"/>
        </cdr:cNvCxnSpPr>
      </cdr:nvCxnSpPr>
      <cdr:spPr>
        <a:xfrm xmlns:a="http://schemas.openxmlformats.org/drawingml/2006/main" flipH="1" flipV="1">
          <a:off x="3623733" y="5545667"/>
          <a:ext cx="309161" cy="2153"/>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0.071</cdr:x>
      <cdr:y>0.10074</cdr:y>
    </cdr:from>
    <cdr:to>
      <cdr:x>0.3161</cdr:x>
      <cdr:y>0.1512</cdr:y>
    </cdr:to>
    <cdr:sp macro="" textlink="">
      <cdr:nvSpPr>
        <cdr:cNvPr id="40" name="TextBox 1"/>
        <cdr:cNvSpPr txBox="1"/>
      </cdr:nvSpPr>
      <cdr:spPr>
        <a:xfrm xmlns:a="http://schemas.openxmlformats.org/drawingml/2006/main">
          <a:off x="1002235" y="863054"/>
          <a:ext cx="3459698" cy="43234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EU CN</a:t>
          </a:r>
          <a:r>
            <a:rPr lang="en-US" sz="1800" b="1" baseline="0">
              <a:solidFill>
                <a:srgbClr val="0070C0"/>
              </a:solidFill>
            </a:rPr>
            <a:t> Child Fit and Test Dummies</a:t>
          </a:r>
          <a:endParaRPr lang="en-US" sz="1800" b="1">
            <a:solidFill>
              <a:srgbClr val="0070C0"/>
            </a:solidFill>
          </a:endParaRPr>
        </a:p>
      </cdr:txBody>
    </cdr:sp>
  </cdr:relSizeAnchor>
  <cdr:relSizeAnchor xmlns:cdr="http://schemas.openxmlformats.org/drawingml/2006/chartDrawing">
    <cdr:from>
      <cdr:x>0.71137</cdr:x>
      <cdr:y>0.60288</cdr:y>
    </cdr:from>
    <cdr:to>
      <cdr:x>0.98128</cdr:x>
      <cdr:y>0.65422</cdr:y>
    </cdr:to>
    <cdr:sp macro="" textlink="">
      <cdr:nvSpPr>
        <cdr:cNvPr id="44" name="TextBox 1"/>
        <cdr:cNvSpPr txBox="1"/>
      </cdr:nvSpPr>
      <cdr:spPr>
        <a:xfrm xmlns:a="http://schemas.openxmlformats.org/drawingml/2006/main">
          <a:off x="10041466" y="5165053"/>
          <a:ext cx="3810001" cy="43988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US CA</a:t>
          </a:r>
          <a:r>
            <a:rPr lang="en-US" sz="1800" b="1" baseline="0">
              <a:solidFill>
                <a:srgbClr val="FF0000"/>
              </a:solidFill>
            </a:rPr>
            <a:t> 213 Child Fit and Test Dummies</a:t>
          </a:r>
          <a:endParaRPr lang="en-US" sz="1800" b="1">
            <a:solidFill>
              <a:srgbClr val="FF0000"/>
            </a:solidFill>
          </a:endParaRPr>
        </a:p>
      </cdr:txBody>
    </cdr:sp>
  </cdr:relSizeAnchor>
  <cdr:relSizeAnchor xmlns:cdr="http://schemas.openxmlformats.org/drawingml/2006/chartDrawing">
    <cdr:from>
      <cdr:x>0.5962</cdr:x>
      <cdr:y>0.25497</cdr:y>
    </cdr:from>
    <cdr:to>
      <cdr:x>0.598</cdr:x>
      <cdr:y>0.62557</cdr:y>
    </cdr:to>
    <cdr:cxnSp macro="">
      <cdr:nvCxnSpPr>
        <cdr:cNvPr id="48" name="Straight Connector 47">
          <a:extLst xmlns:a="http://schemas.openxmlformats.org/drawingml/2006/main">
            <a:ext uri="{FF2B5EF4-FFF2-40B4-BE49-F238E27FC236}">
              <a16:creationId xmlns:a16="http://schemas.microsoft.com/office/drawing/2014/main" id="{EE773CB8-3AEA-6DE8-18DD-F3BE032951B5}"/>
            </a:ext>
          </a:extLst>
        </cdr:cNvPr>
        <cdr:cNvCxnSpPr/>
      </cdr:nvCxnSpPr>
      <cdr:spPr>
        <a:xfrm xmlns:a="http://schemas.openxmlformats.org/drawingml/2006/main" flipH="1">
          <a:off x="8415867" y="2184400"/>
          <a:ext cx="25400" cy="3175000"/>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0.71197</cdr:x>
      <cdr:y>0.21346</cdr:y>
    </cdr:from>
    <cdr:to>
      <cdr:x>0.71257</cdr:x>
      <cdr:y>0.5633</cdr:y>
    </cdr:to>
    <cdr:cxnSp macro="">
      <cdr:nvCxnSpPr>
        <cdr:cNvPr id="82" name="Straight Connector 81">
          <a:extLst xmlns:a="http://schemas.openxmlformats.org/drawingml/2006/main">
            <a:ext uri="{FF2B5EF4-FFF2-40B4-BE49-F238E27FC236}">
              <a16:creationId xmlns:a16="http://schemas.microsoft.com/office/drawing/2014/main" id="{666B7822-8DA9-3FC5-DAB1-22C0FB8A6B3C}"/>
            </a:ext>
          </a:extLst>
        </cdr:cNvPr>
        <cdr:cNvCxnSpPr/>
      </cdr:nvCxnSpPr>
      <cdr:spPr>
        <a:xfrm xmlns:a="http://schemas.openxmlformats.org/drawingml/2006/main" flipH="1">
          <a:off x="10049933" y="1828800"/>
          <a:ext cx="8468" cy="2997200"/>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0.71137</cdr:x>
      <cdr:y>0.084</cdr:y>
    </cdr:from>
    <cdr:to>
      <cdr:x>0.71257</cdr:x>
      <cdr:y>0.4882</cdr:y>
    </cdr:to>
    <cdr:cxnSp macro="">
      <cdr:nvCxnSpPr>
        <cdr:cNvPr id="86" name="Straight Connector 85">
          <a:extLst xmlns:a="http://schemas.openxmlformats.org/drawingml/2006/main">
            <a:ext uri="{FF2B5EF4-FFF2-40B4-BE49-F238E27FC236}">
              <a16:creationId xmlns:a16="http://schemas.microsoft.com/office/drawing/2014/main" id="{FBBF7DE8-5293-B304-4CDC-51D9E831E756}"/>
            </a:ext>
          </a:extLst>
        </cdr:cNvPr>
        <cdr:cNvCxnSpPr/>
      </cdr:nvCxnSpPr>
      <cdr:spPr>
        <a:xfrm xmlns:a="http://schemas.openxmlformats.org/drawingml/2006/main" flipH="1">
          <a:off x="10041467" y="719667"/>
          <a:ext cx="16933" cy="3462866"/>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0.61912</cdr:x>
      <cdr:y>0.11266</cdr:y>
    </cdr:from>
    <cdr:to>
      <cdr:x>0.65352</cdr:x>
      <cdr:y>0.15382</cdr:y>
    </cdr:to>
    <cdr:sp macro="" textlink="">
      <cdr:nvSpPr>
        <cdr:cNvPr id="93" name="TextBox 1"/>
        <cdr:cNvSpPr txBox="1"/>
      </cdr:nvSpPr>
      <cdr:spPr>
        <a:xfrm xmlns:a="http://schemas.openxmlformats.org/drawingml/2006/main">
          <a:off x="8739287" y="965200"/>
          <a:ext cx="485628" cy="35263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Q6</a:t>
          </a:r>
        </a:p>
      </cdr:txBody>
    </cdr:sp>
  </cdr:relSizeAnchor>
  <cdr:relSizeAnchor xmlns:cdr="http://schemas.openxmlformats.org/drawingml/2006/chartDrawing">
    <cdr:from>
      <cdr:x>0.65112</cdr:x>
      <cdr:y>0.13621</cdr:y>
    </cdr:from>
    <cdr:to>
      <cdr:x>0.71137</cdr:x>
      <cdr:y>0.13638</cdr:y>
    </cdr:to>
    <cdr:cxnSp macro="">
      <cdr:nvCxnSpPr>
        <cdr:cNvPr id="94" name="Straight Arrow Connector 93">
          <a:extLst xmlns:a="http://schemas.openxmlformats.org/drawingml/2006/main">
            <a:ext uri="{FF2B5EF4-FFF2-40B4-BE49-F238E27FC236}">
              <a16:creationId xmlns:a16="http://schemas.microsoft.com/office/drawing/2014/main" id="{403A8084-9224-5071-9082-F821BFEB1AE6}"/>
            </a:ext>
          </a:extLst>
        </cdr:cNvPr>
        <cdr:cNvCxnSpPr/>
      </cdr:nvCxnSpPr>
      <cdr:spPr>
        <a:xfrm xmlns:a="http://schemas.openxmlformats.org/drawingml/2006/main">
          <a:off x="9191047" y="1166926"/>
          <a:ext cx="850420" cy="1474"/>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0.56202</cdr:x>
      <cdr:y>0.13423</cdr:y>
    </cdr:from>
    <cdr:to>
      <cdr:x>0.62173</cdr:x>
      <cdr:y>0.1344</cdr:y>
    </cdr:to>
    <cdr:cxnSp macro="">
      <cdr:nvCxnSpPr>
        <cdr:cNvPr id="95" name="Straight Arrow Connector 94">
          <a:extLst xmlns:a="http://schemas.openxmlformats.org/drawingml/2006/main">
            <a:ext uri="{FF2B5EF4-FFF2-40B4-BE49-F238E27FC236}">
              <a16:creationId xmlns:a16="http://schemas.microsoft.com/office/drawing/2014/main" id="{763F02D0-8BF3-B559-8830-7F9361483709}"/>
            </a:ext>
          </a:extLst>
        </cdr:cNvPr>
        <cdr:cNvCxnSpPr/>
      </cdr:nvCxnSpPr>
      <cdr:spPr>
        <a:xfrm xmlns:a="http://schemas.openxmlformats.org/drawingml/2006/main" flipH="1">
          <a:off x="7933267" y="1149992"/>
          <a:ext cx="842914" cy="147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0.77327</cdr:x>
      <cdr:y>0.08301</cdr:y>
    </cdr:from>
    <cdr:to>
      <cdr:x>0.81513</cdr:x>
      <cdr:y>0.12417</cdr:y>
    </cdr:to>
    <cdr:sp macro="" textlink="">
      <cdr:nvSpPr>
        <cdr:cNvPr id="98" name="TextBox 1"/>
        <cdr:cNvSpPr txBox="1"/>
      </cdr:nvSpPr>
      <cdr:spPr>
        <a:xfrm xmlns:a="http://schemas.openxmlformats.org/drawingml/2006/main">
          <a:off x="10915220" y="711200"/>
          <a:ext cx="590980" cy="35263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Q10</a:t>
          </a:r>
        </a:p>
      </cdr:txBody>
    </cdr:sp>
  </cdr:relSizeAnchor>
  <cdr:relSizeAnchor xmlns:cdr="http://schemas.openxmlformats.org/drawingml/2006/chartDrawing">
    <cdr:from>
      <cdr:x>0.81633</cdr:x>
      <cdr:y>0.10574</cdr:y>
    </cdr:from>
    <cdr:to>
      <cdr:x>0.96508</cdr:x>
      <cdr:y>0.10574</cdr:y>
    </cdr:to>
    <cdr:cxnSp macro="">
      <cdr:nvCxnSpPr>
        <cdr:cNvPr id="99" name="Straight Arrow Connector 98">
          <a:extLst xmlns:a="http://schemas.openxmlformats.org/drawingml/2006/main">
            <a:ext uri="{FF2B5EF4-FFF2-40B4-BE49-F238E27FC236}">
              <a16:creationId xmlns:a16="http://schemas.microsoft.com/office/drawing/2014/main" id="{9645789D-5838-D86B-A19D-C402611603BC}"/>
            </a:ext>
          </a:extLst>
        </cdr:cNvPr>
        <cdr:cNvCxnSpPr/>
      </cdr:nvCxnSpPr>
      <cdr:spPr>
        <a:xfrm xmlns:a="http://schemas.openxmlformats.org/drawingml/2006/main">
          <a:off x="11523133" y="905933"/>
          <a:ext cx="2099733" cy="1"/>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0.71617</cdr:x>
      <cdr:y>0.10458</cdr:y>
    </cdr:from>
    <cdr:to>
      <cdr:x>0.77588</cdr:x>
      <cdr:y>0.10476</cdr:y>
    </cdr:to>
    <cdr:cxnSp macro="">
      <cdr:nvCxnSpPr>
        <cdr:cNvPr id="100" name="Straight Arrow Connector 99">
          <a:extLst xmlns:a="http://schemas.openxmlformats.org/drawingml/2006/main">
            <a:ext uri="{FF2B5EF4-FFF2-40B4-BE49-F238E27FC236}">
              <a16:creationId xmlns:a16="http://schemas.microsoft.com/office/drawing/2014/main" id="{6DFF9E35-568E-1FA4-BE5F-46B550573363}"/>
            </a:ext>
          </a:extLst>
        </cdr:cNvPr>
        <cdr:cNvCxnSpPr/>
      </cdr:nvCxnSpPr>
      <cdr:spPr>
        <a:xfrm xmlns:a="http://schemas.openxmlformats.org/drawingml/2006/main" flipH="1">
          <a:off x="10109200" y="895992"/>
          <a:ext cx="842914" cy="147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0.60624</cdr:x>
      <cdr:y>0.52205</cdr:y>
    </cdr:from>
    <cdr:to>
      <cdr:x>0.71901</cdr:x>
      <cdr:y>0.59818</cdr:y>
    </cdr:to>
    <cdr:sp macro="" textlink="">
      <cdr:nvSpPr>
        <cdr:cNvPr id="104" name="TextBox 1"/>
        <cdr:cNvSpPr txBox="1"/>
      </cdr:nvSpPr>
      <cdr:spPr>
        <a:xfrm xmlns:a="http://schemas.openxmlformats.org/drawingml/2006/main">
          <a:off x="8561578" y="4477502"/>
          <a:ext cx="1592583" cy="652947"/>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baseline="0">
              <a:solidFill>
                <a:srgbClr val="FF0000"/>
              </a:solidFill>
            </a:rPr>
            <a:t>6yr </a:t>
          </a:r>
          <a:r>
            <a:rPr lang="en-US" sz="1100" b="1" baseline="0">
              <a:solidFill>
                <a:srgbClr val="FF0000"/>
              </a:solidFill>
            </a:rPr>
            <a:t>18.1-22.7kg</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800" b="1" baseline="0">
              <a:solidFill>
                <a:srgbClr val="FF0000"/>
              </a:solidFill>
              <a:effectLst/>
              <a:latin typeface="+mn-lt"/>
              <a:ea typeface="+mn-ea"/>
              <a:cs typeface="+mn-cs"/>
            </a:rPr>
            <a:t>6yr, wtd </a:t>
          </a:r>
          <a:r>
            <a:rPr lang="en-US" sz="1100" b="1" baseline="0">
              <a:solidFill>
                <a:srgbClr val="FF0000"/>
              </a:solidFill>
              <a:effectLst/>
              <a:latin typeface="+mn-lt"/>
              <a:ea typeface="+mn-ea"/>
              <a:cs typeface="+mn-cs"/>
            </a:rPr>
            <a:t>22.7-30kg</a:t>
          </a:r>
          <a:endParaRPr lang="en-US" sz="1800">
            <a:solidFill>
              <a:srgbClr val="FF0000"/>
            </a:solidFill>
            <a:effectLst/>
          </a:endParaRPr>
        </a:p>
        <a:p xmlns:a="http://schemas.openxmlformats.org/drawingml/2006/main">
          <a:endParaRPr lang="en-US" sz="1800" b="1">
            <a:solidFill>
              <a:srgbClr val="FF0000"/>
            </a:solidFill>
          </a:endParaRPr>
        </a:p>
      </cdr:txBody>
    </cdr:sp>
  </cdr:relSizeAnchor>
  <cdr:relSizeAnchor xmlns:cdr="http://schemas.openxmlformats.org/drawingml/2006/chartDrawing">
    <cdr:from>
      <cdr:x>0.77087</cdr:x>
      <cdr:y>0.50599</cdr:y>
    </cdr:from>
    <cdr:to>
      <cdr:x>0.84092</cdr:x>
      <cdr:y>0.54715</cdr:y>
    </cdr:to>
    <cdr:sp macro="" textlink="">
      <cdr:nvSpPr>
        <cdr:cNvPr id="118" name="TextBox 1"/>
        <cdr:cNvSpPr txBox="1"/>
      </cdr:nvSpPr>
      <cdr:spPr>
        <a:xfrm xmlns:a="http://schemas.openxmlformats.org/drawingml/2006/main">
          <a:off x="10881353" y="4334933"/>
          <a:ext cx="988914" cy="352630"/>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800" b="1">
              <a:solidFill>
                <a:srgbClr val="FF0000"/>
              </a:solidFill>
            </a:rPr>
            <a:t>10yr </a:t>
          </a:r>
          <a:r>
            <a:rPr lang="en-US" sz="1100" b="1" baseline="0">
              <a:solidFill>
                <a:srgbClr val="FF0000"/>
              </a:solidFill>
              <a:effectLst/>
              <a:latin typeface="+mn-lt"/>
              <a:ea typeface="+mn-ea"/>
              <a:cs typeface="+mn-cs"/>
            </a:rPr>
            <a:t>30kg</a:t>
          </a:r>
          <a:endParaRPr lang="en-US" sz="1800">
            <a:solidFill>
              <a:srgbClr val="FF0000"/>
            </a:solidFill>
            <a:effectLst/>
          </a:endParaRPr>
        </a:p>
        <a:p xmlns:a="http://schemas.openxmlformats.org/drawingml/2006/main">
          <a:endParaRPr lang="en-US" sz="1800" b="1">
            <a:solidFill>
              <a:srgbClr val="FF0000"/>
            </a:solidFill>
          </a:endParaRPr>
        </a:p>
      </cdr:txBody>
    </cdr:sp>
  </cdr:relSizeAnchor>
  <cdr:relSizeAnchor xmlns:cdr="http://schemas.openxmlformats.org/drawingml/2006/chartDrawing">
    <cdr:from>
      <cdr:x>0.84272</cdr:x>
      <cdr:y>0.52872</cdr:y>
    </cdr:from>
    <cdr:to>
      <cdr:x>0.96268</cdr:x>
      <cdr:y>0.52872</cdr:y>
    </cdr:to>
    <cdr:cxnSp macro="">
      <cdr:nvCxnSpPr>
        <cdr:cNvPr id="119" name="Straight Arrow Connector 118">
          <a:extLst xmlns:a="http://schemas.openxmlformats.org/drawingml/2006/main">
            <a:ext uri="{FF2B5EF4-FFF2-40B4-BE49-F238E27FC236}">
              <a16:creationId xmlns:a16="http://schemas.microsoft.com/office/drawing/2014/main" id="{4CB861DF-6DF6-F231-2CCD-7B2245CDD3D4}"/>
            </a:ext>
          </a:extLst>
        </cdr:cNvPr>
        <cdr:cNvCxnSpPr/>
      </cdr:nvCxnSpPr>
      <cdr:spPr>
        <a:xfrm xmlns:a="http://schemas.openxmlformats.org/drawingml/2006/main">
          <a:off x="11895667" y="4529667"/>
          <a:ext cx="1693333" cy="0"/>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0.71377</cdr:x>
      <cdr:y>0.52756</cdr:y>
    </cdr:from>
    <cdr:to>
      <cdr:x>0.77348</cdr:x>
      <cdr:y>0.52773</cdr:y>
    </cdr:to>
    <cdr:cxnSp macro="">
      <cdr:nvCxnSpPr>
        <cdr:cNvPr id="120" name="Straight Arrow Connector 119">
          <a:extLst xmlns:a="http://schemas.openxmlformats.org/drawingml/2006/main">
            <a:ext uri="{FF2B5EF4-FFF2-40B4-BE49-F238E27FC236}">
              <a16:creationId xmlns:a16="http://schemas.microsoft.com/office/drawing/2014/main" id="{A5F42D43-4E59-633B-7A77-8E29AC1D498A}"/>
            </a:ext>
          </a:extLst>
        </cdr:cNvPr>
        <cdr:cNvCxnSpPr/>
      </cdr:nvCxnSpPr>
      <cdr:spPr>
        <a:xfrm xmlns:a="http://schemas.openxmlformats.org/drawingml/2006/main" flipH="1">
          <a:off x="10075334" y="4519725"/>
          <a:ext cx="842914" cy="1475"/>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0.6908</cdr:x>
      <cdr:y>0.5501</cdr:y>
    </cdr:from>
    <cdr:to>
      <cdr:x>0.70934</cdr:x>
      <cdr:y>0.55019</cdr:y>
    </cdr:to>
    <cdr:cxnSp macro="">
      <cdr:nvCxnSpPr>
        <cdr:cNvPr id="46" name="Straight Arrow Connector 45">
          <a:extLst xmlns:a="http://schemas.openxmlformats.org/drawingml/2006/main">
            <a:ext uri="{FF2B5EF4-FFF2-40B4-BE49-F238E27FC236}">
              <a16:creationId xmlns:a16="http://schemas.microsoft.com/office/drawing/2014/main" id="{E5791AD8-4F8E-83AC-72AA-02F21AA2DF05}"/>
            </a:ext>
          </a:extLst>
        </cdr:cNvPr>
        <cdr:cNvCxnSpPr/>
      </cdr:nvCxnSpPr>
      <cdr:spPr>
        <a:xfrm xmlns:a="http://schemas.openxmlformats.org/drawingml/2006/main" flipV="1">
          <a:off x="9755717" y="4718050"/>
          <a:ext cx="261829" cy="772"/>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0.59577</cdr:x>
      <cdr:y>0.54418</cdr:y>
    </cdr:from>
    <cdr:to>
      <cdr:x>0.61003</cdr:x>
      <cdr:y>0.54418</cdr:y>
    </cdr:to>
    <cdr:cxnSp macro="">
      <cdr:nvCxnSpPr>
        <cdr:cNvPr id="47" name="Straight Arrow Connector 46">
          <a:extLst xmlns:a="http://schemas.openxmlformats.org/drawingml/2006/main">
            <a:ext uri="{FF2B5EF4-FFF2-40B4-BE49-F238E27FC236}">
              <a16:creationId xmlns:a16="http://schemas.microsoft.com/office/drawing/2014/main" id="{AE5DC49F-5EB1-1707-C17E-3507C288D1DA}"/>
            </a:ext>
          </a:extLst>
        </cdr:cNvPr>
        <cdr:cNvCxnSpPr/>
      </cdr:nvCxnSpPr>
      <cdr:spPr>
        <a:xfrm xmlns:a="http://schemas.openxmlformats.org/drawingml/2006/main" flipH="1" flipV="1">
          <a:off x="8413750" y="4667250"/>
          <a:ext cx="201331" cy="27"/>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absoluteAnchor>
    <xdr:pos x="3125785" y="0"/>
    <xdr:ext cx="8211082" cy="12331698"/>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29</xdr:col>
      <xdr:colOff>33866</xdr:colOff>
      <xdr:row>1</xdr:row>
      <xdr:rowOff>52917</xdr:rowOff>
    </xdr:from>
    <xdr:to>
      <xdr:col>31</xdr:col>
      <xdr:colOff>21164</xdr:colOff>
      <xdr:row>10</xdr:row>
      <xdr:rowOff>160867</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0041466" y="535517"/>
          <a:ext cx="977898" cy="17462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a:t>Upper</a:t>
          </a:r>
          <a:r>
            <a:rPr lang="en-US" sz="1600" b="1" baseline="0"/>
            <a:t> Torso Restraint View </a:t>
          </a:r>
          <a:r>
            <a:rPr lang="en-US" sz="1600" b="1" baseline="0">
              <a:solidFill>
                <a:schemeClr val="dk1"/>
              </a:solidFill>
              <a:effectLst/>
              <a:latin typeface="+mn-lt"/>
              <a:ea typeface="+mn-ea"/>
              <a:cs typeface="+mn-cs"/>
            </a:rPr>
            <a:t>x-y Axis</a:t>
          </a:r>
          <a:endParaRPr lang="en-US" sz="1600">
            <a:effectLst/>
          </a:endParaRPr>
        </a:p>
        <a:p>
          <a:endParaRPr lang="en-US" sz="1600" b="1"/>
        </a:p>
      </xdr:txBody>
    </xdr:sp>
    <xdr:clientData/>
  </xdr:twoCellAnchor>
  <xdr:twoCellAnchor>
    <xdr:from>
      <xdr:col>16</xdr:col>
      <xdr:colOff>622299</xdr:colOff>
      <xdr:row>28</xdr:row>
      <xdr:rowOff>273051</xdr:rowOff>
    </xdr:from>
    <xdr:to>
      <xdr:col>31</xdr:col>
      <xdr:colOff>0</xdr:colOff>
      <xdr:row>33</xdr:row>
      <xdr:rowOff>495300</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9766299" y="5988051"/>
          <a:ext cx="1231901" cy="139064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Lower</a:t>
          </a:r>
          <a:r>
            <a:rPr lang="en-US" sz="1600" b="1" baseline="0"/>
            <a:t> Hip Restraint View x-y Axis</a:t>
          </a:r>
          <a:endParaRPr lang="en-US" sz="1600" b="1"/>
        </a:p>
      </xdr:txBody>
    </xdr:sp>
    <xdr:clientData/>
  </xdr:twoCellAnchor>
  <xdr:twoCellAnchor>
    <xdr:from>
      <xdr:col>16</xdr:col>
      <xdr:colOff>793750</xdr:colOff>
      <xdr:row>51</xdr:row>
      <xdr:rowOff>120650</xdr:rowOff>
    </xdr:from>
    <xdr:to>
      <xdr:col>30</xdr:col>
      <xdr:colOff>482599</xdr:colOff>
      <xdr:row>59</xdr:row>
      <xdr:rowOff>124883</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9937750" y="10737850"/>
          <a:ext cx="984249" cy="132503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baseline="0"/>
            <a:t>Top Down  Restraint View x-y Axis</a:t>
          </a:r>
          <a:endParaRPr lang="en-US" sz="1600" b="1"/>
        </a:p>
      </xdr:txBody>
    </xdr:sp>
    <xdr:clientData/>
  </xdr:twoCellAnchor>
  <xdr:twoCellAnchor editAs="oneCell">
    <xdr:from>
      <xdr:col>0</xdr:col>
      <xdr:colOff>1268389</xdr:colOff>
      <xdr:row>0</xdr:row>
      <xdr:rowOff>6350</xdr:rowOff>
    </xdr:from>
    <xdr:to>
      <xdr:col>0</xdr:col>
      <xdr:colOff>1612900</xdr:colOff>
      <xdr:row>0</xdr:row>
      <xdr:rowOff>354817</xdr:rowOff>
    </xdr:to>
    <xdr:pic macro="[0]!Macro10S">
      <xdr:nvPicPr>
        <xdr:cNvPr id="88" name="Picture 87" descr="Image result for save button icon">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8389" y="6350"/>
          <a:ext cx="344511" cy="3484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336549</xdr:colOff>
      <xdr:row>0</xdr:row>
      <xdr:rowOff>165100</xdr:rowOff>
    </xdr:from>
    <xdr:to>
      <xdr:col>4</xdr:col>
      <xdr:colOff>481239</xdr:colOff>
      <xdr:row>2</xdr:row>
      <xdr:rowOff>120650</xdr:rowOff>
    </xdr:to>
    <xdr:pic macro="[0]!MacroGoEasy">
      <xdr:nvPicPr>
        <xdr:cNvPr id="12" name="Picture 11">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82949" y="165100"/>
          <a:ext cx="703490" cy="59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273050</xdr:colOff>
      <xdr:row>0</xdr:row>
      <xdr:rowOff>44450</xdr:rowOff>
    </xdr:from>
    <xdr:to>
      <xdr:col>0</xdr:col>
      <xdr:colOff>590550</xdr:colOff>
      <xdr:row>0</xdr:row>
      <xdr:rowOff>361637</xdr:rowOff>
    </xdr:to>
    <xdr:pic>
      <xdr:nvPicPr>
        <xdr:cNvPr id="18" name="Picture 17" descr="Image result for go back button gif">
          <a:hlinkClick xmlns:r="http://schemas.openxmlformats.org/officeDocument/2006/relationships" r:id="rId4"/>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73050" y="44450"/>
          <a:ext cx="317500" cy="317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400051</xdr:colOff>
      <xdr:row>2</xdr:row>
      <xdr:rowOff>133351</xdr:rowOff>
    </xdr:from>
    <xdr:to>
      <xdr:col>4</xdr:col>
      <xdr:colOff>373176</xdr:colOff>
      <xdr:row>5</xdr:row>
      <xdr:rowOff>107950</xdr:rowOff>
    </xdr:to>
    <xdr:pic macro="[0]!MacroGoToSpecPage">
      <xdr:nvPicPr>
        <xdr:cNvPr id="15" name="Image 2">
          <a:extLst>
            <a:ext uri="{FF2B5EF4-FFF2-40B4-BE49-F238E27FC236}">
              <a16:creationId xmlns:a16="http://schemas.microsoft.com/office/drawing/2014/main" id="{305651C0-8149-4668-BDDF-58633B4B9C4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46451" y="774701"/>
          <a:ext cx="531925" cy="539749"/>
        </a:xfrm>
        <a:prstGeom prst="rect">
          <a:avLst/>
        </a:prstGeom>
        <a:solidFill>
          <a:schemeClr val="bg1"/>
        </a:solidFill>
        <a:ln w="19050">
          <a:solidFill>
            <a:srgbClr val="00B050"/>
          </a:solidFill>
        </a:ln>
        <a:effectLst>
          <a:outerShdw blurRad="50800" dist="38100" algn="l" rotWithShape="0">
            <a:prstClr val="black">
              <a:alpha val="40000"/>
            </a:prstClr>
          </a:outerShdw>
          <a:softEdge rad="31750"/>
        </a:effectLst>
        <a:scene3d>
          <a:camera prst="orthographicFront"/>
          <a:lightRig rig="threePt" dir="t"/>
        </a:scene3d>
        <a:sp3d>
          <a:bevelT w="165100" prst="coolSlant"/>
        </a:sp3d>
      </xdr:spPr>
    </xdr:pic>
    <xdr:clientData/>
  </xdr:twoCellAnchor>
  <xdr:twoCellAnchor editAs="oneCell">
    <xdr:from>
      <xdr:col>5</xdr:col>
      <xdr:colOff>16934</xdr:colOff>
      <xdr:row>0</xdr:row>
      <xdr:rowOff>237066</xdr:rowOff>
    </xdr:from>
    <xdr:to>
      <xdr:col>6</xdr:col>
      <xdr:colOff>194734</xdr:colOff>
      <xdr:row>3</xdr:row>
      <xdr:rowOff>107950</xdr:rowOff>
    </xdr:to>
    <xdr:pic macro="[0]!MacroShowBabies">
      <xdr:nvPicPr>
        <xdr:cNvPr id="19" name="Picture 18">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080934" y="237066"/>
          <a:ext cx="736600" cy="751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18</xdr:row>
      <xdr:rowOff>0</xdr:rowOff>
    </xdr:from>
    <xdr:to>
      <xdr:col>22</xdr:col>
      <xdr:colOff>0</xdr:colOff>
      <xdr:row>40</xdr:row>
      <xdr:rowOff>158750</xdr:rowOff>
    </xdr:to>
    <xdr:cxnSp macro="">
      <xdr:nvCxnSpPr>
        <xdr:cNvPr id="2" name="Straight Connector 1">
          <a:extLst>
            <a:ext uri="{FF2B5EF4-FFF2-40B4-BE49-F238E27FC236}">
              <a16:creationId xmlns:a16="http://schemas.microsoft.com/office/drawing/2014/main" id="{00000000-0008-0000-0300-000002000000}"/>
            </a:ext>
          </a:extLst>
        </xdr:cNvPr>
        <xdr:cNvCxnSpPr/>
      </xdr:nvCxnSpPr>
      <xdr:spPr>
        <a:xfrm>
          <a:off x="2794000" y="4508500"/>
          <a:ext cx="5105400" cy="384175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28575</xdr:colOff>
      <xdr:row>5</xdr:row>
      <xdr:rowOff>0</xdr:rowOff>
    </xdr:from>
    <xdr:to>
      <xdr:col>31</xdr:col>
      <xdr:colOff>279400</xdr:colOff>
      <xdr:row>13</xdr:row>
      <xdr:rowOff>139700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95</xdr:col>
      <xdr:colOff>146051</xdr:colOff>
      <xdr:row>0</xdr:row>
      <xdr:rowOff>168274</xdr:rowOff>
    </xdr:from>
    <xdr:to>
      <xdr:col>105</xdr:col>
      <xdr:colOff>12701</xdr:colOff>
      <xdr:row>15</xdr:row>
      <xdr:rowOff>95250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105</xdr:col>
      <xdr:colOff>127000</xdr:colOff>
      <xdr:row>0</xdr:row>
      <xdr:rowOff>171450</xdr:rowOff>
    </xdr:from>
    <xdr:to>
      <xdr:col>114</xdr:col>
      <xdr:colOff>292100</xdr:colOff>
      <xdr:row>15</xdr:row>
      <xdr:rowOff>98426</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89</xdr:col>
      <xdr:colOff>0</xdr:colOff>
      <xdr:row>3</xdr:row>
      <xdr:rowOff>0</xdr:rowOff>
    </xdr:from>
    <xdr:to>
      <xdr:col>90</xdr:col>
      <xdr:colOff>6351</xdr:colOff>
      <xdr:row>4</xdr:row>
      <xdr:rowOff>139700</xdr:rowOff>
    </xdr:to>
    <xdr:sp macro="" textlink="">
      <xdr:nvSpPr>
        <xdr:cNvPr id="5166" name="AutoShape 46" descr="Image result for 3d hypotenuse">
          <a:extLst>
            <a:ext uri="{FF2B5EF4-FFF2-40B4-BE49-F238E27FC236}">
              <a16:creationId xmlns:a16="http://schemas.microsoft.com/office/drawing/2014/main" id="{00000000-0008-0000-0300-00002E140000}"/>
            </a:ext>
          </a:extLst>
        </xdr:cNvPr>
        <xdr:cNvSpPr>
          <a:spLocks noChangeAspect="1" noChangeArrowheads="1"/>
        </xdr:cNvSpPr>
      </xdr:nvSpPr>
      <xdr:spPr bwMode="auto">
        <a:xfrm>
          <a:off x="32550100" y="1263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88</xdr:col>
      <xdr:colOff>0</xdr:colOff>
      <xdr:row>1</xdr:row>
      <xdr:rowOff>0</xdr:rowOff>
    </xdr:from>
    <xdr:to>
      <xdr:col>89</xdr:col>
      <xdr:colOff>6350</xdr:colOff>
      <xdr:row>2</xdr:row>
      <xdr:rowOff>139700</xdr:rowOff>
    </xdr:to>
    <xdr:sp macro="" textlink="">
      <xdr:nvSpPr>
        <xdr:cNvPr id="5167" name="AutoShape 47" descr="Image result for 3d hypotenuse">
          <a:extLst>
            <a:ext uri="{FF2B5EF4-FFF2-40B4-BE49-F238E27FC236}">
              <a16:creationId xmlns:a16="http://schemas.microsoft.com/office/drawing/2014/main" id="{00000000-0008-0000-0300-00002F140000}"/>
            </a:ext>
          </a:extLst>
        </xdr:cNvPr>
        <xdr:cNvSpPr>
          <a:spLocks noChangeAspect="1" noChangeArrowheads="1"/>
        </xdr:cNvSpPr>
      </xdr:nvSpPr>
      <xdr:spPr bwMode="auto">
        <a:xfrm>
          <a:off x="32251650" y="933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87</xdr:col>
      <xdr:colOff>425449</xdr:colOff>
      <xdr:row>0</xdr:row>
      <xdr:rowOff>311150</xdr:rowOff>
    </xdr:from>
    <xdr:to>
      <xdr:col>95</xdr:col>
      <xdr:colOff>119991</xdr:colOff>
      <xdr:row>10</xdr:row>
      <xdr:rowOff>139700</xdr:rowOff>
    </xdr:to>
    <xdr:pic>
      <xdr:nvPicPr>
        <xdr:cNvPr id="10" name="Picture 9">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118299" y="311150"/>
          <a:ext cx="2209143"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91</xdr:col>
      <xdr:colOff>12700</xdr:colOff>
      <xdr:row>2</xdr:row>
      <xdr:rowOff>44450</xdr:rowOff>
    </xdr:from>
    <xdr:to>
      <xdr:col>94</xdr:col>
      <xdr:colOff>171450</xdr:colOff>
      <xdr:row>2</xdr:row>
      <xdr:rowOff>50800</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flipH="1">
          <a:off x="29317950" y="1143000"/>
          <a:ext cx="1054100" cy="6350"/>
        </a:xfrm>
        <a:prstGeom prst="line">
          <a:avLst/>
        </a:prstGeom>
        <a:ln w="9525">
          <a:solidFill>
            <a:srgbClr val="FF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12700</xdr:colOff>
      <xdr:row>0</xdr:row>
      <xdr:rowOff>438150</xdr:rowOff>
    </xdr:from>
    <xdr:to>
      <xdr:col>91</xdr:col>
      <xdr:colOff>12700</xdr:colOff>
      <xdr:row>2</xdr:row>
      <xdr:rowOff>57150</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a:off x="29317950" y="438150"/>
          <a:ext cx="0" cy="717550"/>
        </a:xfrm>
        <a:prstGeom prst="line">
          <a:avLst/>
        </a:prstGeom>
        <a:ln w="9525">
          <a:solidFill>
            <a:schemeClr val="tx1"/>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31750</xdr:colOff>
      <xdr:row>2</xdr:row>
      <xdr:rowOff>50800</xdr:rowOff>
    </xdr:from>
    <xdr:to>
      <xdr:col>91</xdr:col>
      <xdr:colOff>6350</xdr:colOff>
      <xdr:row>4</xdr:row>
      <xdr:rowOff>120650</xdr:rowOff>
    </xdr:to>
    <xdr:cxnSp macro="">
      <xdr:nvCxnSpPr>
        <xdr:cNvPr id="15" name="Straight Connector 14">
          <a:extLst>
            <a:ext uri="{FF2B5EF4-FFF2-40B4-BE49-F238E27FC236}">
              <a16:creationId xmlns:a16="http://schemas.microsoft.com/office/drawing/2014/main" id="{00000000-0008-0000-0300-00000F000000}"/>
            </a:ext>
          </a:extLst>
        </xdr:cNvPr>
        <xdr:cNvCxnSpPr/>
      </xdr:nvCxnSpPr>
      <xdr:spPr>
        <a:xfrm flipH="1">
          <a:off x="28740100" y="1149350"/>
          <a:ext cx="571500" cy="400050"/>
        </a:xfrm>
        <a:prstGeom prst="line">
          <a:avLst/>
        </a:prstGeom>
        <a:ln w="9525">
          <a:solidFill>
            <a:srgbClr val="0070C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0</xdr:colOff>
      <xdr:row>0</xdr:row>
      <xdr:rowOff>0</xdr:rowOff>
    </xdr:from>
    <xdr:to>
      <xdr:col>25</xdr:col>
      <xdr:colOff>133350</xdr:colOff>
      <xdr:row>1</xdr:row>
      <xdr:rowOff>38100</xdr:rowOff>
    </xdr:to>
    <xdr:pic macro="[0]!MacroHideEngine">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31300" y="0"/>
          <a:ext cx="123190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107950</xdr:colOff>
      <xdr:row>2</xdr:row>
      <xdr:rowOff>63500</xdr:rowOff>
    </xdr:from>
    <xdr:to>
      <xdr:col>2</xdr:col>
      <xdr:colOff>1125107</xdr:colOff>
      <xdr:row>2</xdr:row>
      <xdr:rowOff>882650</xdr:rowOff>
    </xdr:to>
    <xdr:pic macro="[0]!Macro1">
      <xdr:nvPicPr>
        <xdr:cNvPr id="4" name="Picture 3" descr="Image result for easy button">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73250" y="72390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69850</xdr:colOff>
      <xdr:row>3</xdr:row>
      <xdr:rowOff>25400</xdr:rowOff>
    </xdr:from>
    <xdr:to>
      <xdr:col>2</xdr:col>
      <xdr:colOff>1087007</xdr:colOff>
      <xdr:row>3</xdr:row>
      <xdr:rowOff>844550</xdr:rowOff>
    </xdr:to>
    <xdr:pic macro="[0]!Macro2">
      <xdr:nvPicPr>
        <xdr:cNvPr id="5" name="Picture 4" descr="Image result for easy button">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35150" y="160020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38100</xdr:colOff>
      <xdr:row>4</xdr:row>
      <xdr:rowOff>38100</xdr:rowOff>
    </xdr:from>
    <xdr:to>
      <xdr:col>2</xdr:col>
      <xdr:colOff>1055257</xdr:colOff>
      <xdr:row>4</xdr:row>
      <xdr:rowOff>857250</xdr:rowOff>
    </xdr:to>
    <xdr:pic macro="[0]!Macro3">
      <xdr:nvPicPr>
        <xdr:cNvPr id="6" name="Picture 5" descr="Image result for easy button">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3400" y="252730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69850</xdr:colOff>
      <xdr:row>5</xdr:row>
      <xdr:rowOff>63500</xdr:rowOff>
    </xdr:from>
    <xdr:to>
      <xdr:col>2</xdr:col>
      <xdr:colOff>1087007</xdr:colOff>
      <xdr:row>5</xdr:row>
      <xdr:rowOff>882650</xdr:rowOff>
    </xdr:to>
    <xdr:pic macro="[0]!Macro4">
      <xdr:nvPicPr>
        <xdr:cNvPr id="7" name="Picture 6" descr="Image result for easy button">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35150" y="346710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69850</xdr:colOff>
      <xdr:row>6</xdr:row>
      <xdr:rowOff>31750</xdr:rowOff>
    </xdr:from>
    <xdr:to>
      <xdr:col>2</xdr:col>
      <xdr:colOff>1087007</xdr:colOff>
      <xdr:row>6</xdr:row>
      <xdr:rowOff>850900</xdr:rowOff>
    </xdr:to>
    <xdr:pic macro="[0]!Macro5">
      <xdr:nvPicPr>
        <xdr:cNvPr id="8" name="Picture 7" descr="Image result for easy button">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35150" y="434975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xdr:colOff>
      <xdr:row>7</xdr:row>
      <xdr:rowOff>44450</xdr:rowOff>
    </xdr:from>
    <xdr:to>
      <xdr:col>2</xdr:col>
      <xdr:colOff>1074307</xdr:colOff>
      <xdr:row>7</xdr:row>
      <xdr:rowOff>863600</xdr:rowOff>
    </xdr:to>
    <xdr:pic macro="[0]!Macro6">
      <xdr:nvPicPr>
        <xdr:cNvPr id="9" name="Picture 8" descr="Image result for easy button">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22450" y="527685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57150</xdr:colOff>
      <xdr:row>8</xdr:row>
      <xdr:rowOff>44450</xdr:rowOff>
    </xdr:from>
    <xdr:ext cx="1017157" cy="819150"/>
    <xdr:pic macro="[0]!Macro7">
      <xdr:nvPicPr>
        <xdr:cNvPr id="10" name="Picture 9" descr="Image result for easy button">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26683" y="5166783"/>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57150</xdr:colOff>
      <xdr:row>9</xdr:row>
      <xdr:rowOff>44450</xdr:rowOff>
    </xdr:from>
    <xdr:ext cx="1017157" cy="819150"/>
    <xdr:pic macro="[0]!Macro8">
      <xdr:nvPicPr>
        <xdr:cNvPr id="13" name="Picture 12" descr="Image result for easy button">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26683" y="6081183"/>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3</xdr:col>
      <xdr:colOff>177800</xdr:colOff>
      <xdr:row>0</xdr:row>
      <xdr:rowOff>25400</xdr:rowOff>
    </xdr:from>
    <xdr:to>
      <xdr:col>3</xdr:col>
      <xdr:colOff>991436</xdr:colOff>
      <xdr:row>0</xdr:row>
      <xdr:rowOff>838234</xdr:rowOff>
    </xdr:to>
    <xdr:pic>
      <xdr:nvPicPr>
        <xdr:cNvPr id="17" name="Picture 16" descr="Image result for go back button gif">
          <a:hlinkClick xmlns:r="http://schemas.openxmlformats.org/officeDocument/2006/relationships" r:id="rId2"/>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65500" y="25400"/>
          <a:ext cx="813636" cy="8128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57150</xdr:colOff>
      <xdr:row>10</xdr:row>
      <xdr:rowOff>44450</xdr:rowOff>
    </xdr:from>
    <xdr:ext cx="1017157" cy="819150"/>
    <xdr:pic macro="[0]!Macro9">
      <xdr:nvPicPr>
        <xdr:cNvPr id="19" name="Picture 18" descr="Image result for easy button">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26683" y="7418917"/>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57150</xdr:colOff>
      <xdr:row>11</xdr:row>
      <xdr:rowOff>44450</xdr:rowOff>
    </xdr:from>
    <xdr:ext cx="1017157" cy="819150"/>
    <xdr:pic macro="[0]!Macro10L">
      <xdr:nvPicPr>
        <xdr:cNvPr id="22" name="Picture 21" descr="Image result for easy button">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38350" y="8324850"/>
          <a:ext cx="1017157" cy="819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24</xdr:col>
      <xdr:colOff>0</xdr:colOff>
      <xdr:row>0</xdr:row>
      <xdr:rowOff>0</xdr:rowOff>
    </xdr:from>
    <xdr:ext cx="304800" cy="304800"/>
    <xdr:sp macro="" textlink="">
      <xdr:nvSpPr>
        <xdr:cNvPr id="14" name="AutoShape 8" descr="Staples Global Easy Button&quot;">
          <a:extLst>
            <a:ext uri="{FF2B5EF4-FFF2-40B4-BE49-F238E27FC236}">
              <a16:creationId xmlns:a16="http://schemas.microsoft.com/office/drawing/2014/main" id="{00000000-0008-0000-0400-00000E000000}"/>
            </a:ext>
          </a:extLst>
        </xdr:cNvPr>
        <xdr:cNvSpPr>
          <a:spLocks noChangeAspect="1" noChangeArrowheads="1"/>
        </xdr:cNvSpPr>
      </xdr:nvSpPr>
      <xdr:spPr bwMode="auto">
        <a:xfrm>
          <a:off x="6810375"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4</xdr:col>
      <xdr:colOff>84666</xdr:colOff>
      <xdr:row>0</xdr:row>
      <xdr:rowOff>0</xdr:rowOff>
    </xdr:from>
    <xdr:to>
      <xdr:col>4</xdr:col>
      <xdr:colOff>964141</xdr:colOff>
      <xdr:row>0</xdr:row>
      <xdr:rowOff>892411</xdr:rowOff>
    </xdr:to>
    <xdr:pic macro="[0]!MacroGoToSpecPage">
      <xdr:nvPicPr>
        <xdr:cNvPr id="26" name="Image 2">
          <a:extLst>
            <a:ext uri="{FF2B5EF4-FFF2-40B4-BE49-F238E27FC236}">
              <a16:creationId xmlns:a16="http://schemas.microsoft.com/office/drawing/2014/main" id="{305651C0-8149-4668-BDDF-58633B4B9C4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478866" y="0"/>
          <a:ext cx="879475" cy="892411"/>
        </a:xfrm>
        <a:prstGeom prst="rect">
          <a:avLst/>
        </a:prstGeom>
        <a:solidFill>
          <a:schemeClr val="bg1"/>
        </a:solidFill>
        <a:ln w="19050">
          <a:solidFill>
            <a:srgbClr val="00B050"/>
          </a:solidFill>
        </a:ln>
        <a:effectLst>
          <a:outerShdw blurRad="50800" dist="38100" algn="l" rotWithShape="0">
            <a:prstClr val="black">
              <a:alpha val="40000"/>
            </a:prstClr>
          </a:outerShdw>
          <a:softEdge rad="31750"/>
        </a:effectLst>
        <a:scene3d>
          <a:camera prst="orthographicFront"/>
          <a:lightRig rig="threePt" dir="t"/>
        </a:scene3d>
        <a:sp3d>
          <a:bevelT w="165100" prst="coolSlant"/>
        </a:sp3d>
      </xdr:spPr>
    </xdr:pic>
    <xdr:clientData/>
  </xdr:twoCellAnchor>
  <xdr:twoCellAnchor editAs="oneCell">
    <xdr:from>
      <xdr:col>25</xdr:col>
      <xdr:colOff>0</xdr:colOff>
      <xdr:row>15</xdr:row>
      <xdr:rowOff>0</xdr:rowOff>
    </xdr:from>
    <xdr:to>
      <xdr:col>35</xdr:col>
      <xdr:colOff>304800</xdr:colOff>
      <xdr:row>15</xdr:row>
      <xdr:rowOff>304800</xdr:rowOff>
    </xdr:to>
    <xdr:sp macro="" textlink="">
      <xdr:nvSpPr>
        <xdr:cNvPr id="2052" name="tBzF80miGW0gIM:" descr="Image result for under car hood button icon">
          <a:extLst>
            <a:ext uri="{FF2B5EF4-FFF2-40B4-BE49-F238E27FC236}">
              <a16:creationId xmlns:a16="http://schemas.microsoft.com/office/drawing/2014/main" id="{00000000-0008-0000-0400-000004080000}"/>
            </a:ext>
          </a:extLst>
        </xdr:cNvPr>
        <xdr:cNvSpPr>
          <a:spLocks noChangeAspect="1" noChangeArrowheads="1"/>
        </xdr:cNvSpPr>
      </xdr:nvSpPr>
      <xdr:spPr bwMode="auto">
        <a:xfrm>
          <a:off x="22193250" y="108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absoluteAnchor>
    <xdr:pos x="6870700" y="1155700"/>
    <xdr:ext cx="8750300" cy="12331698"/>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28529" cy="14026029"/>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twoCellAnchor editAs="oneCell">
    <xdr:from>
      <xdr:col>9</xdr:col>
      <xdr:colOff>174998</xdr:colOff>
      <xdr:row>0</xdr:row>
      <xdr:rowOff>0</xdr:rowOff>
    </xdr:from>
    <xdr:to>
      <xdr:col>9</xdr:col>
      <xdr:colOff>1240544</xdr:colOff>
      <xdr:row>2</xdr:row>
      <xdr:rowOff>179102</xdr:rowOff>
    </xdr:to>
    <xdr:pic>
      <xdr:nvPicPr>
        <xdr:cNvPr id="3" name="Image 2">
          <a:extLst>
            <a:ext uri="{FF2B5EF4-FFF2-40B4-BE49-F238E27FC236}">
              <a16:creationId xmlns:a16="http://schemas.microsoft.com/office/drawing/2014/main" id="{305651C0-8149-4668-BDDF-58633B4B9C4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62498" y="0"/>
          <a:ext cx="1065546" cy="1093502"/>
        </a:xfrm>
        <a:prstGeom prst="rect">
          <a:avLst/>
        </a:prstGeom>
      </xdr:spPr>
    </xdr:pic>
    <xdr:clientData/>
  </xdr:twoCellAnchor>
  <xdr:twoCellAnchor>
    <xdr:from>
      <xdr:col>8</xdr:col>
      <xdr:colOff>1630680</xdr:colOff>
      <xdr:row>1160</xdr:row>
      <xdr:rowOff>4343400</xdr:rowOff>
    </xdr:from>
    <xdr:to>
      <xdr:col>8</xdr:col>
      <xdr:colOff>2423160</xdr:colOff>
      <xdr:row>1160</xdr:row>
      <xdr:rowOff>4610100</xdr:rowOff>
    </xdr:to>
    <xdr:sp macro="" textlink="">
      <xdr:nvSpPr>
        <xdr:cNvPr id="4" name="TextBox 7">
          <a:extLst>
            <a:ext uri="{FF2B5EF4-FFF2-40B4-BE49-F238E27FC236}">
              <a16:creationId xmlns:a16="http://schemas.microsoft.com/office/drawing/2014/main" id="{00000000-0008-0000-0600-000004000000}"/>
            </a:ext>
          </a:extLst>
        </xdr:cNvPr>
        <xdr:cNvSpPr txBox="1"/>
      </xdr:nvSpPr>
      <xdr:spPr>
        <a:xfrm>
          <a:off x="13054330" y="445998600"/>
          <a:ext cx="79248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23</a:t>
          </a:r>
        </a:p>
      </xdr:txBody>
    </xdr:sp>
    <xdr:clientData/>
  </xdr:twoCellAnchor>
  <xdr:twoCellAnchor>
    <xdr:from>
      <xdr:col>7</xdr:col>
      <xdr:colOff>1135380</xdr:colOff>
      <xdr:row>1160</xdr:row>
      <xdr:rowOff>1645920</xdr:rowOff>
    </xdr:from>
    <xdr:to>
      <xdr:col>7</xdr:col>
      <xdr:colOff>2903220</xdr:colOff>
      <xdr:row>1160</xdr:row>
      <xdr:rowOff>1897380</xdr:rowOff>
    </xdr:to>
    <xdr:sp macro="" textlink="">
      <xdr:nvSpPr>
        <xdr:cNvPr id="5" name="TextBox 6">
          <a:extLst>
            <a:ext uri="{FF2B5EF4-FFF2-40B4-BE49-F238E27FC236}">
              <a16:creationId xmlns:a16="http://schemas.microsoft.com/office/drawing/2014/main" id="{00000000-0008-0000-0600-000005000000}"/>
            </a:ext>
          </a:extLst>
        </xdr:cNvPr>
        <xdr:cNvSpPr txBox="1"/>
      </xdr:nvSpPr>
      <xdr:spPr>
        <a:xfrm>
          <a:off x="9695180" y="445999870"/>
          <a:ext cx="172974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AIR BAG WARNING LABEL</a:t>
          </a:r>
        </a:p>
      </xdr:txBody>
    </xdr:sp>
    <xdr:clientData/>
  </xdr:twoCellAnchor>
  <xdr:twoCellAnchor>
    <xdr:from>
      <xdr:col>7</xdr:col>
      <xdr:colOff>1630680</xdr:colOff>
      <xdr:row>1160</xdr:row>
      <xdr:rowOff>4343400</xdr:rowOff>
    </xdr:from>
    <xdr:to>
      <xdr:col>7</xdr:col>
      <xdr:colOff>2423160</xdr:colOff>
      <xdr:row>1160</xdr:row>
      <xdr:rowOff>4610100</xdr:rowOff>
    </xdr:to>
    <xdr:sp macro="" textlink="">
      <xdr:nvSpPr>
        <xdr:cNvPr id="6" name="TextBox 7">
          <a:extLst>
            <a:ext uri="{FF2B5EF4-FFF2-40B4-BE49-F238E27FC236}">
              <a16:creationId xmlns:a16="http://schemas.microsoft.com/office/drawing/2014/main" id="{00000000-0008-0000-0600-000006000000}"/>
            </a:ext>
          </a:extLst>
        </xdr:cNvPr>
        <xdr:cNvSpPr txBox="1"/>
      </xdr:nvSpPr>
      <xdr:spPr>
        <a:xfrm>
          <a:off x="10190480" y="445998600"/>
          <a:ext cx="79248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23</a:t>
          </a:r>
        </a:p>
      </xdr:txBody>
    </xdr:sp>
    <xdr:clientData/>
  </xdr:twoCellAnchor>
  <xdr:twoCellAnchor>
    <xdr:from>
      <xdr:col>7</xdr:col>
      <xdr:colOff>1135380</xdr:colOff>
      <xdr:row>1471</xdr:row>
      <xdr:rowOff>1645920</xdr:rowOff>
    </xdr:from>
    <xdr:to>
      <xdr:col>7</xdr:col>
      <xdr:colOff>2903220</xdr:colOff>
      <xdr:row>1471</xdr:row>
      <xdr:rowOff>1897380</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9695180" y="832657720"/>
          <a:ext cx="172974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AIR BAG WARNING LABEL</a:t>
          </a:r>
        </a:p>
      </xdr:txBody>
    </xdr:sp>
    <xdr:clientData/>
  </xdr:twoCellAnchor>
  <xdr:twoCellAnchor>
    <xdr:from>
      <xdr:col>7</xdr:col>
      <xdr:colOff>1630680</xdr:colOff>
      <xdr:row>1471</xdr:row>
      <xdr:rowOff>4343400</xdr:rowOff>
    </xdr:from>
    <xdr:to>
      <xdr:col>7</xdr:col>
      <xdr:colOff>2423160</xdr:colOff>
      <xdr:row>1471</xdr:row>
      <xdr:rowOff>4610100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0190480" y="833501000"/>
          <a:ext cx="79248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23</a:t>
          </a:r>
        </a:p>
      </xdr:txBody>
    </xdr:sp>
    <xdr:clientData/>
  </xdr:twoCellAnchor>
  <xdr:twoCellAnchor>
    <xdr:from>
      <xdr:col>8</xdr:col>
      <xdr:colOff>1135380</xdr:colOff>
      <xdr:row>1471</xdr:row>
      <xdr:rowOff>1645920</xdr:rowOff>
    </xdr:from>
    <xdr:to>
      <xdr:col>8</xdr:col>
      <xdr:colOff>2903220</xdr:colOff>
      <xdr:row>1471</xdr:row>
      <xdr:rowOff>1897380</xdr:rowOff>
    </xdr:to>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2559030" y="832657720"/>
          <a:ext cx="172974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AIR BAG WARNING LABEL</a:t>
          </a:r>
        </a:p>
      </xdr:txBody>
    </xdr:sp>
    <xdr:clientData/>
  </xdr:twoCellAnchor>
  <xdr:twoCellAnchor>
    <xdr:from>
      <xdr:col>8</xdr:col>
      <xdr:colOff>1630680</xdr:colOff>
      <xdr:row>1471</xdr:row>
      <xdr:rowOff>4343400</xdr:rowOff>
    </xdr:from>
    <xdr:to>
      <xdr:col>8</xdr:col>
      <xdr:colOff>2423160</xdr:colOff>
      <xdr:row>1471</xdr:row>
      <xdr:rowOff>4610100</xdr:rowOff>
    </xdr:to>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13054330" y="833501000"/>
          <a:ext cx="79248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FIGURE 23</a:t>
          </a:r>
        </a:p>
      </xdr:txBody>
    </xdr:sp>
    <xdr:clientData/>
  </xdr:twoCellAnchor>
  <xdr:twoCellAnchor editAs="oneCell">
    <xdr:from>
      <xdr:col>5</xdr:col>
      <xdr:colOff>804333</xdr:colOff>
      <xdr:row>4</xdr:row>
      <xdr:rowOff>35269</xdr:rowOff>
    </xdr:from>
    <xdr:to>
      <xdr:col>6</xdr:col>
      <xdr:colOff>821266</xdr:colOff>
      <xdr:row>4</xdr:row>
      <xdr:rowOff>440668</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26200" y="1864069"/>
          <a:ext cx="1058333" cy="4053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575734</xdr:colOff>
      <xdr:row>2</xdr:row>
      <xdr:rowOff>84667</xdr:rowOff>
    </xdr:from>
    <xdr:to>
      <xdr:col>3</xdr:col>
      <xdr:colOff>1154984</xdr:colOff>
      <xdr:row>3</xdr:row>
      <xdr:rowOff>262466</xdr:rowOff>
    </xdr:to>
    <xdr:pic macro="[0]!MacroGPScontent">
      <xdr:nvPicPr>
        <xdr:cNvPr id="19" name="Picture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10467" y="999067"/>
          <a:ext cx="579250" cy="6349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84667</xdr:colOff>
      <xdr:row>3</xdr:row>
      <xdr:rowOff>177800</xdr:rowOff>
    </xdr:from>
    <xdr:to>
      <xdr:col>1</xdr:col>
      <xdr:colOff>788157</xdr:colOff>
      <xdr:row>4</xdr:row>
      <xdr:rowOff>317500</xdr:rowOff>
    </xdr:to>
    <xdr:pic macro="[0]!MacroGoEasy">
      <xdr:nvPicPr>
        <xdr:cNvPr id="14" name="Picture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4267" y="1549400"/>
          <a:ext cx="703490" cy="59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872068</xdr:colOff>
      <xdr:row>3</xdr:row>
      <xdr:rowOff>237067</xdr:rowOff>
    </xdr:from>
    <xdr:to>
      <xdr:col>2</xdr:col>
      <xdr:colOff>372534</xdr:colOff>
      <xdr:row>4</xdr:row>
      <xdr:rowOff>312741</xdr:rowOff>
    </xdr:to>
    <xdr:pic>
      <xdr:nvPicPr>
        <xdr:cNvPr id="15" name="Picture 14" descr="Image result for go back button gif">
          <a:hlinkClick xmlns:r="http://schemas.openxmlformats.org/officeDocument/2006/relationships" r:id="rId5"/>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81668" y="1608667"/>
          <a:ext cx="533400" cy="532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626533</xdr:colOff>
      <xdr:row>3</xdr:row>
      <xdr:rowOff>194734</xdr:rowOff>
    </xdr:from>
    <xdr:to>
      <xdr:col>2</xdr:col>
      <xdr:colOff>1158458</xdr:colOff>
      <xdr:row>4</xdr:row>
      <xdr:rowOff>277283</xdr:rowOff>
    </xdr:to>
    <xdr:pic macro="[0]!MacroGoToSpecPage">
      <xdr:nvPicPr>
        <xdr:cNvPr id="17" name="Image 2">
          <a:extLst>
            <a:ext uri="{FF2B5EF4-FFF2-40B4-BE49-F238E27FC236}">
              <a16:creationId xmlns:a16="http://schemas.microsoft.com/office/drawing/2014/main" id="{305651C0-8149-4668-BDDF-58633B4B9C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269066" y="1566334"/>
          <a:ext cx="531925" cy="539749"/>
        </a:xfrm>
        <a:prstGeom prst="rect">
          <a:avLst/>
        </a:prstGeom>
        <a:solidFill>
          <a:schemeClr val="bg1"/>
        </a:solidFill>
        <a:ln w="19050">
          <a:solidFill>
            <a:srgbClr val="00B050"/>
          </a:solidFill>
        </a:ln>
        <a:effectLst>
          <a:outerShdw blurRad="50800" dist="38100" algn="l" rotWithShape="0">
            <a:prstClr val="black">
              <a:alpha val="40000"/>
            </a:prstClr>
          </a:outerShdw>
          <a:softEdge rad="31750"/>
        </a:effectLst>
        <a:scene3d>
          <a:camera prst="orthographicFront"/>
          <a:lightRig rig="threePt" dir="t"/>
        </a:scene3d>
        <a:sp3d>
          <a:bevelT w="165100" prst="coolSlant"/>
        </a:sp3d>
      </xdr:spPr>
    </xdr:pic>
    <xdr:clientData/>
  </xdr:twoCellAnchor>
  <xdr:twoCellAnchor editAs="oneCell">
    <xdr:from>
      <xdr:col>4</xdr:col>
      <xdr:colOff>1058334</xdr:colOff>
      <xdr:row>5</xdr:row>
      <xdr:rowOff>169333</xdr:rowOff>
    </xdr:from>
    <xdr:to>
      <xdr:col>6</xdr:col>
      <xdr:colOff>221029</xdr:colOff>
      <xdr:row>7</xdr:row>
      <xdr:rowOff>26428</xdr:rowOff>
    </xdr:to>
    <xdr:pic macro="[0]!MacroRequiredTests">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8"/>
        <a:stretch>
          <a:fillRect/>
        </a:stretch>
      </xdr:blipFill>
      <xdr:spPr>
        <a:xfrm>
          <a:off x="5579534" y="2455333"/>
          <a:ext cx="1304762" cy="238095"/>
        </a:xfrm>
        <a:prstGeom prst="rect">
          <a:avLst/>
        </a:prstGeom>
        <a:effectLst>
          <a:outerShdw blurRad="50800" dist="38100" dir="2700000" algn="tl" rotWithShape="0">
            <a:prstClr val="black">
              <a:alpha val="40000"/>
            </a:prstClr>
          </a:outerShdw>
        </a:effectLst>
        <a:scene3d>
          <a:camera prst="orthographicFront"/>
          <a:lightRig rig="threePt" dir="t"/>
        </a:scene3d>
        <a:sp3d>
          <a:bevelT/>
        </a:sp3d>
      </xdr:spPr>
    </xdr:pic>
    <xdr:clientData/>
  </xdr:twoCellAnchor>
  <xdr:twoCellAnchor editAs="oneCell">
    <xdr:from>
      <xdr:col>6</xdr:col>
      <xdr:colOff>474133</xdr:colOff>
      <xdr:row>5</xdr:row>
      <xdr:rowOff>135467</xdr:rowOff>
    </xdr:from>
    <xdr:to>
      <xdr:col>6</xdr:col>
      <xdr:colOff>1607466</xdr:colOff>
      <xdr:row>7</xdr:row>
      <xdr:rowOff>30657</xdr:rowOff>
    </xdr:to>
    <xdr:pic macro="[0]!MacroResetAllFilters">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a:stretch>
          <a:fillRect/>
        </a:stretch>
      </xdr:blipFill>
      <xdr:spPr>
        <a:xfrm>
          <a:off x="7137400" y="2421467"/>
          <a:ext cx="1133333" cy="276190"/>
        </a:xfrm>
        <a:prstGeom prst="rect">
          <a:avLst/>
        </a:prstGeom>
        <a:effectLst>
          <a:outerShdw blurRad="50800" dist="38100" dir="2700000" algn="tl" rotWithShape="0">
            <a:prstClr val="black">
              <a:alpha val="40000"/>
            </a:prstClr>
          </a:outerShdw>
        </a:effectLst>
        <a:scene3d>
          <a:camera prst="orthographicFront"/>
          <a:lightRig rig="threePt" dir="t"/>
        </a:scene3d>
        <a:sp3d>
          <a:bevelT/>
        </a:sp3d>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xdr:colOff>
      <xdr:row>0</xdr:row>
      <xdr:rowOff>12700</xdr:rowOff>
    </xdr:from>
    <xdr:to>
      <xdr:col>15</xdr:col>
      <xdr:colOff>275511</xdr:colOff>
      <xdr:row>26</xdr:row>
      <xdr:rowOff>101600</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12700"/>
          <a:ext cx="8638461" cy="438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88901</xdr:colOff>
      <xdr:row>0</xdr:row>
      <xdr:rowOff>25400</xdr:rowOff>
    </xdr:from>
    <xdr:to>
      <xdr:col>12</xdr:col>
      <xdr:colOff>448081</xdr:colOff>
      <xdr:row>7</xdr:row>
      <xdr:rowOff>107950</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5676901" y="25400"/>
          <a:ext cx="1476780" cy="1238250"/>
        </a:xfrm>
        <a:prstGeom prst="rect">
          <a:avLst/>
        </a:prstGeom>
      </xdr:spPr>
    </xdr:pic>
    <xdr:clientData/>
  </xdr:twoCellAnchor>
  <xdr:twoCellAnchor editAs="oneCell">
    <xdr:from>
      <xdr:col>1</xdr:col>
      <xdr:colOff>184151</xdr:colOff>
      <xdr:row>18</xdr:row>
      <xdr:rowOff>12700</xdr:rowOff>
    </xdr:from>
    <xdr:to>
      <xdr:col>4</xdr:col>
      <xdr:colOff>228601</xdr:colOff>
      <xdr:row>25</xdr:row>
      <xdr:rowOff>108527</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742951" y="2984500"/>
          <a:ext cx="1720850" cy="125152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13</xdr:col>
      <xdr:colOff>127000</xdr:colOff>
      <xdr:row>0</xdr:row>
      <xdr:rowOff>76200</xdr:rowOff>
    </xdr:from>
    <xdr:to>
      <xdr:col>22</xdr:col>
      <xdr:colOff>440657</xdr:colOff>
      <xdr:row>39</xdr:row>
      <xdr:rowOff>138759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7759700" y="76200"/>
          <a:ext cx="5342857" cy="7523809"/>
        </a:xfrm>
        <a:prstGeom prst="rect">
          <a:avLst/>
        </a:prstGeom>
      </xdr:spPr>
    </xdr:pic>
    <xdr:clientData/>
  </xdr:twoCellAnchor>
  <xdr:twoCellAnchor editAs="oneCell">
    <xdr:from>
      <xdr:col>13</xdr:col>
      <xdr:colOff>19050</xdr:colOff>
      <xdr:row>26</xdr:row>
      <xdr:rowOff>0</xdr:rowOff>
    </xdr:from>
    <xdr:to>
      <xdr:col>22</xdr:col>
      <xdr:colOff>342231</xdr:colOff>
      <xdr:row>71</xdr:row>
      <xdr:rowOff>122881</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7143750" y="7670800"/>
          <a:ext cx="5352381" cy="755238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25400</xdr:colOff>
      <xdr:row>0</xdr:row>
      <xdr:rowOff>6350</xdr:rowOff>
    </xdr:from>
    <xdr:to>
      <xdr:col>1</xdr:col>
      <xdr:colOff>177800</xdr:colOff>
      <xdr:row>0</xdr:row>
      <xdr:rowOff>717550</xdr:rowOff>
    </xdr:to>
    <xdr:pic macro="[0]!MacroHideBabies">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400" y="6350"/>
          <a:ext cx="711200" cy="71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336550</xdr:colOff>
      <xdr:row>36</xdr:row>
      <xdr:rowOff>88900</xdr:rowOff>
    </xdr:from>
    <xdr:to>
      <xdr:col>21</xdr:col>
      <xdr:colOff>62795</xdr:colOff>
      <xdr:row>84</xdr:row>
      <xdr:rowOff>145052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4032250" y="6616700"/>
          <a:ext cx="5638095" cy="79809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absoluteAnchor>
    <xdr:pos x="0" y="0"/>
    <xdr:ext cx="8661400" cy="14033500"/>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711200</xdr:colOff>
      <xdr:row>0</xdr:row>
      <xdr:rowOff>711200</xdr:rowOff>
    </xdr:to>
    <xdr:pic macro="[0]!MacroHideBabies">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11200" cy="71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6350</xdr:colOff>
      <xdr:row>9</xdr:row>
      <xdr:rowOff>31750</xdr:rowOff>
    </xdr:from>
    <xdr:to>
      <xdr:col>15</xdr:col>
      <xdr:colOff>420961</xdr:colOff>
      <xdr:row>19</xdr:row>
      <xdr:rowOff>107950</xdr:rowOff>
    </xdr:to>
    <xdr:pic>
      <xdr:nvPicPr>
        <xdr:cNvPr id="2" name="Picture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rot="20241868">
          <a:off x="2476500" y="1644650"/>
          <a:ext cx="4840561" cy="185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171450</xdr:colOff>
      <xdr:row>20</xdr:row>
      <xdr:rowOff>158750</xdr:rowOff>
    </xdr:to>
    <xdr:pic>
      <xdr:nvPicPr>
        <xdr:cNvPr id="2" name="Picture 1" descr="Image result for Safety 1st Harness Booster">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8800" y="990600"/>
          <a:ext cx="1847850" cy="2470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0</xdr:colOff>
      <xdr:row>9</xdr:row>
      <xdr:rowOff>0</xdr:rowOff>
    </xdr:from>
    <xdr:ext cx="3907413" cy="4489513"/>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3352800" y="1485900"/>
          <a:ext cx="3907413" cy="4489513"/>
        </a:xfrm>
        <a:prstGeom prst="rect">
          <a:avLst/>
        </a:prstGeom>
        <a:ln>
          <a:solidFill>
            <a:schemeClr val="accent1"/>
          </a:solidFill>
        </a:ln>
        <a:effectLst>
          <a:outerShdw blurRad="50800" dist="38100" dir="18900000" sx="105000" sy="105000" algn="bl" rotWithShape="0">
            <a:prstClr val="black">
              <a:alpha val="40000"/>
            </a:prstClr>
          </a:outerShdw>
        </a:effectLst>
      </xdr:spPr>
    </xdr:pic>
    <xdr:clientData/>
  </xdr:oneCellAnchor>
  <xdr:twoCellAnchor editAs="oneCell">
    <xdr:from>
      <xdr:col>14</xdr:col>
      <xdr:colOff>0</xdr:colOff>
      <xdr:row>8</xdr:row>
      <xdr:rowOff>0</xdr:rowOff>
    </xdr:from>
    <xdr:to>
      <xdr:col>30</xdr:col>
      <xdr:colOff>240152</xdr:colOff>
      <xdr:row>19</xdr:row>
      <xdr:rowOff>2948</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7823200" y="1320800"/>
          <a:ext cx="9180952" cy="1819048"/>
        </a:xfrm>
        <a:prstGeom prst="rect">
          <a:avLst/>
        </a:prstGeom>
      </xdr:spPr>
    </xdr:pic>
    <xdr:clientData/>
  </xdr:twoCellAnchor>
  <xdr:twoCellAnchor editAs="oneCell">
    <xdr:from>
      <xdr:col>14</xdr:col>
      <xdr:colOff>0</xdr:colOff>
      <xdr:row>25</xdr:row>
      <xdr:rowOff>0</xdr:rowOff>
    </xdr:from>
    <xdr:to>
      <xdr:col>17</xdr:col>
      <xdr:colOff>19050</xdr:colOff>
      <xdr:row>35</xdr:row>
      <xdr:rowOff>44450</xdr:rowOff>
    </xdr:to>
    <xdr:pic>
      <xdr:nvPicPr>
        <xdr:cNvPr id="5" name="Picture 4" descr="http://cybex-online.com/cybex-online/images/safety/Pallas_M_fix_safety_cushion.jpg">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23200" y="4127500"/>
          <a:ext cx="1695450" cy="1695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7</xdr:col>
      <xdr:colOff>0</xdr:colOff>
      <xdr:row>5</xdr:row>
      <xdr:rowOff>79375</xdr:rowOff>
    </xdr:from>
    <xdr:to>
      <xdr:col>7</xdr:col>
      <xdr:colOff>320675</xdr:colOff>
      <xdr:row>5</xdr:row>
      <xdr:rowOff>79375</xdr:rowOff>
    </xdr:to>
    <xdr:cxnSp macro="">
      <xdr:nvCxnSpPr>
        <xdr:cNvPr id="2" name="Straight Arrow Connector 1">
          <a:extLst>
            <a:ext uri="{FF2B5EF4-FFF2-40B4-BE49-F238E27FC236}">
              <a16:creationId xmlns:a16="http://schemas.microsoft.com/office/drawing/2014/main" id="{00000000-0008-0000-1400-000002000000}"/>
            </a:ext>
          </a:extLst>
        </xdr:cNvPr>
        <xdr:cNvCxnSpPr/>
      </xdr:nvCxnSpPr>
      <xdr:spPr>
        <a:xfrm>
          <a:off x="5581650" y="1025525"/>
          <a:ext cx="320675" cy="0"/>
        </a:xfrm>
        <a:prstGeom prst="straightConnector1">
          <a:avLst/>
        </a:prstGeom>
        <a:ln w="222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5</xdr:row>
      <xdr:rowOff>92075</xdr:rowOff>
    </xdr:from>
    <xdr:to>
      <xdr:col>2</xdr:col>
      <xdr:colOff>168276</xdr:colOff>
      <xdr:row>13</xdr:row>
      <xdr:rowOff>57150</xdr:rowOff>
    </xdr:to>
    <xdr:cxnSp macro="">
      <xdr:nvCxnSpPr>
        <xdr:cNvPr id="3" name="Straight Connector 2">
          <a:extLst>
            <a:ext uri="{FF2B5EF4-FFF2-40B4-BE49-F238E27FC236}">
              <a16:creationId xmlns:a16="http://schemas.microsoft.com/office/drawing/2014/main" id="{00000000-0008-0000-1400-000003000000}"/>
            </a:ext>
          </a:extLst>
        </xdr:cNvPr>
        <xdr:cNvCxnSpPr/>
      </xdr:nvCxnSpPr>
      <xdr:spPr>
        <a:xfrm flipH="1">
          <a:off x="2609850" y="1038225"/>
          <a:ext cx="15876" cy="14890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1438275</xdr:colOff>
      <xdr:row>13</xdr:row>
      <xdr:rowOff>66675</xdr:rowOff>
    </xdr:from>
    <xdr:to>
      <xdr:col>2</xdr:col>
      <xdr:colOff>158750</xdr:colOff>
      <xdr:row>13</xdr:row>
      <xdr:rowOff>66675</xdr:rowOff>
    </xdr:to>
    <xdr:cxnSp macro="">
      <xdr:nvCxnSpPr>
        <xdr:cNvPr id="4" name="Straight Connector 3">
          <a:extLst>
            <a:ext uri="{FF2B5EF4-FFF2-40B4-BE49-F238E27FC236}">
              <a16:creationId xmlns:a16="http://schemas.microsoft.com/office/drawing/2014/main" id="{00000000-0008-0000-1400-000004000000}"/>
            </a:ext>
          </a:extLst>
        </xdr:cNvPr>
        <xdr:cNvCxnSpPr/>
      </xdr:nvCxnSpPr>
      <xdr:spPr>
        <a:xfrm flipH="1">
          <a:off x="2454275" y="2536825"/>
          <a:ext cx="16192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3175</xdr:colOff>
      <xdr:row>11</xdr:row>
      <xdr:rowOff>111124</xdr:rowOff>
    </xdr:from>
    <xdr:to>
      <xdr:col>2</xdr:col>
      <xdr:colOff>168275</xdr:colOff>
      <xdr:row>11</xdr:row>
      <xdr:rowOff>111125</xdr:rowOff>
    </xdr:to>
    <xdr:cxnSp macro="">
      <xdr:nvCxnSpPr>
        <xdr:cNvPr id="5" name="Straight Connector 4">
          <a:extLst>
            <a:ext uri="{FF2B5EF4-FFF2-40B4-BE49-F238E27FC236}">
              <a16:creationId xmlns:a16="http://schemas.microsoft.com/office/drawing/2014/main" id="{00000000-0008-0000-1400-000005000000}"/>
            </a:ext>
          </a:extLst>
        </xdr:cNvPr>
        <xdr:cNvCxnSpPr/>
      </xdr:nvCxnSpPr>
      <xdr:spPr>
        <a:xfrm flipH="1" flipV="1">
          <a:off x="2460625" y="2200274"/>
          <a:ext cx="165100" cy="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3175</xdr:colOff>
      <xdr:row>5</xdr:row>
      <xdr:rowOff>92075</xdr:rowOff>
    </xdr:from>
    <xdr:to>
      <xdr:col>2</xdr:col>
      <xdr:colOff>187325</xdr:colOff>
      <xdr:row>5</xdr:row>
      <xdr:rowOff>92076</xdr:rowOff>
    </xdr:to>
    <xdr:cxnSp macro="">
      <xdr:nvCxnSpPr>
        <xdr:cNvPr id="6" name="Straight Connector 5">
          <a:extLst>
            <a:ext uri="{FF2B5EF4-FFF2-40B4-BE49-F238E27FC236}">
              <a16:creationId xmlns:a16="http://schemas.microsoft.com/office/drawing/2014/main" id="{00000000-0008-0000-1400-000006000000}"/>
            </a:ext>
          </a:extLst>
        </xdr:cNvPr>
        <xdr:cNvCxnSpPr/>
      </xdr:nvCxnSpPr>
      <xdr:spPr>
        <a:xfrm flipH="1" flipV="1">
          <a:off x="2460625" y="1038225"/>
          <a:ext cx="184150" cy="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5</xdr:row>
      <xdr:rowOff>88900</xdr:rowOff>
    </xdr:from>
    <xdr:to>
      <xdr:col>11</xdr:col>
      <xdr:colOff>320675</xdr:colOff>
      <xdr:row>5</xdr:row>
      <xdr:rowOff>88900</xdr:rowOff>
    </xdr:to>
    <xdr:cxnSp macro="">
      <xdr:nvCxnSpPr>
        <xdr:cNvPr id="7" name="Straight Arrow Connector 6">
          <a:extLst>
            <a:ext uri="{FF2B5EF4-FFF2-40B4-BE49-F238E27FC236}">
              <a16:creationId xmlns:a16="http://schemas.microsoft.com/office/drawing/2014/main" id="{00000000-0008-0000-1400-000007000000}"/>
            </a:ext>
          </a:extLst>
        </xdr:cNvPr>
        <xdr:cNvCxnSpPr/>
      </xdr:nvCxnSpPr>
      <xdr:spPr>
        <a:xfrm>
          <a:off x="7715250" y="1035050"/>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5</xdr:row>
      <xdr:rowOff>92075</xdr:rowOff>
    </xdr:from>
    <xdr:to>
      <xdr:col>13</xdr:col>
      <xdr:colOff>320675</xdr:colOff>
      <xdr:row>5</xdr:row>
      <xdr:rowOff>92075</xdr:rowOff>
    </xdr:to>
    <xdr:cxnSp macro="">
      <xdr:nvCxnSpPr>
        <xdr:cNvPr id="8" name="Straight Arrow Connector 7">
          <a:extLst>
            <a:ext uri="{FF2B5EF4-FFF2-40B4-BE49-F238E27FC236}">
              <a16:creationId xmlns:a16="http://schemas.microsoft.com/office/drawing/2014/main" id="{00000000-0008-0000-1400-000008000000}"/>
            </a:ext>
          </a:extLst>
        </xdr:cNvPr>
        <xdr:cNvCxnSpPr/>
      </xdr:nvCxnSpPr>
      <xdr:spPr>
        <a:xfrm>
          <a:off x="87820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xdr:row>
      <xdr:rowOff>92075</xdr:rowOff>
    </xdr:from>
    <xdr:to>
      <xdr:col>15</xdr:col>
      <xdr:colOff>320675</xdr:colOff>
      <xdr:row>5</xdr:row>
      <xdr:rowOff>92075</xdr:rowOff>
    </xdr:to>
    <xdr:cxnSp macro="">
      <xdr:nvCxnSpPr>
        <xdr:cNvPr id="9" name="Straight Arrow Connector 8">
          <a:extLst>
            <a:ext uri="{FF2B5EF4-FFF2-40B4-BE49-F238E27FC236}">
              <a16:creationId xmlns:a16="http://schemas.microsoft.com/office/drawing/2014/main" id="{00000000-0008-0000-1400-000009000000}"/>
            </a:ext>
          </a:extLst>
        </xdr:cNvPr>
        <xdr:cNvCxnSpPr/>
      </xdr:nvCxnSpPr>
      <xdr:spPr>
        <a:xfrm>
          <a:off x="98488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xdr:row>
      <xdr:rowOff>92075</xdr:rowOff>
    </xdr:from>
    <xdr:to>
      <xdr:col>17</xdr:col>
      <xdr:colOff>320675</xdr:colOff>
      <xdr:row>5</xdr:row>
      <xdr:rowOff>92075</xdr:rowOff>
    </xdr:to>
    <xdr:cxnSp macro="">
      <xdr:nvCxnSpPr>
        <xdr:cNvPr id="10" name="Straight Arrow Connector 9">
          <a:extLst>
            <a:ext uri="{FF2B5EF4-FFF2-40B4-BE49-F238E27FC236}">
              <a16:creationId xmlns:a16="http://schemas.microsoft.com/office/drawing/2014/main" id="{00000000-0008-0000-1400-00000A000000}"/>
            </a:ext>
          </a:extLst>
        </xdr:cNvPr>
        <xdr:cNvCxnSpPr/>
      </xdr:nvCxnSpPr>
      <xdr:spPr>
        <a:xfrm>
          <a:off x="110553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5</xdr:row>
      <xdr:rowOff>92075</xdr:rowOff>
    </xdr:from>
    <xdr:to>
      <xdr:col>19</xdr:col>
      <xdr:colOff>320675</xdr:colOff>
      <xdr:row>5</xdr:row>
      <xdr:rowOff>92075</xdr:rowOff>
    </xdr:to>
    <xdr:cxnSp macro="">
      <xdr:nvCxnSpPr>
        <xdr:cNvPr id="11" name="Straight Arrow Connector 10">
          <a:extLst>
            <a:ext uri="{FF2B5EF4-FFF2-40B4-BE49-F238E27FC236}">
              <a16:creationId xmlns:a16="http://schemas.microsoft.com/office/drawing/2014/main" id="{00000000-0008-0000-1400-00000B000000}"/>
            </a:ext>
          </a:extLst>
        </xdr:cNvPr>
        <xdr:cNvCxnSpPr/>
      </xdr:nvCxnSpPr>
      <xdr:spPr>
        <a:xfrm>
          <a:off x="122618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5</xdr:row>
      <xdr:rowOff>92075</xdr:rowOff>
    </xdr:from>
    <xdr:to>
      <xdr:col>21</xdr:col>
      <xdr:colOff>320675</xdr:colOff>
      <xdr:row>5</xdr:row>
      <xdr:rowOff>92075</xdr:rowOff>
    </xdr:to>
    <xdr:cxnSp macro="">
      <xdr:nvCxnSpPr>
        <xdr:cNvPr id="12" name="Straight Arrow Connector 11">
          <a:extLst>
            <a:ext uri="{FF2B5EF4-FFF2-40B4-BE49-F238E27FC236}">
              <a16:creationId xmlns:a16="http://schemas.microsoft.com/office/drawing/2014/main" id="{00000000-0008-0000-1400-00000C000000}"/>
            </a:ext>
          </a:extLst>
        </xdr:cNvPr>
        <xdr:cNvCxnSpPr/>
      </xdr:nvCxnSpPr>
      <xdr:spPr>
        <a:xfrm>
          <a:off x="134683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5</xdr:row>
      <xdr:rowOff>92075</xdr:rowOff>
    </xdr:from>
    <xdr:to>
      <xdr:col>23</xdr:col>
      <xdr:colOff>320675</xdr:colOff>
      <xdr:row>5</xdr:row>
      <xdr:rowOff>92075</xdr:rowOff>
    </xdr:to>
    <xdr:cxnSp macro="">
      <xdr:nvCxnSpPr>
        <xdr:cNvPr id="13" name="Straight Arrow Connector 12">
          <a:extLst>
            <a:ext uri="{FF2B5EF4-FFF2-40B4-BE49-F238E27FC236}">
              <a16:creationId xmlns:a16="http://schemas.microsoft.com/office/drawing/2014/main" id="{00000000-0008-0000-1400-00000D000000}"/>
            </a:ext>
          </a:extLst>
        </xdr:cNvPr>
        <xdr:cNvCxnSpPr/>
      </xdr:nvCxnSpPr>
      <xdr:spPr>
        <a:xfrm>
          <a:off x="146748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5</xdr:row>
      <xdr:rowOff>92075</xdr:rowOff>
    </xdr:from>
    <xdr:to>
      <xdr:col>25</xdr:col>
      <xdr:colOff>320675</xdr:colOff>
      <xdr:row>5</xdr:row>
      <xdr:rowOff>92075</xdr:rowOff>
    </xdr:to>
    <xdr:cxnSp macro="">
      <xdr:nvCxnSpPr>
        <xdr:cNvPr id="14" name="Straight Arrow Connector 13">
          <a:extLst>
            <a:ext uri="{FF2B5EF4-FFF2-40B4-BE49-F238E27FC236}">
              <a16:creationId xmlns:a16="http://schemas.microsoft.com/office/drawing/2014/main" id="{00000000-0008-0000-1400-00000E000000}"/>
            </a:ext>
          </a:extLst>
        </xdr:cNvPr>
        <xdr:cNvCxnSpPr/>
      </xdr:nvCxnSpPr>
      <xdr:spPr>
        <a:xfrm>
          <a:off x="158813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5</xdr:row>
      <xdr:rowOff>92075</xdr:rowOff>
    </xdr:from>
    <xdr:to>
      <xdr:col>27</xdr:col>
      <xdr:colOff>320675</xdr:colOff>
      <xdr:row>5</xdr:row>
      <xdr:rowOff>92075</xdr:rowOff>
    </xdr:to>
    <xdr:cxnSp macro="">
      <xdr:nvCxnSpPr>
        <xdr:cNvPr id="15" name="Straight Arrow Connector 14">
          <a:extLst>
            <a:ext uri="{FF2B5EF4-FFF2-40B4-BE49-F238E27FC236}">
              <a16:creationId xmlns:a16="http://schemas.microsoft.com/office/drawing/2014/main" id="{00000000-0008-0000-1400-00000F000000}"/>
            </a:ext>
          </a:extLst>
        </xdr:cNvPr>
        <xdr:cNvCxnSpPr/>
      </xdr:nvCxnSpPr>
      <xdr:spPr>
        <a:xfrm>
          <a:off x="169481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5</xdr:row>
      <xdr:rowOff>92075</xdr:rowOff>
    </xdr:from>
    <xdr:to>
      <xdr:col>29</xdr:col>
      <xdr:colOff>320675</xdr:colOff>
      <xdr:row>5</xdr:row>
      <xdr:rowOff>92075</xdr:rowOff>
    </xdr:to>
    <xdr:cxnSp macro="">
      <xdr:nvCxnSpPr>
        <xdr:cNvPr id="16" name="Straight Arrow Connector 15">
          <a:extLst>
            <a:ext uri="{FF2B5EF4-FFF2-40B4-BE49-F238E27FC236}">
              <a16:creationId xmlns:a16="http://schemas.microsoft.com/office/drawing/2014/main" id="{00000000-0008-0000-1400-000010000000}"/>
            </a:ext>
          </a:extLst>
        </xdr:cNvPr>
        <xdr:cNvCxnSpPr/>
      </xdr:nvCxnSpPr>
      <xdr:spPr>
        <a:xfrm>
          <a:off x="17875250" y="1038225"/>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136525</xdr:colOff>
      <xdr:row>5</xdr:row>
      <xdr:rowOff>92077</xdr:rowOff>
    </xdr:from>
    <xdr:to>
      <xdr:col>25</xdr:col>
      <xdr:colOff>136526</xdr:colOff>
      <xdr:row>9</xdr:row>
      <xdr:rowOff>117475</xdr:rowOff>
    </xdr:to>
    <xdr:cxnSp macro="">
      <xdr:nvCxnSpPr>
        <xdr:cNvPr id="17" name="Straight Connector 16">
          <a:extLst>
            <a:ext uri="{FF2B5EF4-FFF2-40B4-BE49-F238E27FC236}">
              <a16:creationId xmlns:a16="http://schemas.microsoft.com/office/drawing/2014/main" id="{00000000-0008-0000-1400-000011000000}"/>
            </a:ext>
          </a:extLst>
        </xdr:cNvPr>
        <xdr:cNvCxnSpPr/>
      </xdr:nvCxnSpPr>
      <xdr:spPr>
        <a:xfrm flipV="1">
          <a:off x="16017875" y="1038227"/>
          <a:ext cx="1" cy="78739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9</xdr:row>
      <xdr:rowOff>117475</xdr:rowOff>
    </xdr:from>
    <xdr:to>
      <xdr:col>25</xdr:col>
      <xdr:colOff>136525</xdr:colOff>
      <xdr:row>9</xdr:row>
      <xdr:rowOff>117475</xdr:rowOff>
    </xdr:to>
    <xdr:cxnSp macro="">
      <xdr:nvCxnSpPr>
        <xdr:cNvPr id="18" name="Straight Connector 17">
          <a:extLst>
            <a:ext uri="{FF2B5EF4-FFF2-40B4-BE49-F238E27FC236}">
              <a16:creationId xmlns:a16="http://schemas.microsoft.com/office/drawing/2014/main" id="{00000000-0008-0000-1400-000012000000}"/>
            </a:ext>
          </a:extLst>
        </xdr:cNvPr>
        <xdr:cNvCxnSpPr/>
      </xdr:nvCxnSpPr>
      <xdr:spPr>
        <a:xfrm flipH="1">
          <a:off x="15881350" y="1825625"/>
          <a:ext cx="13652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406400</xdr:colOff>
      <xdr:row>6</xdr:row>
      <xdr:rowOff>3175</xdr:rowOff>
    </xdr:from>
    <xdr:to>
      <xdr:col>16</xdr:col>
      <xdr:colOff>409575</xdr:colOff>
      <xdr:row>7</xdr:row>
      <xdr:rowOff>6350</xdr:rowOff>
    </xdr:to>
    <xdr:cxnSp macro="">
      <xdr:nvCxnSpPr>
        <xdr:cNvPr id="19" name="Straight Arrow Connector 18">
          <a:extLst>
            <a:ext uri="{FF2B5EF4-FFF2-40B4-BE49-F238E27FC236}">
              <a16:creationId xmlns:a16="http://schemas.microsoft.com/office/drawing/2014/main" id="{00000000-0008-0000-1400-000013000000}"/>
            </a:ext>
          </a:extLst>
        </xdr:cNvPr>
        <xdr:cNvCxnSpPr/>
      </xdr:nvCxnSpPr>
      <xdr:spPr>
        <a:xfrm flipV="1">
          <a:off x="10579100" y="1139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561975</xdr:colOff>
      <xdr:row>6</xdr:row>
      <xdr:rowOff>9525</xdr:rowOff>
    </xdr:from>
    <xdr:to>
      <xdr:col>16</xdr:col>
      <xdr:colOff>561975</xdr:colOff>
      <xdr:row>7</xdr:row>
      <xdr:rowOff>1</xdr:rowOff>
    </xdr:to>
    <xdr:cxnSp macro="">
      <xdr:nvCxnSpPr>
        <xdr:cNvPr id="20" name="Straight Arrow Connector 19">
          <a:extLst>
            <a:ext uri="{FF2B5EF4-FFF2-40B4-BE49-F238E27FC236}">
              <a16:creationId xmlns:a16="http://schemas.microsoft.com/office/drawing/2014/main" id="{00000000-0008-0000-1400-000014000000}"/>
            </a:ext>
          </a:extLst>
        </xdr:cNvPr>
        <xdr:cNvCxnSpPr/>
      </xdr:nvCxnSpPr>
      <xdr:spPr>
        <a:xfrm>
          <a:off x="10734675" y="11461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358775</xdr:colOff>
      <xdr:row>5</xdr:row>
      <xdr:rowOff>187325</xdr:rowOff>
    </xdr:from>
    <xdr:to>
      <xdr:col>18</xdr:col>
      <xdr:colOff>361950</xdr:colOff>
      <xdr:row>7</xdr:row>
      <xdr:rowOff>0</xdr:rowOff>
    </xdr:to>
    <xdr:cxnSp macro="">
      <xdr:nvCxnSpPr>
        <xdr:cNvPr id="21" name="Straight Arrow Connector 20">
          <a:extLst>
            <a:ext uri="{FF2B5EF4-FFF2-40B4-BE49-F238E27FC236}">
              <a16:creationId xmlns:a16="http://schemas.microsoft.com/office/drawing/2014/main" id="{00000000-0008-0000-1400-000015000000}"/>
            </a:ext>
          </a:extLst>
        </xdr:cNvPr>
        <xdr:cNvCxnSpPr/>
      </xdr:nvCxnSpPr>
      <xdr:spPr>
        <a:xfrm flipV="1">
          <a:off x="11737975" y="113347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514350</xdr:colOff>
      <xdr:row>6</xdr:row>
      <xdr:rowOff>3175</xdr:rowOff>
    </xdr:from>
    <xdr:to>
      <xdr:col>18</xdr:col>
      <xdr:colOff>514350</xdr:colOff>
      <xdr:row>6</xdr:row>
      <xdr:rowOff>184151</xdr:rowOff>
    </xdr:to>
    <xdr:cxnSp macro="">
      <xdr:nvCxnSpPr>
        <xdr:cNvPr id="22" name="Straight Arrow Connector 21">
          <a:extLst>
            <a:ext uri="{FF2B5EF4-FFF2-40B4-BE49-F238E27FC236}">
              <a16:creationId xmlns:a16="http://schemas.microsoft.com/office/drawing/2014/main" id="{00000000-0008-0000-1400-000016000000}"/>
            </a:ext>
          </a:extLst>
        </xdr:cNvPr>
        <xdr:cNvCxnSpPr/>
      </xdr:nvCxnSpPr>
      <xdr:spPr>
        <a:xfrm>
          <a:off x="11893550" y="113982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358775</xdr:colOff>
      <xdr:row>6</xdr:row>
      <xdr:rowOff>6350</xdr:rowOff>
    </xdr:from>
    <xdr:to>
      <xdr:col>22</xdr:col>
      <xdr:colOff>361950</xdr:colOff>
      <xdr:row>7</xdr:row>
      <xdr:rowOff>9525</xdr:rowOff>
    </xdr:to>
    <xdr:cxnSp macro="">
      <xdr:nvCxnSpPr>
        <xdr:cNvPr id="23" name="Straight Arrow Connector 22">
          <a:extLst>
            <a:ext uri="{FF2B5EF4-FFF2-40B4-BE49-F238E27FC236}">
              <a16:creationId xmlns:a16="http://schemas.microsoft.com/office/drawing/2014/main" id="{00000000-0008-0000-1400-000017000000}"/>
            </a:ext>
          </a:extLst>
        </xdr:cNvPr>
        <xdr:cNvCxnSpPr/>
      </xdr:nvCxnSpPr>
      <xdr:spPr>
        <a:xfrm flipV="1">
          <a:off x="14150975" y="114300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514350</xdr:colOff>
      <xdr:row>6</xdr:row>
      <xdr:rowOff>12700</xdr:rowOff>
    </xdr:from>
    <xdr:to>
      <xdr:col>22</xdr:col>
      <xdr:colOff>514350</xdr:colOff>
      <xdr:row>7</xdr:row>
      <xdr:rowOff>3176</xdr:rowOff>
    </xdr:to>
    <xdr:cxnSp macro="">
      <xdr:nvCxnSpPr>
        <xdr:cNvPr id="24" name="Straight Arrow Connector 23">
          <a:extLst>
            <a:ext uri="{FF2B5EF4-FFF2-40B4-BE49-F238E27FC236}">
              <a16:creationId xmlns:a16="http://schemas.microsoft.com/office/drawing/2014/main" id="{00000000-0008-0000-1400-000018000000}"/>
            </a:ext>
          </a:extLst>
        </xdr:cNvPr>
        <xdr:cNvCxnSpPr/>
      </xdr:nvCxnSpPr>
      <xdr:spPr>
        <a:xfrm>
          <a:off x="14306550" y="114935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530225</xdr:colOff>
      <xdr:row>6</xdr:row>
      <xdr:rowOff>12700</xdr:rowOff>
    </xdr:from>
    <xdr:to>
      <xdr:col>24</xdr:col>
      <xdr:colOff>530225</xdr:colOff>
      <xdr:row>7</xdr:row>
      <xdr:rowOff>3176</xdr:rowOff>
    </xdr:to>
    <xdr:cxnSp macro="">
      <xdr:nvCxnSpPr>
        <xdr:cNvPr id="25" name="Straight Arrow Connector 24">
          <a:extLst>
            <a:ext uri="{FF2B5EF4-FFF2-40B4-BE49-F238E27FC236}">
              <a16:creationId xmlns:a16="http://schemas.microsoft.com/office/drawing/2014/main" id="{00000000-0008-0000-1400-000019000000}"/>
            </a:ext>
          </a:extLst>
        </xdr:cNvPr>
        <xdr:cNvCxnSpPr/>
      </xdr:nvCxnSpPr>
      <xdr:spPr>
        <a:xfrm>
          <a:off x="15528925" y="114935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374650</xdr:colOff>
      <xdr:row>6</xdr:row>
      <xdr:rowOff>3175</xdr:rowOff>
    </xdr:from>
    <xdr:to>
      <xdr:col>24</xdr:col>
      <xdr:colOff>377825</xdr:colOff>
      <xdr:row>7</xdr:row>
      <xdr:rowOff>6350</xdr:rowOff>
    </xdr:to>
    <xdr:cxnSp macro="">
      <xdr:nvCxnSpPr>
        <xdr:cNvPr id="26" name="Straight Arrow Connector 25">
          <a:extLst>
            <a:ext uri="{FF2B5EF4-FFF2-40B4-BE49-F238E27FC236}">
              <a16:creationId xmlns:a16="http://schemas.microsoft.com/office/drawing/2014/main" id="{00000000-0008-0000-1400-00001A000000}"/>
            </a:ext>
          </a:extLst>
        </xdr:cNvPr>
        <xdr:cNvCxnSpPr/>
      </xdr:nvCxnSpPr>
      <xdr:spPr>
        <a:xfrm flipV="1">
          <a:off x="15373350" y="1139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422275</xdr:colOff>
      <xdr:row>8</xdr:row>
      <xdr:rowOff>3175</xdr:rowOff>
    </xdr:from>
    <xdr:to>
      <xdr:col>16</xdr:col>
      <xdr:colOff>425450</xdr:colOff>
      <xdr:row>9</xdr:row>
      <xdr:rowOff>6350</xdr:rowOff>
    </xdr:to>
    <xdr:cxnSp macro="">
      <xdr:nvCxnSpPr>
        <xdr:cNvPr id="27" name="Straight Arrow Connector 26">
          <a:extLst>
            <a:ext uri="{FF2B5EF4-FFF2-40B4-BE49-F238E27FC236}">
              <a16:creationId xmlns:a16="http://schemas.microsoft.com/office/drawing/2014/main" id="{00000000-0008-0000-1400-00001B000000}"/>
            </a:ext>
          </a:extLst>
        </xdr:cNvPr>
        <xdr:cNvCxnSpPr/>
      </xdr:nvCxnSpPr>
      <xdr:spPr>
        <a:xfrm flipV="1">
          <a:off x="10594975" y="1520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577850</xdr:colOff>
      <xdr:row>8</xdr:row>
      <xdr:rowOff>9525</xdr:rowOff>
    </xdr:from>
    <xdr:to>
      <xdr:col>16</xdr:col>
      <xdr:colOff>577850</xdr:colOff>
      <xdr:row>9</xdr:row>
      <xdr:rowOff>1</xdr:rowOff>
    </xdr:to>
    <xdr:cxnSp macro="">
      <xdr:nvCxnSpPr>
        <xdr:cNvPr id="28" name="Straight Arrow Connector 27">
          <a:extLst>
            <a:ext uri="{FF2B5EF4-FFF2-40B4-BE49-F238E27FC236}">
              <a16:creationId xmlns:a16="http://schemas.microsoft.com/office/drawing/2014/main" id="{00000000-0008-0000-1400-00001C000000}"/>
            </a:ext>
          </a:extLst>
        </xdr:cNvPr>
        <xdr:cNvCxnSpPr/>
      </xdr:nvCxnSpPr>
      <xdr:spPr>
        <a:xfrm>
          <a:off x="10750550" y="15271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530225</xdr:colOff>
      <xdr:row>8</xdr:row>
      <xdr:rowOff>0</xdr:rowOff>
    </xdr:from>
    <xdr:to>
      <xdr:col>20</xdr:col>
      <xdr:colOff>530225</xdr:colOff>
      <xdr:row>8</xdr:row>
      <xdr:rowOff>180976</xdr:rowOff>
    </xdr:to>
    <xdr:cxnSp macro="">
      <xdr:nvCxnSpPr>
        <xdr:cNvPr id="29" name="Straight Arrow Connector 28">
          <a:extLst>
            <a:ext uri="{FF2B5EF4-FFF2-40B4-BE49-F238E27FC236}">
              <a16:creationId xmlns:a16="http://schemas.microsoft.com/office/drawing/2014/main" id="{00000000-0008-0000-1400-00001D000000}"/>
            </a:ext>
          </a:extLst>
        </xdr:cNvPr>
        <xdr:cNvCxnSpPr/>
      </xdr:nvCxnSpPr>
      <xdr:spPr>
        <a:xfrm>
          <a:off x="13115925" y="151765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365125</xdr:colOff>
      <xdr:row>8</xdr:row>
      <xdr:rowOff>9525</xdr:rowOff>
    </xdr:from>
    <xdr:to>
      <xdr:col>22</xdr:col>
      <xdr:colOff>368300</xdr:colOff>
      <xdr:row>9</xdr:row>
      <xdr:rowOff>12700</xdr:rowOff>
    </xdr:to>
    <xdr:cxnSp macro="">
      <xdr:nvCxnSpPr>
        <xdr:cNvPr id="30" name="Straight Arrow Connector 29">
          <a:extLst>
            <a:ext uri="{FF2B5EF4-FFF2-40B4-BE49-F238E27FC236}">
              <a16:creationId xmlns:a16="http://schemas.microsoft.com/office/drawing/2014/main" id="{00000000-0008-0000-1400-00001E000000}"/>
            </a:ext>
          </a:extLst>
        </xdr:cNvPr>
        <xdr:cNvCxnSpPr/>
      </xdr:nvCxnSpPr>
      <xdr:spPr>
        <a:xfrm flipV="1">
          <a:off x="14157325" y="152717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520700</xdr:colOff>
      <xdr:row>8</xdr:row>
      <xdr:rowOff>15875</xdr:rowOff>
    </xdr:from>
    <xdr:to>
      <xdr:col>22</xdr:col>
      <xdr:colOff>520700</xdr:colOff>
      <xdr:row>9</xdr:row>
      <xdr:rowOff>6351</xdr:rowOff>
    </xdr:to>
    <xdr:cxnSp macro="">
      <xdr:nvCxnSpPr>
        <xdr:cNvPr id="31" name="Straight Arrow Connector 30">
          <a:extLst>
            <a:ext uri="{FF2B5EF4-FFF2-40B4-BE49-F238E27FC236}">
              <a16:creationId xmlns:a16="http://schemas.microsoft.com/office/drawing/2014/main" id="{00000000-0008-0000-1400-00001F000000}"/>
            </a:ext>
          </a:extLst>
        </xdr:cNvPr>
        <xdr:cNvCxnSpPr/>
      </xdr:nvCxnSpPr>
      <xdr:spPr>
        <a:xfrm>
          <a:off x="14312900" y="153352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371475</xdr:colOff>
      <xdr:row>8</xdr:row>
      <xdr:rowOff>3175</xdr:rowOff>
    </xdr:from>
    <xdr:to>
      <xdr:col>24</xdr:col>
      <xdr:colOff>374650</xdr:colOff>
      <xdr:row>9</xdr:row>
      <xdr:rowOff>6350</xdr:rowOff>
    </xdr:to>
    <xdr:cxnSp macro="">
      <xdr:nvCxnSpPr>
        <xdr:cNvPr id="32" name="Straight Arrow Connector 31">
          <a:extLst>
            <a:ext uri="{FF2B5EF4-FFF2-40B4-BE49-F238E27FC236}">
              <a16:creationId xmlns:a16="http://schemas.microsoft.com/office/drawing/2014/main" id="{00000000-0008-0000-1400-000020000000}"/>
            </a:ext>
          </a:extLst>
        </xdr:cNvPr>
        <xdr:cNvCxnSpPr/>
      </xdr:nvCxnSpPr>
      <xdr:spPr>
        <a:xfrm flipV="1">
          <a:off x="15370175" y="1520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527050</xdr:colOff>
      <xdr:row>8</xdr:row>
      <xdr:rowOff>9525</xdr:rowOff>
    </xdr:from>
    <xdr:to>
      <xdr:col>24</xdr:col>
      <xdr:colOff>527050</xdr:colOff>
      <xdr:row>9</xdr:row>
      <xdr:rowOff>1</xdr:rowOff>
    </xdr:to>
    <xdr:cxnSp macro="">
      <xdr:nvCxnSpPr>
        <xdr:cNvPr id="33" name="Straight Arrow Connector 32">
          <a:extLst>
            <a:ext uri="{FF2B5EF4-FFF2-40B4-BE49-F238E27FC236}">
              <a16:creationId xmlns:a16="http://schemas.microsoft.com/office/drawing/2014/main" id="{00000000-0008-0000-1400-000021000000}"/>
            </a:ext>
          </a:extLst>
        </xdr:cNvPr>
        <xdr:cNvCxnSpPr/>
      </xdr:nvCxnSpPr>
      <xdr:spPr>
        <a:xfrm>
          <a:off x="15525750" y="15271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282575</xdr:colOff>
      <xdr:row>5</xdr:row>
      <xdr:rowOff>180975</xdr:rowOff>
    </xdr:from>
    <xdr:to>
      <xdr:col>14</xdr:col>
      <xdr:colOff>288925</xdr:colOff>
      <xdr:row>8</xdr:row>
      <xdr:rowOff>180975</xdr:rowOff>
    </xdr:to>
    <xdr:cxnSp macro="">
      <xdr:nvCxnSpPr>
        <xdr:cNvPr id="34" name="Straight Arrow Connector 33">
          <a:extLst>
            <a:ext uri="{FF2B5EF4-FFF2-40B4-BE49-F238E27FC236}">
              <a16:creationId xmlns:a16="http://schemas.microsoft.com/office/drawing/2014/main" id="{00000000-0008-0000-1400-000022000000}"/>
            </a:ext>
          </a:extLst>
        </xdr:cNvPr>
        <xdr:cNvCxnSpPr/>
      </xdr:nvCxnSpPr>
      <xdr:spPr>
        <a:xfrm flipV="1">
          <a:off x="9388475" y="1127125"/>
          <a:ext cx="6350" cy="5715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441325</xdr:colOff>
      <xdr:row>5</xdr:row>
      <xdr:rowOff>187325</xdr:rowOff>
    </xdr:from>
    <xdr:to>
      <xdr:col>14</xdr:col>
      <xdr:colOff>441325</xdr:colOff>
      <xdr:row>8</xdr:row>
      <xdr:rowOff>180975</xdr:rowOff>
    </xdr:to>
    <xdr:cxnSp macro="">
      <xdr:nvCxnSpPr>
        <xdr:cNvPr id="35" name="Straight Arrow Connector 34">
          <a:extLst>
            <a:ext uri="{FF2B5EF4-FFF2-40B4-BE49-F238E27FC236}">
              <a16:creationId xmlns:a16="http://schemas.microsoft.com/office/drawing/2014/main" id="{00000000-0008-0000-1400-000023000000}"/>
            </a:ext>
          </a:extLst>
        </xdr:cNvPr>
        <xdr:cNvCxnSpPr/>
      </xdr:nvCxnSpPr>
      <xdr:spPr>
        <a:xfrm>
          <a:off x="9547225" y="1133475"/>
          <a:ext cx="0" cy="5651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285750</xdr:colOff>
      <xdr:row>5</xdr:row>
      <xdr:rowOff>177800</xdr:rowOff>
    </xdr:from>
    <xdr:to>
      <xdr:col>12</xdr:col>
      <xdr:colOff>292100</xdr:colOff>
      <xdr:row>8</xdr:row>
      <xdr:rowOff>177800</xdr:rowOff>
    </xdr:to>
    <xdr:cxnSp macro="">
      <xdr:nvCxnSpPr>
        <xdr:cNvPr id="36" name="Straight Arrow Connector 35">
          <a:extLst>
            <a:ext uri="{FF2B5EF4-FFF2-40B4-BE49-F238E27FC236}">
              <a16:creationId xmlns:a16="http://schemas.microsoft.com/office/drawing/2014/main" id="{00000000-0008-0000-1400-000024000000}"/>
            </a:ext>
          </a:extLst>
        </xdr:cNvPr>
        <xdr:cNvCxnSpPr/>
      </xdr:nvCxnSpPr>
      <xdr:spPr>
        <a:xfrm flipV="1">
          <a:off x="8324850" y="1123950"/>
          <a:ext cx="6350" cy="5715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444500</xdr:colOff>
      <xdr:row>5</xdr:row>
      <xdr:rowOff>184150</xdr:rowOff>
    </xdr:from>
    <xdr:to>
      <xdr:col>12</xdr:col>
      <xdr:colOff>444500</xdr:colOff>
      <xdr:row>8</xdr:row>
      <xdr:rowOff>177800</xdr:rowOff>
    </xdr:to>
    <xdr:cxnSp macro="">
      <xdr:nvCxnSpPr>
        <xdr:cNvPr id="37" name="Straight Arrow Connector 36">
          <a:extLst>
            <a:ext uri="{FF2B5EF4-FFF2-40B4-BE49-F238E27FC236}">
              <a16:creationId xmlns:a16="http://schemas.microsoft.com/office/drawing/2014/main" id="{00000000-0008-0000-1400-000025000000}"/>
            </a:ext>
          </a:extLst>
        </xdr:cNvPr>
        <xdr:cNvCxnSpPr/>
      </xdr:nvCxnSpPr>
      <xdr:spPr>
        <a:xfrm>
          <a:off x="8483600" y="1130300"/>
          <a:ext cx="0" cy="5651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298450</xdr:colOff>
      <xdr:row>5</xdr:row>
      <xdr:rowOff>184150</xdr:rowOff>
    </xdr:from>
    <xdr:to>
      <xdr:col>10</xdr:col>
      <xdr:colOff>304800</xdr:colOff>
      <xdr:row>8</xdr:row>
      <xdr:rowOff>184150</xdr:rowOff>
    </xdr:to>
    <xdr:cxnSp macro="">
      <xdr:nvCxnSpPr>
        <xdr:cNvPr id="38" name="Straight Arrow Connector 37">
          <a:extLst>
            <a:ext uri="{FF2B5EF4-FFF2-40B4-BE49-F238E27FC236}">
              <a16:creationId xmlns:a16="http://schemas.microsoft.com/office/drawing/2014/main" id="{00000000-0008-0000-1400-000026000000}"/>
            </a:ext>
          </a:extLst>
        </xdr:cNvPr>
        <xdr:cNvCxnSpPr/>
      </xdr:nvCxnSpPr>
      <xdr:spPr>
        <a:xfrm flipV="1">
          <a:off x="7270750" y="1130300"/>
          <a:ext cx="6350" cy="5715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457200</xdr:colOff>
      <xdr:row>6</xdr:row>
      <xdr:rowOff>0</xdr:rowOff>
    </xdr:from>
    <xdr:to>
      <xdr:col>10</xdr:col>
      <xdr:colOff>457200</xdr:colOff>
      <xdr:row>8</xdr:row>
      <xdr:rowOff>184150</xdr:rowOff>
    </xdr:to>
    <xdr:cxnSp macro="">
      <xdr:nvCxnSpPr>
        <xdr:cNvPr id="39" name="Straight Arrow Connector 38">
          <a:extLst>
            <a:ext uri="{FF2B5EF4-FFF2-40B4-BE49-F238E27FC236}">
              <a16:creationId xmlns:a16="http://schemas.microsoft.com/office/drawing/2014/main" id="{00000000-0008-0000-1400-000027000000}"/>
            </a:ext>
          </a:extLst>
        </xdr:cNvPr>
        <xdr:cNvCxnSpPr/>
      </xdr:nvCxnSpPr>
      <xdr:spPr>
        <a:xfrm>
          <a:off x="7429500" y="1136650"/>
          <a:ext cx="0" cy="5651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365125</xdr:colOff>
      <xdr:row>6</xdr:row>
      <xdr:rowOff>3175</xdr:rowOff>
    </xdr:from>
    <xdr:to>
      <xdr:col>20</xdr:col>
      <xdr:colOff>368300</xdr:colOff>
      <xdr:row>7</xdr:row>
      <xdr:rowOff>6350</xdr:rowOff>
    </xdr:to>
    <xdr:cxnSp macro="">
      <xdr:nvCxnSpPr>
        <xdr:cNvPr id="40" name="Straight Arrow Connector 39">
          <a:extLst>
            <a:ext uri="{FF2B5EF4-FFF2-40B4-BE49-F238E27FC236}">
              <a16:creationId xmlns:a16="http://schemas.microsoft.com/office/drawing/2014/main" id="{00000000-0008-0000-1400-000028000000}"/>
            </a:ext>
          </a:extLst>
        </xdr:cNvPr>
        <xdr:cNvCxnSpPr/>
      </xdr:nvCxnSpPr>
      <xdr:spPr>
        <a:xfrm flipV="1">
          <a:off x="12950825" y="1139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520700</xdr:colOff>
      <xdr:row>6</xdr:row>
      <xdr:rowOff>9525</xdr:rowOff>
    </xdr:from>
    <xdr:to>
      <xdr:col>20</xdr:col>
      <xdr:colOff>520700</xdr:colOff>
      <xdr:row>7</xdr:row>
      <xdr:rowOff>1</xdr:rowOff>
    </xdr:to>
    <xdr:cxnSp macro="">
      <xdr:nvCxnSpPr>
        <xdr:cNvPr id="41" name="Straight Arrow Connector 40">
          <a:extLst>
            <a:ext uri="{FF2B5EF4-FFF2-40B4-BE49-F238E27FC236}">
              <a16:creationId xmlns:a16="http://schemas.microsoft.com/office/drawing/2014/main" id="{00000000-0008-0000-1400-000029000000}"/>
            </a:ext>
          </a:extLst>
        </xdr:cNvPr>
        <xdr:cNvCxnSpPr/>
      </xdr:nvCxnSpPr>
      <xdr:spPr>
        <a:xfrm>
          <a:off x="13106400" y="11461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374650</xdr:colOff>
      <xdr:row>7</xdr:row>
      <xdr:rowOff>187325</xdr:rowOff>
    </xdr:from>
    <xdr:to>
      <xdr:col>20</xdr:col>
      <xdr:colOff>377825</xdr:colOff>
      <xdr:row>9</xdr:row>
      <xdr:rowOff>0</xdr:rowOff>
    </xdr:to>
    <xdr:cxnSp macro="">
      <xdr:nvCxnSpPr>
        <xdr:cNvPr id="42" name="Straight Arrow Connector 41">
          <a:extLst>
            <a:ext uri="{FF2B5EF4-FFF2-40B4-BE49-F238E27FC236}">
              <a16:creationId xmlns:a16="http://schemas.microsoft.com/office/drawing/2014/main" id="{00000000-0008-0000-1400-00002A000000}"/>
            </a:ext>
          </a:extLst>
        </xdr:cNvPr>
        <xdr:cNvCxnSpPr/>
      </xdr:nvCxnSpPr>
      <xdr:spPr>
        <a:xfrm flipV="1">
          <a:off x="12960350" y="151447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422275</xdr:colOff>
      <xdr:row>10</xdr:row>
      <xdr:rowOff>0</xdr:rowOff>
    </xdr:from>
    <xdr:to>
      <xdr:col>16</xdr:col>
      <xdr:colOff>425450</xdr:colOff>
      <xdr:row>11</xdr:row>
      <xdr:rowOff>3175</xdr:rowOff>
    </xdr:to>
    <xdr:cxnSp macro="">
      <xdr:nvCxnSpPr>
        <xdr:cNvPr id="43" name="Straight Arrow Connector 42">
          <a:extLst>
            <a:ext uri="{FF2B5EF4-FFF2-40B4-BE49-F238E27FC236}">
              <a16:creationId xmlns:a16="http://schemas.microsoft.com/office/drawing/2014/main" id="{00000000-0008-0000-1400-00002B000000}"/>
            </a:ext>
          </a:extLst>
        </xdr:cNvPr>
        <xdr:cNvCxnSpPr/>
      </xdr:nvCxnSpPr>
      <xdr:spPr>
        <a:xfrm flipV="1">
          <a:off x="10594975" y="189865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577850</xdr:colOff>
      <xdr:row>10</xdr:row>
      <xdr:rowOff>6350</xdr:rowOff>
    </xdr:from>
    <xdr:to>
      <xdr:col>16</xdr:col>
      <xdr:colOff>577850</xdr:colOff>
      <xdr:row>10</xdr:row>
      <xdr:rowOff>187326</xdr:rowOff>
    </xdr:to>
    <xdr:cxnSp macro="">
      <xdr:nvCxnSpPr>
        <xdr:cNvPr id="44" name="Straight Arrow Connector 43">
          <a:extLst>
            <a:ext uri="{FF2B5EF4-FFF2-40B4-BE49-F238E27FC236}">
              <a16:creationId xmlns:a16="http://schemas.microsoft.com/office/drawing/2014/main" id="{00000000-0008-0000-1400-00002C000000}"/>
            </a:ext>
          </a:extLst>
        </xdr:cNvPr>
        <xdr:cNvCxnSpPr/>
      </xdr:nvCxnSpPr>
      <xdr:spPr>
        <a:xfrm>
          <a:off x="10750550" y="190500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387350</xdr:colOff>
      <xdr:row>9</xdr:row>
      <xdr:rowOff>184150</xdr:rowOff>
    </xdr:from>
    <xdr:to>
      <xdr:col>20</xdr:col>
      <xdr:colOff>390525</xdr:colOff>
      <xdr:row>10</xdr:row>
      <xdr:rowOff>187325</xdr:rowOff>
    </xdr:to>
    <xdr:cxnSp macro="">
      <xdr:nvCxnSpPr>
        <xdr:cNvPr id="45" name="Straight Arrow Connector 44">
          <a:extLst>
            <a:ext uri="{FF2B5EF4-FFF2-40B4-BE49-F238E27FC236}">
              <a16:creationId xmlns:a16="http://schemas.microsoft.com/office/drawing/2014/main" id="{00000000-0008-0000-1400-00002D000000}"/>
            </a:ext>
          </a:extLst>
        </xdr:cNvPr>
        <xdr:cNvCxnSpPr/>
      </xdr:nvCxnSpPr>
      <xdr:spPr>
        <a:xfrm flipV="1">
          <a:off x="12973050" y="189230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542925</xdr:colOff>
      <xdr:row>10</xdr:row>
      <xdr:rowOff>0</xdr:rowOff>
    </xdr:from>
    <xdr:to>
      <xdr:col>20</xdr:col>
      <xdr:colOff>542925</xdr:colOff>
      <xdr:row>10</xdr:row>
      <xdr:rowOff>180976</xdr:rowOff>
    </xdr:to>
    <xdr:cxnSp macro="">
      <xdr:nvCxnSpPr>
        <xdr:cNvPr id="46" name="Straight Arrow Connector 45">
          <a:extLst>
            <a:ext uri="{FF2B5EF4-FFF2-40B4-BE49-F238E27FC236}">
              <a16:creationId xmlns:a16="http://schemas.microsoft.com/office/drawing/2014/main" id="{00000000-0008-0000-1400-00002E000000}"/>
            </a:ext>
          </a:extLst>
        </xdr:cNvPr>
        <xdr:cNvCxnSpPr/>
      </xdr:nvCxnSpPr>
      <xdr:spPr>
        <a:xfrm>
          <a:off x="13128625" y="189865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374650</xdr:colOff>
      <xdr:row>10</xdr:row>
      <xdr:rowOff>0</xdr:rowOff>
    </xdr:from>
    <xdr:to>
      <xdr:col>22</xdr:col>
      <xdr:colOff>377825</xdr:colOff>
      <xdr:row>11</xdr:row>
      <xdr:rowOff>3175</xdr:rowOff>
    </xdr:to>
    <xdr:cxnSp macro="">
      <xdr:nvCxnSpPr>
        <xdr:cNvPr id="47" name="Straight Arrow Connector 46">
          <a:extLst>
            <a:ext uri="{FF2B5EF4-FFF2-40B4-BE49-F238E27FC236}">
              <a16:creationId xmlns:a16="http://schemas.microsoft.com/office/drawing/2014/main" id="{00000000-0008-0000-1400-00002F000000}"/>
            </a:ext>
          </a:extLst>
        </xdr:cNvPr>
        <xdr:cNvCxnSpPr/>
      </xdr:nvCxnSpPr>
      <xdr:spPr>
        <a:xfrm flipV="1">
          <a:off x="14166850" y="189865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530225</xdr:colOff>
      <xdr:row>10</xdr:row>
      <xdr:rowOff>6350</xdr:rowOff>
    </xdr:from>
    <xdr:to>
      <xdr:col>22</xdr:col>
      <xdr:colOff>530225</xdr:colOff>
      <xdr:row>10</xdr:row>
      <xdr:rowOff>187326</xdr:rowOff>
    </xdr:to>
    <xdr:cxnSp macro="">
      <xdr:nvCxnSpPr>
        <xdr:cNvPr id="48" name="Straight Arrow Connector 47">
          <a:extLst>
            <a:ext uri="{FF2B5EF4-FFF2-40B4-BE49-F238E27FC236}">
              <a16:creationId xmlns:a16="http://schemas.microsoft.com/office/drawing/2014/main" id="{00000000-0008-0000-1400-000030000000}"/>
            </a:ext>
          </a:extLst>
        </xdr:cNvPr>
        <xdr:cNvCxnSpPr/>
      </xdr:nvCxnSpPr>
      <xdr:spPr>
        <a:xfrm>
          <a:off x="14322425" y="190500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390525</xdr:colOff>
      <xdr:row>10</xdr:row>
      <xdr:rowOff>3175</xdr:rowOff>
    </xdr:from>
    <xdr:to>
      <xdr:col>24</xdr:col>
      <xdr:colOff>393700</xdr:colOff>
      <xdr:row>11</xdr:row>
      <xdr:rowOff>6350</xdr:rowOff>
    </xdr:to>
    <xdr:cxnSp macro="">
      <xdr:nvCxnSpPr>
        <xdr:cNvPr id="49" name="Straight Arrow Connector 48">
          <a:extLst>
            <a:ext uri="{FF2B5EF4-FFF2-40B4-BE49-F238E27FC236}">
              <a16:creationId xmlns:a16="http://schemas.microsoft.com/office/drawing/2014/main" id="{00000000-0008-0000-1400-000031000000}"/>
            </a:ext>
          </a:extLst>
        </xdr:cNvPr>
        <xdr:cNvCxnSpPr/>
      </xdr:nvCxnSpPr>
      <xdr:spPr>
        <a:xfrm flipV="1">
          <a:off x="15389225" y="1901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546100</xdr:colOff>
      <xdr:row>10</xdr:row>
      <xdr:rowOff>9525</xdr:rowOff>
    </xdr:from>
    <xdr:to>
      <xdr:col>24</xdr:col>
      <xdr:colOff>546100</xdr:colOff>
      <xdr:row>11</xdr:row>
      <xdr:rowOff>1</xdr:rowOff>
    </xdr:to>
    <xdr:cxnSp macro="">
      <xdr:nvCxnSpPr>
        <xdr:cNvPr id="50" name="Straight Arrow Connector 49">
          <a:extLst>
            <a:ext uri="{FF2B5EF4-FFF2-40B4-BE49-F238E27FC236}">
              <a16:creationId xmlns:a16="http://schemas.microsoft.com/office/drawing/2014/main" id="{00000000-0008-0000-1400-000032000000}"/>
            </a:ext>
          </a:extLst>
        </xdr:cNvPr>
        <xdr:cNvCxnSpPr/>
      </xdr:nvCxnSpPr>
      <xdr:spPr>
        <a:xfrm>
          <a:off x="15544800" y="19081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6350</xdr:colOff>
      <xdr:row>6</xdr:row>
      <xdr:rowOff>88900</xdr:rowOff>
    </xdr:from>
    <xdr:to>
      <xdr:col>32</xdr:col>
      <xdr:colOff>3175</xdr:colOff>
      <xdr:row>6</xdr:row>
      <xdr:rowOff>88900</xdr:rowOff>
    </xdr:to>
    <xdr:cxnSp macro="">
      <xdr:nvCxnSpPr>
        <xdr:cNvPr id="51" name="Straight Arrow Connector 50">
          <a:extLst>
            <a:ext uri="{FF2B5EF4-FFF2-40B4-BE49-F238E27FC236}">
              <a16:creationId xmlns:a16="http://schemas.microsoft.com/office/drawing/2014/main" id="{00000000-0008-0000-1400-000033000000}"/>
            </a:ext>
          </a:extLst>
        </xdr:cNvPr>
        <xdr:cNvCxnSpPr/>
      </xdr:nvCxnSpPr>
      <xdr:spPr>
        <a:xfrm>
          <a:off x="18808700" y="1225550"/>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358775</xdr:colOff>
      <xdr:row>8</xdr:row>
      <xdr:rowOff>0</xdr:rowOff>
    </xdr:from>
    <xdr:to>
      <xdr:col>18</xdr:col>
      <xdr:colOff>361950</xdr:colOff>
      <xdr:row>9</xdr:row>
      <xdr:rowOff>3175</xdr:rowOff>
    </xdr:to>
    <xdr:cxnSp macro="">
      <xdr:nvCxnSpPr>
        <xdr:cNvPr id="52" name="Straight Arrow Connector 51">
          <a:extLst>
            <a:ext uri="{FF2B5EF4-FFF2-40B4-BE49-F238E27FC236}">
              <a16:creationId xmlns:a16="http://schemas.microsoft.com/office/drawing/2014/main" id="{00000000-0008-0000-1400-000034000000}"/>
            </a:ext>
          </a:extLst>
        </xdr:cNvPr>
        <xdr:cNvCxnSpPr/>
      </xdr:nvCxnSpPr>
      <xdr:spPr>
        <a:xfrm flipV="1">
          <a:off x="11737975" y="151765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514350</xdr:colOff>
      <xdr:row>8</xdr:row>
      <xdr:rowOff>6350</xdr:rowOff>
    </xdr:from>
    <xdr:to>
      <xdr:col>18</xdr:col>
      <xdr:colOff>514350</xdr:colOff>
      <xdr:row>8</xdr:row>
      <xdr:rowOff>187326</xdr:rowOff>
    </xdr:to>
    <xdr:cxnSp macro="">
      <xdr:nvCxnSpPr>
        <xdr:cNvPr id="53" name="Straight Arrow Connector 52">
          <a:extLst>
            <a:ext uri="{FF2B5EF4-FFF2-40B4-BE49-F238E27FC236}">
              <a16:creationId xmlns:a16="http://schemas.microsoft.com/office/drawing/2014/main" id="{00000000-0008-0000-1400-000035000000}"/>
            </a:ext>
          </a:extLst>
        </xdr:cNvPr>
        <xdr:cNvCxnSpPr/>
      </xdr:nvCxnSpPr>
      <xdr:spPr>
        <a:xfrm>
          <a:off x="11893550" y="1524000"/>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358775</xdr:colOff>
      <xdr:row>10</xdr:row>
      <xdr:rowOff>3175</xdr:rowOff>
    </xdr:from>
    <xdr:to>
      <xdr:col>18</xdr:col>
      <xdr:colOff>361950</xdr:colOff>
      <xdr:row>11</xdr:row>
      <xdr:rowOff>6350</xdr:rowOff>
    </xdr:to>
    <xdr:cxnSp macro="">
      <xdr:nvCxnSpPr>
        <xdr:cNvPr id="54" name="Straight Arrow Connector 53">
          <a:extLst>
            <a:ext uri="{FF2B5EF4-FFF2-40B4-BE49-F238E27FC236}">
              <a16:creationId xmlns:a16="http://schemas.microsoft.com/office/drawing/2014/main" id="{00000000-0008-0000-1400-000036000000}"/>
            </a:ext>
          </a:extLst>
        </xdr:cNvPr>
        <xdr:cNvCxnSpPr/>
      </xdr:nvCxnSpPr>
      <xdr:spPr>
        <a:xfrm flipV="1">
          <a:off x="11737975" y="19018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514350</xdr:colOff>
      <xdr:row>10</xdr:row>
      <xdr:rowOff>9525</xdr:rowOff>
    </xdr:from>
    <xdr:to>
      <xdr:col>18</xdr:col>
      <xdr:colOff>514350</xdr:colOff>
      <xdr:row>11</xdr:row>
      <xdr:rowOff>1</xdr:rowOff>
    </xdr:to>
    <xdr:cxnSp macro="">
      <xdr:nvCxnSpPr>
        <xdr:cNvPr id="55" name="Straight Arrow Connector 54">
          <a:extLst>
            <a:ext uri="{FF2B5EF4-FFF2-40B4-BE49-F238E27FC236}">
              <a16:creationId xmlns:a16="http://schemas.microsoft.com/office/drawing/2014/main" id="{00000000-0008-0000-1400-000037000000}"/>
            </a:ext>
          </a:extLst>
        </xdr:cNvPr>
        <xdr:cNvCxnSpPr/>
      </xdr:nvCxnSpPr>
      <xdr:spPr>
        <a:xfrm>
          <a:off x="11893550" y="19081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143933</xdr:colOff>
      <xdr:row>5</xdr:row>
      <xdr:rowOff>67733</xdr:rowOff>
    </xdr:from>
    <xdr:to>
      <xdr:col>33</xdr:col>
      <xdr:colOff>169334</xdr:colOff>
      <xdr:row>7</xdr:row>
      <xdr:rowOff>93133</xdr:rowOff>
    </xdr:to>
    <xdr:sp macro="" textlink="">
      <xdr:nvSpPr>
        <xdr:cNvPr id="56" name="Oval 55">
          <a:extLst>
            <a:ext uri="{FF2B5EF4-FFF2-40B4-BE49-F238E27FC236}">
              <a16:creationId xmlns:a16="http://schemas.microsoft.com/office/drawing/2014/main" id="{00000000-0008-0000-1400-000038000000}"/>
            </a:ext>
          </a:extLst>
        </xdr:cNvPr>
        <xdr:cNvSpPr/>
      </xdr:nvSpPr>
      <xdr:spPr>
        <a:xfrm>
          <a:off x="18946283" y="1013883"/>
          <a:ext cx="958851" cy="406400"/>
        </a:xfrm>
        <a:prstGeom prst="ellipse">
          <a:avLst/>
        </a:prstGeom>
        <a:noFill/>
        <a:ln w="2540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270933</xdr:colOff>
      <xdr:row>6</xdr:row>
      <xdr:rowOff>0</xdr:rowOff>
    </xdr:from>
    <xdr:to>
      <xdr:col>3</xdr:col>
      <xdr:colOff>274108</xdr:colOff>
      <xdr:row>7</xdr:row>
      <xdr:rowOff>3175</xdr:rowOff>
    </xdr:to>
    <xdr:cxnSp macro="">
      <xdr:nvCxnSpPr>
        <xdr:cNvPr id="57" name="Straight Arrow Connector 56">
          <a:extLst>
            <a:ext uri="{FF2B5EF4-FFF2-40B4-BE49-F238E27FC236}">
              <a16:creationId xmlns:a16="http://schemas.microsoft.com/office/drawing/2014/main" id="{00000000-0008-0000-1400-000039000000}"/>
            </a:ext>
          </a:extLst>
        </xdr:cNvPr>
        <xdr:cNvCxnSpPr/>
      </xdr:nvCxnSpPr>
      <xdr:spPr>
        <a:xfrm flipV="1">
          <a:off x="3052233" y="113665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426508</xdr:colOff>
      <xdr:row>6</xdr:row>
      <xdr:rowOff>6350</xdr:rowOff>
    </xdr:from>
    <xdr:to>
      <xdr:col>3</xdr:col>
      <xdr:colOff>426508</xdr:colOff>
      <xdr:row>6</xdr:row>
      <xdr:rowOff>191560</xdr:rowOff>
    </xdr:to>
    <xdr:cxnSp macro="">
      <xdr:nvCxnSpPr>
        <xdr:cNvPr id="58" name="Straight Arrow Connector 57">
          <a:extLst>
            <a:ext uri="{FF2B5EF4-FFF2-40B4-BE49-F238E27FC236}">
              <a16:creationId xmlns:a16="http://schemas.microsoft.com/office/drawing/2014/main" id="{00000000-0008-0000-1400-00003A000000}"/>
            </a:ext>
          </a:extLst>
        </xdr:cNvPr>
        <xdr:cNvCxnSpPr/>
      </xdr:nvCxnSpPr>
      <xdr:spPr>
        <a:xfrm>
          <a:off x="3207808" y="1143000"/>
          <a:ext cx="0" cy="1852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9</xdr:row>
      <xdr:rowOff>101600</xdr:rowOff>
    </xdr:from>
    <xdr:to>
      <xdr:col>7</xdr:col>
      <xdr:colOff>320675</xdr:colOff>
      <xdr:row>9</xdr:row>
      <xdr:rowOff>107950</xdr:rowOff>
    </xdr:to>
    <xdr:cxnSp macro="">
      <xdr:nvCxnSpPr>
        <xdr:cNvPr id="59" name="Straight Arrow Connector 58">
          <a:extLst>
            <a:ext uri="{FF2B5EF4-FFF2-40B4-BE49-F238E27FC236}">
              <a16:creationId xmlns:a16="http://schemas.microsoft.com/office/drawing/2014/main" id="{00000000-0008-0000-1400-00003B000000}"/>
            </a:ext>
          </a:extLst>
        </xdr:cNvPr>
        <xdr:cNvCxnSpPr/>
      </xdr:nvCxnSpPr>
      <xdr:spPr>
        <a:xfrm flipV="1">
          <a:off x="5734050" y="1809750"/>
          <a:ext cx="168275" cy="6350"/>
        </a:xfrm>
        <a:prstGeom prst="straightConnector1">
          <a:avLst/>
        </a:prstGeom>
        <a:ln w="222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146050</xdr:colOff>
      <xdr:row>5</xdr:row>
      <xdr:rowOff>69850</xdr:rowOff>
    </xdr:from>
    <xdr:to>
      <xdr:col>7</xdr:col>
      <xdr:colOff>146050</xdr:colOff>
      <xdr:row>11</xdr:row>
      <xdr:rowOff>114300</xdr:rowOff>
    </xdr:to>
    <xdr:cxnSp macro="">
      <xdr:nvCxnSpPr>
        <xdr:cNvPr id="60" name="Straight Connector 59">
          <a:extLst>
            <a:ext uri="{FF2B5EF4-FFF2-40B4-BE49-F238E27FC236}">
              <a16:creationId xmlns:a16="http://schemas.microsoft.com/office/drawing/2014/main" id="{00000000-0008-0000-1400-00003C000000}"/>
            </a:ext>
          </a:extLst>
        </xdr:cNvPr>
        <xdr:cNvCxnSpPr/>
      </xdr:nvCxnSpPr>
      <xdr:spPr>
        <a:xfrm>
          <a:off x="5727700" y="1016000"/>
          <a:ext cx="0" cy="118745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139700</xdr:colOff>
      <xdr:row>11</xdr:row>
      <xdr:rowOff>120650</xdr:rowOff>
    </xdr:from>
    <xdr:to>
      <xdr:col>8</xdr:col>
      <xdr:colOff>9525</xdr:colOff>
      <xdr:row>11</xdr:row>
      <xdr:rowOff>127000</xdr:rowOff>
    </xdr:to>
    <xdr:cxnSp macro="">
      <xdr:nvCxnSpPr>
        <xdr:cNvPr id="61" name="Straight Arrow Connector 60">
          <a:extLst>
            <a:ext uri="{FF2B5EF4-FFF2-40B4-BE49-F238E27FC236}">
              <a16:creationId xmlns:a16="http://schemas.microsoft.com/office/drawing/2014/main" id="{00000000-0008-0000-1400-00003D000000}"/>
            </a:ext>
          </a:extLst>
        </xdr:cNvPr>
        <xdr:cNvCxnSpPr/>
      </xdr:nvCxnSpPr>
      <xdr:spPr>
        <a:xfrm flipV="1">
          <a:off x="5721350" y="2209800"/>
          <a:ext cx="193675" cy="6350"/>
        </a:xfrm>
        <a:prstGeom prst="straightConnector1">
          <a:avLst/>
        </a:prstGeom>
        <a:ln w="222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12700</xdr:colOff>
      <xdr:row>5</xdr:row>
      <xdr:rowOff>95250</xdr:rowOff>
    </xdr:from>
    <xdr:to>
      <xdr:col>3</xdr:col>
      <xdr:colOff>9525</xdr:colOff>
      <xdr:row>5</xdr:row>
      <xdr:rowOff>95250</xdr:rowOff>
    </xdr:to>
    <xdr:cxnSp macro="">
      <xdr:nvCxnSpPr>
        <xdr:cNvPr id="62" name="Straight Arrow Connector 61">
          <a:extLst>
            <a:ext uri="{FF2B5EF4-FFF2-40B4-BE49-F238E27FC236}">
              <a16:creationId xmlns:a16="http://schemas.microsoft.com/office/drawing/2014/main" id="{00000000-0008-0000-1400-00003E000000}"/>
            </a:ext>
          </a:extLst>
        </xdr:cNvPr>
        <xdr:cNvCxnSpPr/>
      </xdr:nvCxnSpPr>
      <xdr:spPr>
        <a:xfrm>
          <a:off x="2470150" y="1041400"/>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6350</xdr:colOff>
      <xdr:row>5</xdr:row>
      <xdr:rowOff>88900</xdr:rowOff>
    </xdr:from>
    <xdr:to>
      <xdr:col>10</xdr:col>
      <xdr:colOff>3175</xdr:colOff>
      <xdr:row>5</xdr:row>
      <xdr:rowOff>88900</xdr:rowOff>
    </xdr:to>
    <xdr:cxnSp macro="">
      <xdr:nvCxnSpPr>
        <xdr:cNvPr id="63" name="Straight Arrow Connector 62">
          <a:extLst>
            <a:ext uri="{FF2B5EF4-FFF2-40B4-BE49-F238E27FC236}">
              <a16:creationId xmlns:a16="http://schemas.microsoft.com/office/drawing/2014/main" id="{00000000-0008-0000-1400-00003F000000}"/>
            </a:ext>
          </a:extLst>
        </xdr:cNvPr>
        <xdr:cNvCxnSpPr/>
      </xdr:nvCxnSpPr>
      <xdr:spPr>
        <a:xfrm>
          <a:off x="6654800" y="1035050"/>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161926</xdr:colOff>
      <xdr:row>5</xdr:row>
      <xdr:rowOff>82550</xdr:rowOff>
    </xdr:from>
    <xdr:to>
      <xdr:col>4</xdr:col>
      <xdr:colOff>165100</xdr:colOff>
      <xdr:row>11</xdr:row>
      <xdr:rowOff>101600</xdr:rowOff>
    </xdr:to>
    <xdr:cxnSp macro="">
      <xdr:nvCxnSpPr>
        <xdr:cNvPr id="64" name="Straight Connector 63">
          <a:extLst>
            <a:ext uri="{FF2B5EF4-FFF2-40B4-BE49-F238E27FC236}">
              <a16:creationId xmlns:a16="http://schemas.microsoft.com/office/drawing/2014/main" id="{00000000-0008-0000-1400-000040000000}"/>
            </a:ext>
          </a:extLst>
        </xdr:cNvPr>
        <xdr:cNvCxnSpPr/>
      </xdr:nvCxnSpPr>
      <xdr:spPr>
        <a:xfrm>
          <a:off x="3933826" y="1028700"/>
          <a:ext cx="3174" cy="116205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5</xdr:row>
      <xdr:rowOff>88900</xdr:rowOff>
    </xdr:from>
    <xdr:to>
      <xdr:col>4</xdr:col>
      <xdr:colOff>161925</xdr:colOff>
      <xdr:row>5</xdr:row>
      <xdr:rowOff>88900</xdr:rowOff>
    </xdr:to>
    <xdr:cxnSp macro="">
      <xdr:nvCxnSpPr>
        <xdr:cNvPr id="65" name="Straight Connector 64">
          <a:extLst>
            <a:ext uri="{FF2B5EF4-FFF2-40B4-BE49-F238E27FC236}">
              <a16:creationId xmlns:a16="http://schemas.microsoft.com/office/drawing/2014/main" id="{00000000-0008-0000-1400-000041000000}"/>
            </a:ext>
          </a:extLst>
        </xdr:cNvPr>
        <xdr:cNvCxnSpPr/>
      </xdr:nvCxnSpPr>
      <xdr:spPr>
        <a:xfrm flipH="1">
          <a:off x="3771900" y="1035050"/>
          <a:ext cx="161925"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6350</xdr:colOff>
      <xdr:row>7</xdr:row>
      <xdr:rowOff>107950</xdr:rowOff>
    </xdr:from>
    <xdr:to>
      <xdr:col>3</xdr:col>
      <xdr:colOff>3175</xdr:colOff>
      <xdr:row>7</xdr:row>
      <xdr:rowOff>107950</xdr:rowOff>
    </xdr:to>
    <xdr:cxnSp macro="">
      <xdr:nvCxnSpPr>
        <xdr:cNvPr id="66" name="Straight Arrow Connector 65">
          <a:extLst>
            <a:ext uri="{FF2B5EF4-FFF2-40B4-BE49-F238E27FC236}">
              <a16:creationId xmlns:a16="http://schemas.microsoft.com/office/drawing/2014/main" id="{00000000-0008-0000-1400-000042000000}"/>
            </a:ext>
          </a:extLst>
        </xdr:cNvPr>
        <xdr:cNvCxnSpPr/>
      </xdr:nvCxnSpPr>
      <xdr:spPr>
        <a:xfrm>
          <a:off x="2463800" y="1435100"/>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9</xdr:row>
      <xdr:rowOff>69850</xdr:rowOff>
    </xdr:from>
    <xdr:to>
      <xdr:col>4</xdr:col>
      <xdr:colOff>161925</xdr:colOff>
      <xdr:row>9</xdr:row>
      <xdr:rowOff>69850</xdr:rowOff>
    </xdr:to>
    <xdr:cxnSp macro="">
      <xdr:nvCxnSpPr>
        <xdr:cNvPr id="69" name="Straight Connector 68">
          <a:extLst>
            <a:ext uri="{FF2B5EF4-FFF2-40B4-BE49-F238E27FC236}">
              <a16:creationId xmlns:a16="http://schemas.microsoft.com/office/drawing/2014/main" id="{00000000-0008-0000-1400-000045000000}"/>
            </a:ext>
          </a:extLst>
        </xdr:cNvPr>
        <xdr:cNvCxnSpPr/>
      </xdr:nvCxnSpPr>
      <xdr:spPr>
        <a:xfrm flipH="1">
          <a:off x="3771900" y="1778000"/>
          <a:ext cx="161925"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1435100</xdr:colOff>
      <xdr:row>9</xdr:row>
      <xdr:rowOff>107950</xdr:rowOff>
    </xdr:from>
    <xdr:to>
      <xdr:col>2</xdr:col>
      <xdr:colOff>314325</xdr:colOff>
      <xdr:row>9</xdr:row>
      <xdr:rowOff>107950</xdr:rowOff>
    </xdr:to>
    <xdr:cxnSp macro="">
      <xdr:nvCxnSpPr>
        <xdr:cNvPr id="70" name="Straight Arrow Connector 69">
          <a:extLst>
            <a:ext uri="{FF2B5EF4-FFF2-40B4-BE49-F238E27FC236}">
              <a16:creationId xmlns:a16="http://schemas.microsoft.com/office/drawing/2014/main" id="{00000000-0008-0000-1400-000046000000}"/>
            </a:ext>
          </a:extLst>
        </xdr:cNvPr>
        <xdr:cNvCxnSpPr/>
      </xdr:nvCxnSpPr>
      <xdr:spPr>
        <a:xfrm>
          <a:off x="2451100" y="1816100"/>
          <a:ext cx="3206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285750</xdr:colOff>
      <xdr:row>7</xdr:row>
      <xdr:rowOff>177800</xdr:rowOff>
    </xdr:from>
    <xdr:to>
      <xdr:col>3</xdr:col>
      <xdr:colOff>288925</xdr:colOff>
      <xdr:row>8</xdr:row>
      <xdr:rowOff>180975</xdr:rowOff>
    </xdr:to>
    <xdr:cxnSp macro="">
      <xdr:nvCxnSpPr>
        <xdr:cNvPr id="71" name="Straight Arrow Connector 70">
          <a:extLst>
            <a:ext uri="{FF2B5EF4-FFF2-40B4-BE49-F238E27FC236}">
              <a16:creationId xmlns:a16="http://schemas.microsoft.com/office/drawing/2014/main" id="{00000000-0008-0000-1400-000047000000}"/>
            </a:ext>
          </a:extLst>
        </xdr:cNvPr>
        <xdr:cNvCxnSpPr/>
      </xdr:nvCxnSpPr>
      <xdr:spPr>
        <a:xfrm flipV="1">
          <a:off x="3067050" y="1504950"/>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441325</xdr:colOff>
      <xdr:row>7</xdr:row>
      <xdr:rowOff>184150</xdr:rowOff>
    </xdr:from>
    <xdr:to>
      <xdr:col>3</xdr:col>
      <xdr:colOff>441325</xdr:colOff>
      <xdr:row>8</xdr:row>
      <xdr:rowOff>178860</xdr:rowOff>
    </xdr:to>
    <xdr:cxnSp macro="">
      <xdr:nvCxnSpPr>
        <xdr:cNvPr id="72" name="Straight Arrow Connector 71">
          <a:extLst>
            <a:ext uri="{FF2B5EF4-FFF2-40B4-BE49-F238E27FC236}">
              <a16:creationId xmlns:a16="http://schemas.microsoft.com/office/drawing/2014/main" id="{00000000-0008-0000-1400-000048000000}"/>
            </a:ext>
          </a:extLst>
        </xdr:cNvPr>
        <xdr:cNvCxnSpPr/>
      </xdr:nvCxnSpPr>
      <xdr:spPr>
        <a:xfrm>
          <a:off x="3222625" y="1511300"/>
          <a:ext cx="0" cy="1852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863600</xdr:colOff>
      <xdr:row>1</xdr:row>
      <xdr:rowOff>0</xdr:rowOff>
    </xdr:from>
    <xdr:to>
      <xdr:col>5</xdr:col>
      <xdr:colOff>114300</xdr:colOff>
      <xdr:row>14</xdr:row>
      <xdr:rowOff>139700</xdr:rowOff>
    </xdr:to>
    <xdr:sp macro="" textlink="">
      <xdr:nvSpPr>
        <xdr:cNvPr id="73" name="Rectangle 72">
          <a:extLst>
            <a:ext uri="{FF2B5EF4-FFF2-40B4-BE49-F238E27FC236}">
              <a16:creationId xmlns:a16="http://schemas.microsoft.com/office/drawing/2014/main" id="{00000000-0008-0000-1400-000049000000}"/>
            </a:ext>
          </a:extLst>
        </xdr:cNvPr>
        <xdr:cNvSpPr/>
      </xdr:nvSpPr>
      <xdr:spPr>
        <a:xfrm>
          <a:off x="863600" y="234950"/>
          <a:ext cx="3346450" cy="2565400"/>
        </a:xfrm>
        <a:prstGeom prst="rect">
          <a:avLst/>
        </a:prstGeom>
        <a:noFill/>
        <a:ln w="2222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565150</xdr:colOff>
      <xdr:row>13</xdr:row>
      <xdr:rowOff>184150</xdr:rowOff>
    </xdr:from>
    <xdr:to>
      <xdr:col>1</xdr:col>
      <xdr:colOff>568325</xdr:colOff>
      <xdr:row>15</xdr:row>
      <xdr:rowOff>177800</xdr:rowOff>
    </xdr:to>
    <xdr:cxnSp macro="">
      <xdr:nvCxnSpPr>
        <xdr:cNvPr id="74" name="Straight Arrow Connector 73">
          <a:extLst>
            <a:ext uri="{FF2B5EF4-FFF2-40B4-BE49-F238E27FC236}">
              <a16:creationId xmlns:a16="http://schemas.microsoft.com/office/drawing/2014/main" id="{00000000-0008-0000-1400-00004A000000}"/>
            </a:ext>
          </a:extLst>
        </xdr:cNvPr>
        <xdr:cNvCxnSpPr/>
      </xdr:nvCxnSpPr>
      <xdr:spPr>
        <a:xfrm flipV="1">
          <a:off x="1581150" y="2654300"/>
          <a:ext cx="3175" cy="3683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720725</xdr:colOff>
      <xdr:row>14</xdr:row>
      <xdr:rowOff>0</xdr:rowOff>
    </xdr:from>
    <xdr:to>
      <xdr:col>1</xdr:col>
      <xdr:colOff>723900</xdr:colOff>
      <xdr:row>15</xdr:row>
      <xdr:rowOff>171450</xdr:rowOff>
    </xdr:to>
    <xdr:cxnSp macro="">
      <xdr:nvCxnSpPr>
        <xdr:cNvPr id="75" name="Straight Arrow Connector 74">
          <a:extLst>
            <a:ext uri="{FF2B5EF4-FFF2-40B4-BE49-F238E27FC236}">
              <a16:creationId xmlns:a16="http://schemas.microsoft.com/office/drawing/2014/main" id="{00000000-0008-0000-1400-00004B000000}"/>
            </a:ext>
          </a:extLst>
        </xdr:cNvPr>
        <xdr:cNvCxnSpPr/>
      </xdr:nvCxnSpPr>
      <xdr:spPr>
        <a:xfrm>
          <a:off x="1736725" y="2660650"/>
          <a:ext cx="3175" cy="3556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12701</xdr:colOff>
      <xdr:row>7</xdr:row>
      <xdr:rowOff>101600</xdr:rowOff>
    </xdr:from>
    <xdr:to>
      <xdr:col>7</xdr:col>
      <xdr:colOff>158750</xdr:colOff>
      <xdr:row>7</xdr:row>
      <xdr:rowOff>101600</xdr:rowOff>
    </xdr:to>
    <xdr:cxnSp macro="">
      <xdr:nvCxnSpPr>
        <xdr:cNvPr id="76" name="Straight Connector 75">
          <a:extLst>
            <a:ext uri="{FF2B5EF4-FFF2-40B4-BE49-F238E27FC236}">
              <a16:creationId xmlns:a16="http://schemas.microsoft.com/office/drawing/2014/main" id="{00000000-0008-0000-1400-00004C000000}"/>
            </a:ext>
          </a:extLst>
        </xdr:cNvPr>
        <xdr:cNvCxnSpPr/>
      </xdr:nvCxnSpPr>
      <xdr:spPr>
        <a:xfrm flipH="1">
          <a:off x="3784601" y="1428750"/>
          <a:ext cx="1955799"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xdr:row>
      <xdr:rowOff>0</xdr:rowOff>
    </xdr:from>
    <xdr:to>
      <xdr:col>27</xdr:col>
      <xdr:colOff>114300</xdr:colOff>
      <xdr:row>14</xdr:row>
      <xdr:rowOff>152400</xdr:rowOff>
    </xdr:to>
    <xdr:sp macro="" textlink="">
      <xdr:nvSpPr>
        <xdr:cNvPr id="77" name="Rectangle 76">
          <a:extLst>
            <a:ext uri="{FF2B5EF4-FFF2-40B4-BE49-F238E27FC236}">
              <a16:creationId xmlns:a16="http://schemas.microsoft.com/office/drawing/2014/main" id="{00000000-0008-0000-1400-00004D000000}"/>
            </a:ext>
          </a:extLst>
        </xdr:cNvPr>
        <xdr:cNvSpPr/>
      </xdr:nvSpPr>
      <xdr:spPr>
        <a:xfrm>
          <a:off x="4413250" y="406400"/>
          <a:ext cx="12649200" cy="2578100"/>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279400</xdr:colOff>
      <xdr:row>5</xdr:row>
      <xdr:rowOff>180975</xdr:rowOff>
    </xdr:from>
    <xdr:to>
      <xdr:col>8</xdr:col>
      <xdr:colOff>282575</xdr:colOff>
      <xdr:row>6</xdr:row>
      <xdr:rowOff>184150</xdr:rowOff>
    </xdr:to>
    <xdr:cxnSp macro="">
      <xdr:nvCxnSpPr>
        <xdr:cNvPr id="78" name="Straight Arrow Connector 77">
          <a:extLst>
            <a:ext uri="{FF2B5EF4-FFF2-40B4-BE49-F238E27FC236}">
              <a16:creationId xmlns:a16="http://schemas.microsoft.com/office/drawing/2014/main" id="{00000000-0008-0000-1400-00004E000000}"/>
            </a:ext>
          </a:extLst>
        </xdr:cNvPr>
        <xdr:cNvCxnSpPr/>
      </xdr:nvCxnSpPr>
      <xdr:spPr>
        <a:xfrm flipV="1">
          <a:off x="6184900" y="11271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5</xdr:row>
      <xdr:rowOff>187325</xdr:rowOff>
    </xdr:from>
    <xdr:to>
      <xdr:col>8</xdr:col>
      <xdr:colOff>434975</xdr:colOff>
      <xdr:row>6</xdr:row>
      <xdr:rowOff>177801</xdr:rowOff>
    </xdr:to>
    <xdr:cxnSp macro="">
      <xdr:nvCxnSpPr>
        <xdr:cNvPr id="79" name="Straight Arrow Connector 78">
          <a:extLst>
            <a:ext uri="{FF2B5EF4-FFF2-40B4-BE49-F238E27FC236}">
              <a16:creationId xmlns:a16="http://schemas.microsoft.com/office/drawing/2014/main" id="{00000000-0008-0000-1400-00004F000000}"/>
            </a:ext>
          </a:extLst>
        </xdr:cNvPr>
        <xdr:cNvCxnSpPr/>
      </xdr:nvCxnSpPr>
      <xdr:spPr>
        <a:xfrm>
          <a:off x="6340475" y="11334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295275</xdr:colOff>
      <xdr:row>7</xdr:row>
      <xdr:rowOff>180975</xdr:rowOff>
    </xdr:from>
    <xdr:to>
      <xdr:col>8</xdr:col>
      <xdr:colOff>298450</xdr:colOff>
      <xdr:row>8</xdr:row>
      <xdr:rowOff>184150</xdr:rowOff>
    </xdr:to>
    <xdr:cxnSp macro="">
      <xdr:nvCxnSpPr>
        <xdr:cNvPr id="80" name="Straight Arrow Connector 79">
          <a:extLst>
            <a:ext uri="{FF2B5EF4-FFF2-40B4-BE49-F238E27FC236}">
              <a16:creationId xmlns:a16="http://schemas.microsoft.com/office/drawing/2014/main" id="{00000000-0008-0000-1400-000050000000}"/>
            </a:ext>
          </a:extLst>
        </xdr:cNvPr>
        <xdr:cNvCxnSpPr/>
      </xdr:nvCxnSpPr>
      <xdr:spPr>
        <a:xfrm flipV="1">
          <a:off x="6200775" y="150812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450850</xdr:colOff>
      <xdr:row>7</xdr:row>
      <xdr:rowOff>187325</xdr:rowOff>
    </xdr:from>
    <xdr:to>
      <xdr:col>8</xdr:col>
      <xdr:colOff>450850</xdr:colOff>
      <xdr:row>8</xdr:row>
      <xdr:rowOff>177801</xdr:rowOff>
    </xdr:to>
    <xdr:cxnSp macro="">
      <xdr:nvCxnSpPr>
        <xdr:cNvPr id="81" name="Straight Arrow Connector 80">
          <a:extLst>
            <a:ext uri="{FF2B5EF4-FFF2-40B4-BE49-F238E27FC236}">
              <a16:creationId xmlns:a16="http://schemas.microsoft.com/office/drawing/2014/main" id="{00000000-0008-0000-1400-000051000000}"/>
            </a:ext>
          </a:extLst>
        </xdr:cNvPr>
        <xdr:cNvCxnSpPr/>
      </xdr:nvCxnSpPr>
      <xdr:spPr>
        <a:xfrm>
          <a:off x="6356350" y="151447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282575</xdr:colOff>
      <xdr:row>9</xdr:row>
      <xdr:rowOff>187325</xdr:rowOff>
    </xdr:from>
    <xdr:to>
      <xdr:col>3</xdr:col>
      <xdr:colOff>285750</xdr:colOff>
      <xdr:row>11</xdr:row>
      <xdr:rowOff>0</xdr:rowOff>
    </xdr:to>
    <xdr:cxnSp macro="">
      <xdr:nvCxnSpPr>
        <xdr:cNvPr id="82" name="Straight Arrow Connector 81">
          <a:extLst>
            <a:ext uri="{FF2B5EF4-FFF2-40B4-BE49-F238E27FC236}">
              <a16:creationId xmlns:a16="http://schemas.microsoft.com/office/drawing/2014/main" id="{00000000-0008-0000-1400-000052000000}"/>
            </a:ext>
          </a:extLst>
        </xdr:cNvPr>
        <xdr:cNvCxnSpPr/>
      </xdr:nvCxnSpPr>
      <xdr:spPr>
        <a:xfrm flipV="1">
          <a:off x="3063875" y="1895475"/>
          <a:ext cx="3175" cy="1936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438150</xdr:colOff>
      <xdr:row>10</xdr:row>
      <xdr:rowOff>3175</xdr:rowOff>
    </xdr:from>
    <xdr:to>
      <xdr:col>3</xdr:col>
      <xdr:colOff>438150</xdr:colOff>
      <xdr:row>10</xdr:row>
      <xdr:rowOff>184151</xdr:rowOff>
    </xdr:to>
    <xdr:cxnSp macro="">
      <xdr:nvCxnSpPr>
        <xdr:cNvPr id="83" name="Straight Arrow Connector 82">
          <a:extLst>
            <a:ext uri="{FF2B5EF4-FFF2-40B4-BE49-F238E27FC236}">
              <a16:creationId xmlns:a16="http://schemas.microsoft.com/office/drawing/2014/main" id="{00000000-0008-0000-1400-000053000000}"/>
            </a:ext>
          </a:extLst>
        </xdr:cNvPr>
        <xdr:cNvCxnSpPr/>
      </xdr:nvCxnSpPr>
      <xdr:spPr>
        <a:xfrm>
          <a:off x="3219450" y="1901825"/>
          <a:ext cx="0" cy="18097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11</xdr:row>
      <xdr:rowOff>88900</xdr:rowOff>
    </xdr:from>
    <xdr:to>
      <xdr:col>4</xdr:col>
      <xdr:colOff>161925</xdr:colOff>
      <xdr:row>11</xdr:row>
      <xdr:rowOff>88900</xdr:rowOff>
    </xdr:to>
    <xdr:cxnSp macro="">
      <xdr:nvCxnSpPr>
        <xdr:cNvPr id="84" name="Straight Connector 83">
          <a:extLst>
            <a:ext uri="{FF2B5EF4-FFF2-40B4-BE49-F238E27FC236}">
              <a16:creationId xmlns:a16="http://schemas.microsoft.com/office/drawing/2014/main" id="{00000000-0008-0000-1400-000054000000}"/>
            </a:ext>
          </a:extLst>
        </xdr:cNvPr>
        <xdr:cNvCxnSpPr/>
      </xdr:nvCxnSpPr>
      <xdr:spPr>
        <a:xfrm flipH="1">
          <a:off x="3771900" y="2178050"/>
          <a:ext cx="161925"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341194</xdr:colOff>
      <xdr:row>17</xdr:row>
      <xdr:rowOff>59267</xdr:rowOff>
    </xdr:from>
    <xdr:to>
      <xdr:col>8</xdr:col>
      <xdr:colOff>364477</xdr:colOff>
      <xdr:row>26</xdr:row>
      <xdr:rowOff>92438</xdr:rowOff>
    </xdr:to>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
        <a:stretch>
          <a:fillRect/>
        </a:stretch>
      </xdr:blipFill>
      <xdr:spPr>
        <a:xfrm>
          <a:off x="341194" y="5638800"/>
          <a:ext cx="4857750" cy="1557171"/>
        </a:xfrm>
        <a:prstGeom prst="rect">
          <a:avLst/>
        </a:prstGeom>
      </xdr:spPr>
    </xdr:pic>
    <xdr:clientData/>
  </xdr:twoCellAnchor>
  <xdr:twoCellAnchor editAs="oneCell">
    <xdr:from>
      <xdr:col>0</xdr:col>
      <xdr:colOff>296744</xdr:colOff>
      <xdr:row>22</xdr:row>
      <xdr:rowOff>108586</xdr:rowOff>
    </xdr:from>
    <xdr:to>
      <xdr:col>8</xdr:col>
      <xdr:colOff>300977</xdr:colOff>
      <xdr:row>28</xdr:row>
      <xdr:rowOff>89883</xdr:rowOff>
    </xdr:to>
    <xdr:pic>
      <xdr:nvPicPr>
        <xdr:cNvPr id="5" name="Pictur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2"/>
        <a:stretch>
          <a:fillRect/>
        </a:stretch>
      </xdr:blipFill>
      <xdr:spPr>
        <a:xfrm>
          <a:off x="296744" y="6534786"/>
          <a:ext cx="4838700" cy="997297"/>
        </a:xfrm>
        <a:prstGeom prst="rect">
          <a:avLst/>
        </a:prstGeom>
      </xdr:spPr>
    </xdr:pic>
    <xdr:clientData/>
  </xdr:twoCellAnchor>
  <xdr:twoCellAnchor editAs="oneCell">
    <xdr:from>
      <xdr:col>0</xdr:col>
      <xdr:colOff>290393</xdr:colOff>
      <xdr:row>29</xdr:row>
      <xdr:rowOff>129117</xdr:rowOff>
    </xdr:from>
    <xdr:to>
      <xdr:col>8</xdr:col>
      <xdr:colOff>322058</xdr:colOff>
      <xdr:row>44</xdr:row>
      <xdr:rowOff>42333</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3"/>
        <a:stretch>
          <a:fillRect/>
        </a:stretch>
      </xdr:blipFill>
      <xdr:spPr>
        <a:xfrm>
          <a:off x="290393" y="7740650"/>
          <a:ext cx="4866132" cy="2453216"/>
        </a:xfrm>
        <a:prstGeom prst="rect">
          <a:avLst/>
        </a:prstGeom>
      </xdr:spPr>
    </xdr:pic>
    <xdr:clientData/>
  </xdr:twoCellAnchor>
  <xdr:twoCellAnchor editAs="oneCell">
    <xdr:from>
      <xdr:col>0</xdr:col>
      <xdr:colOff>0</xdr:colOff>
      <xdr:row>45</xdr:row>
      <xdr:rowOff>93552</xdr:rowOff>
    </xdr:from>
    <xdr:to>
      <xdr:col>8</xdr:col>
      <xdr:colOff>356978</xdr:colOff>
      <xdr:row>48</xdr:row>
      <xdr:rowOff>110066</xdr:rowOff>
    </xdr:to>
    <xdr:pic>
      <xdr:nvPicPr>
        <xdr:cNvPr id="7" name="Picture 6">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4"/>
        <a:stretch>
          <a:fillRect/>
        </a:stretch>
      </xdr:blipFill>
      <xdr:spPr>
        <a:xfrm>
          <a:off x="0" y="10414419"/>
          <a:ext cx="5191445" cy="524514"/>
        </a:xfrm>
        <a:prstGeom prst="rect">
          <a:avLst/>
        </a:prstGeom>
      </xdr:spPr>
    </xdr:pic>
    <xdr:clientData/>
  </xdr:twoCellAnchor>
  <xdr:twoCellAnchor editAs="oneCell">
    <xdr:from>
      <xdr:col>0</xdr:col>
      <xdr:colOff>277693</xdr:colOff>
      <xdr:row>51</xdr:row>
      <xdr:rowOff>45465</xdr:rowOff>
    </xdr:from>
    <xdr:to>
      <xdr:col>8</xdr:col>
      <xdr:colOff>275575</xdr:colOff>
      <xdr:row>78</xdr:row>
      <xdr:rowOff>118744</xdr:rowOff>
    </xdr:to>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5"/>
        <a:stretch>
          <a:fillRect/>
        </a:stretch>
      </xdr:blipFill>
      <xdr:spPr>
        <a:xfrm>
          <a:off x="277693" y="11382332"/>
          <a:ext cx="4832349" cy="4645279"/>
        </a:xfrm>
        <a:prstGeom prst="rect">
          <a:avLst/>
        </a:prstGeom>
      </xdr:spPr>
    </xdr:pic>
    <xdr:clientData/>
  </xdr:twoCellAnchor>
  <xdr:twoCellAnchor editAs="oneCell">
    <xdr:from>
      <xdr:col>0</xdr:col>
      <xdr:colOff>118944</xdr:colOff>
      <xdr:row>48</xdr:row>
      <xdr:rowOff>122766</xdr:rowOff>
    </xdr:from>
    <xdr:to>
      <xdr:col>8</xdr:col>
      <xdr:colOff>326376</xdr:colOff>
      <xdr:row>50</xdr:row>
      <xdr:rowOff>134960</xdr:rowOff>
    </xdr:to>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6"/>
        <a:stretch>
          <a:fillRect/>
        </a:stretch>
      </xdr:blipFill>
      <xdr:spPr>
        <a:xfrm>
          <a:off x="118944" y="10951633"/>
          <a:ext cx="5041899" cy="3508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absoluteAnchor>
    <xdr:pos x="0" y="0"/>
    <xdr:ext cx="14118167" cy="85725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0.64511</cdr:x>
      <cdr:y>0.7305</cdr:y>
    </cdr:from>
    <cdr:to>
      <cdr:x>0.97236</cdr:x>
      <cdr:y>0.97392</cdr:y>
    </cdr:to>
    <cdr:pic>
      <cdr:nvPicPr>
        <cdr:cNvPr id="2" name="chart">
          <a:extLst xmlns:a="http://schemas.openxmlformats.org/drawingml/2006/main">
            <a:ext uri="{FF2B5EF4-FFF2-40B4-BE49-F238E27FC236}">
              <a16:creationId xmlns:a16="http://schemas.microsoft.com/office/drawing/2014/main" id="{75637388-13AC-5E20-E0D3-21F4957750F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106186" y="6258442"/>
          <a:ext cx="4619438" cy="2085458"/>
        </a:xfrm>
        <a:prstGeom xmlns:a="http://schemas.openxmlformats.org/drawingml/2006/main" prst="rect">
          <a:avLst/>
        </a:prstGeom>
      </cdr:spPr>
    </cdr:pic>
  </cdr:relSizeAnchor>
  <cdr:relSizeAnchor xmlns:cdr="http://schemas.openxmlformats.org/drawingml/2006/chartDrawing">
    <cdr:from>
      <cdr:x>0.388</cdr:x>
      <cdr:y>0.29532</cdr:y>
    </cdr:from>
    <cdr:to>
      <cdr:x>0.3887</cdr:x>
      <cdr:y>0.67402</cdr:y>
    </cdr:to>
    <cdr:cxnSp macro="">
      <cdr:nvCxnSpPr>
        <cdr:cNvPr id="4" name="Straight Connector 3">
          <a:extLst xmlns:a="http://schemas.openxmlformats.org/drawingml/2006/main">
            <a:ext uri="{FF2B5EF4-FFF2-40B4-BE49-F238E27FC236}">
              <a16:creationId xmlns:a16="http://schemas.microsoft.com/office/drawing/2014/main" id="{A1D70CC7-8B07-A6D1-D459-59E42E238F2B}"/>
            </a:ext>
          </a:extLst>
        </cdr:cNvPr>
        <cdr:cNvCxnSpPr/>
      </cdr:nvCxnSpPr>
      <cdr:spPr>
        <a:xfrm xmlns:a="http://schemas.openxmlformats.org/drawingml/2006/main" flipH="1">
          <a:off x="5476875" y="2530078"/>
          <a:ext cx="9922" cy="3244453"/>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0.65018</cdr:x>
      <cdr:y>0.23278</cdr:y>
    </cdr:from>
    <cdr:to>
      <cdr:x>0.65018</cdr:x>
      <cdr:y>0.67749</cdr:y>
    </cdr:to>
    <cdr:cxnSp macro="">
      <cdr:nvCxnSpPr>
        <cdr:cNvPr id="7" name="Straight Connector 6">
          <a:extLst xmlns:a="http://schemas.openxmlformats.org/drawingml/2006/main">
            <a:ext uri="{FF2B5EF4-FFF2-40B4-BE49-F238E27FC236}">
              <a16:creationId xmlns:a16="http://schemas.microsoft.com/office/drawing/2014/main" id="{F9D68DAB-E0E5-844E-59B9-CDDB34B29102}"/>
            </a:ext>
          </a:extLst>
        </cdr:cNvPr>
        <cdr:cNvCxnSpPr/>
      </cdr:nvCxnSpPr>
      <cdr:spPr>
        <a:xfrm xmlns:a="http://schemas.openxmlformats.org/drawingml/2006/main">
          <a:off x="9177734" y="1994297"/>
          <a:ext cx="1" cy="3810000"/>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0.32193</cdr:x>
      <cdr:y>0.09265</cdr:y>
    </cdr:from>
    <cdr:to>
      <cdr:x>0.32263</cdr:x>
      <cdr:y>0.54547</cdr:y>
    </cdr:to>
    <cdr:cxnSp macro="">
      <cdr:nvCxnSpPr>
        <cdr:cNvPr id="24" name="Straight Connector 23">
          <a:extLst xmlns:a="http://schemas.openxmlformats.org/drawingml/2006/main">
            <a:ext uri="{FF2B5EF4-FFF2-40B4-BE49-F238E27FC236}">
              <a16:creationId xmlns:a16="http://schemas.microsoft.com/office/drawing/2014/main" id="{5B831412-E0D8-F904-B8EF-9F4E9DECEDE7}"/>
            </a:ext>
          </a:extLst>
        </cdr:cNvPr>
        <cdr:cNvCxnSpPr/>
      </cdr:nvCxnSpPr>
      <cdr:spPr>
        <a:xfrm xmlns:a="http://schemas.openxmlformats.org/drawingml/2006/main">
          <a:off x="4544219" y="793750"/>
          <a:ext cx="9922" cy="3879453"/>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0.52054</cdr:x>
      <cdr:y>0.08232</cdr:y>
    </cdr:from>
    <cdr:to>
      <cdr:x>0.52124</cdr:x>
      <cdr:y>0.51777</cdr:y>
    </cdr:to>
    <cdr:cxnSp macro="">
      <cdr:nvCxnSpPr>
        <cdr:cNvPr id="25" name="Straight Connector 24">
          <a:extLst xmlns:a="http://schemas.openxmlformats.org/drawingml/2006/main">
            <a:ext uri="{FF2B5EF4-FFF2-40B4-BE49-F238E27FC236}">
              <a16:creationId xmlns:a16="http://schemas.microsoft.com/office/drawing/2014/main" id="{D89A2FAA-5820-DF0C-D706-82D26C985CA7}"/>
            </a:ext>
          </a:extLst>
        </cdr:cNvPr>
        <cdr:cNvCxnSpPr/>
      </cdr:nvCxnSpPr>
      <cdr:spPr>
        <a:xfrm xmlns:a="http://schemas.openxmlformats.org/drawingml/2006/main">
          <a:off x="7347744" y="705247"/>
          <a:ext cx="9923" cy="3730625"/>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0.68603</cdr:x>
      <cdr:y>0.0857</cdr:y>
    </cdr:from>
    <cdr:to>
      <cdr:x>0.68603</cdr:x>
      <cdr:y>0.49567</cdr:y>
    </cdr:to>
    <cdr:cxnSp macro="">
      <cdr:nvCxnSpPr>
        <cdr:cNvPr id="27" name="Straight Connector 26">
          <a:extLst xmlns:a="http://schemas.openxmlformats.org/drawingml/2006/main">
            <a:ext uri="{FF2B5EF4-FFF2-40B4-BE49-F238E27FC236}">
              <a16:creationId xmlns:a16="http://schemas.microsoft.com/office/drawing/2014/main" id="{1A19A369-8805-E151-1C5A-A11570ECC7A0}"/>
            </a:ext>
          </a:extLst>
        </cdr:cNvPr>
        <cdr:cNvCxnSpPr/>
      </cdr:nvCxnSpPr>
      <cdr:spPr>
        <a:xfrm xmlns:a="http://schemas.openxmlformats.org/drawingml/2006/main">
          <a:off x="9683750" y="734219"/>
          <a:ext cx="0" cy="3512344"/>
        </a:xfrm>
        <a:prstGeom xmlns:a="http://schemas.openxmlformats.org/drawingml/2006/main" prst="line">
          <a:avLst/>
        </a:prstGeom>
        <a:ln xmlns:a="http://schemas.openxmlformats.org/drawingml/2006/main" w="15875">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0.91236</cdr:x>
      <cdr:y>0.0857</cdr:y>
    </cdr:from>
    <cdr:to>
      <cdr:x>0.91306</cdr:x>
      <cdr:y>0.47367</cdr:y>
    </cdr:to>
    <cdr:cxnSp macro="">
      <cdr:nvCxnSpPr>
        <cdr:cNvPr id="30" name="Straight Connector 29">
          <a:extLst xmlns:a="http://schemas.openxmlformats.org/drawingml/2006/main">
            <a:ext uri="{FF2B5EF4-FFF2-40B4-BE49-F238E27FC236}">
              <a16:creationId xmlns:a16="http://schemas.microsoft.com/office/drawing/2014/main" id="{A66FA2E8-9724-A4BA-0E26-FF64F0429A16}"/>
            </a:ext>
          </a:extLst>
        </cdr:cNvPr>
        <cdr:cNvCxnSpPr/>
      </cdr:nvCxnSpPr>
      <cdr:spPr>
        <a:xfrm xmlns:a="http://schemas.openxmlformats.org/drawingml/2006/main">
          <a:off x="12878594" y="734219"/>
          <a:ext cx="9922" cy="3323828"/>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0.17092</cdr:x>
      <cdr:y>0.10497</cdr:y>
    </cdr:from>
    <cdr:to>
      <cdr:x>0.21331</cdr:x>
      <cdr:y>0.1507</cdr:y>
    </cdr:to>
    <cdr:sp macro="" textlink="">
      <cdr:nvSpPr>
        <cdr:cNvPr id="34" name="TextBox 33"/>
        <cdr:cNvSpPr txBox="1"/>
      </cdr:nvSpPr>
      <cdr:spPr>
        <a:xfrm xmlns:a="http://schemas.openxmlformats.org/drawingml/2006/main">
          <a:off x="2412726" y="899314"/>
          <a:ext cx="598366" cy="3917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a:solidFill>
                <a:srgbClr val="0070C0"/>
              </a:solidFill>
            </a:rPr>
            <a:t>Q0</a:t>
          </a:r>
        </a:p>
      </cdr:txBody>
    </cdr:sp>
  </cdr:relSizeAnchor>
  <cdr:relSizeAnchor xmlns:cdr="http://schemas.openxmlformats.org/drawingml/2006/chartDrawing">
    <cdr:from>
      <cdr:x>0.41007</cdr:x>
      <cdr:y>0.10506</cdr:y>
    </cdr:from>
    <cdr:to>
      <cdr:x>0.45246</cdr:x>
      <cdr:y>0.15079</cdr:y>
    </cdr:to>
    <cdr:sp macro="" textlink="">
      <cdr:nvSpPr>
        <cdr:cNvPr id="36" name="TextBox 1"/>
        <cdr:cNvSpPr txBox="1"/>
      </cdr:nvSpPr>
      <cdr:spPr>
        <a:xfrm xmlns:a="http://schemas.openxmlformats.org/drawingml/2006/main">
          <a:off x="5788501" y="900074"/>
          <a:ext cx="598366" cy="39178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a:t>
          </a:r>
        </a:p>
      </cdr:txBody>
    </cdr:sp>
  </cdr:relSizeAnchor>
  <cdr:relSizeAnchor xmlns:cdr="http://schemas.openxmlformats.org/drawingml/2006/chartDrawing">
    <cdr:from>
      <cdr:x>0.5787</cdr:x>
      <cdr:y>0.10971</cdr:y>
    </cdr:from>
    <cdr:to>
      <cdr:x>0.63136</cdr:x>
      <cdr:y>0.15086</cdr:y>
    </cdr:to>
    <cdr:sp macro="" textlink="">
      <cdr:nvSpPr>
        <cdr:cNvPr id="37" name="TextBox 1"/>
        <cdr:cNvSpPr txBox="1"/>
      </cdr:nvSpPr>
      <cdr:spPr>
        <a:xfrm xmlns:a="http://schemas.openxmlformats.org/drawingml/2006/main">
          <a:off x="8168838" y="939912"/>
          <a:ext cx="743335" cy="352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Q1.5</a:t>
          </a:r>
        </a:p>
      </cdr:txBody>
    </cdr:sp>
  </cdr:relSizeAnchor>
  <cdr:relSizeAnchor xmlns:cdr="http://schemas.openxmlformats.org/drawingml/2006/chartDrawing">
    <cdr:from>
      <cdr:x>0.77893</cdr:x>
      <cdr:y>0.10888</cdr:y>
    </cdr:from>
    <cdr:to>
      <cdr:x>0.83159</cdr:x>
      <cdr:y>0.15004</cdr:y>
    </cdr:to>
    <cdr:sp macro="" textlink="">
      <cdr:nvSpPr>
        <cdr:cNvPr id="38" name="TextBox 1"/>
        <cdr:cNvSpPr txBox="1"/>
      </cdr:nvSpPr>
      <cdr:spPr>
        <a:xfrm xmlns:a="http://schemas.openxmlformats.org/drawingml/2006/main">
          <a:off x="10995232" y="932849"/>
          <a:ext cx="743335" cy="35263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Q3</a:t>
          </a:r>
        </a:p>
      </cdr:txBody>
    </cdr:sp>
  </cdr:relSizeAnchor>
  <cdr:relSizeAnchor xmlns:cdr="http://schemas.openxmlformats.org/drawingml/2006/chartDrawing">
    <cdr:from>
      <cdr:x>0.17922</cdr:x>
      <cdr:y>0.61956</cdr:y>
    </cdr:from>
    <cdr:to>
      <cdr:x>0.29527</cdr:x>
      <cdr:y>0.67607</cdr:y>
    </cdr:to>
    <cdr:sp macro="" textlink="">
      <cdr:nvSpPr>
        <cdr:cNvPr id="42" name="TextBox 1"/>
        <cdr:cNvSpPr txBox="1"/>
      </cdr:nvSpPr>
      <cdr:spPr>
        <a:xfrm xmlns:a="http://schemas.openxmlformats.org/drawingml/2006/main">
          <a:off x="2529763" y="5307980"/>
          <a:ext cx="1638132" cy="48413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New</a:t>
          </a:r>
          <a:r>
            <a:rPr lang="en-US" sz="1800" b="1" baseline="0">
              <a:solidFill>
                <a:srgbClr val="FF0000"/>
              </a:solidFill>
            </a:rPr>
            <a:t> Born </a:t>
          </a:r>
          <a:r>
            <a:rPr lang="en-US" sz="1100" b="1" baseline="0">
              <a:solidFill>
                <a:srgbClr val="FF0000"/>
              </a:solidFill>
            </a:rPr>
            <a:t>5kg</a:t>
          </a:r>
          <a:endParaRPr lang="en-US" sz="1600" b="1">
            <a:solidFill>
              <a:srgbClr val="FF0000"/>
            </a:solidFill>
          </a:endParaRPr>
        </a:p>
      </cdr:txBody>
    </cdr:sp>
  </cdr:relSizeAnchor>
  <cdr:relSizeAnchor xmlns:cdr="http://schemas.openxmlformats.org/drawingml/2006/chartDrawing">
    <cdr:from>
      <cdr:x>0.48495</cdr:x>
      <cdr:y>0.59642</cdr:y>
    </cdr:from>
    <cdr:to>
      <cdr:x>0.60177</cdr:x>
      <cdr:y>0.70349</cdr:y>
    </cdr:to>
    <cdr:sp macro="" textlink="">
      <cdr:nvSpPr>
        <cdr:cNvPr id="43" name="TextBox 1"/>
        <cdr:cNvSpPr txBox="1"/>
      </cdr:nvSpPr>
      <cdr:spPr>
        <a:xfrm xmlns:a="http://schemas.openxmlformats.org/drawingml/2006/main">
          <a:off x="6845453" y="5109720"/>
          <a:ext cx="1649001" cy="917301"/>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New</a:t>
          </a:r>
          <a:r>
            <a:rPr lang="en-US" sz="1800" b="1" baseline="0">
              <a:solidFill>
                <a:srgbClr val="FF0000"/>
              </a:solidFill>
            </a:rPr>
            <a:t> Born and CRABI </a:t>
          </a:r>
          <a:r>
            <a:rPr lang="en-US" sz="1100" b="1" baseline="0">
              <a:solidFill>
                <a:srgbClr val="FF0000"/>
              </a:solidFill>
              <a:effectLst/>
              <a:latin typeface="+mn-lt"/>
              <a:ea typeface="+mn-ea"/>
              <a:cs typeface="+mn-cs"/>
            </a:rPr>
            <a:t>5.1-10kg</a:t>
          </a:r>
          <a:endParaRPr lang="en-US" sz="1800" b="1">
            <a:solidFill>
              <a:srgbClr val="FF0000"/>
            </a:solidFill>
          </a:endParaRPr>
        </a:p>
      </cdr:txBody>
    </cdr:sp>
  </cdr:relSizeAnchor>
  <cdr:relSizeAnchor xmlns:cdr="http://schemas.openxmlformats.org/drawingml/2006/chartDrawing">
    <cdr:from>
      <cdr:x>0.75679</cdr:x>
      <cdr:y>0.60088</cdr:y>
    </cdr:from>
    <cdr:to>
      <cdr:x>0.85701</cdr:x>
      <cdr:y>0.67701</cdr:y>
    </cdr:to>
    <cdr:sp macro="" textlink="">
      <cdr:nvSpPr>
        <cdr:cNvPr id="45" name="TextBox 1"/>
        <cdr:cNvSpPr txBox="1"/>
      </cdr:nvSpPr>
      <cdr:spPr>
        <a:xfrm xmlns:a="http://schemas.openxmlformats.org/drawingml/2006/main">
          <a:off x="10682602" y="5147900"/>
          <a:ext cx="1414679" cy="65222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CRABI</a:t>
          </a:r>
          <a:r>
            <a:rPr lang="en-US" sz="1800" b="1" baseline="0">
              <a:solidFill>
                <a:srgbClr val="FF0000"/>
              </a:solidFill>
            </a:rPr>
            <a:t> and 3yr </a:t>
          </a:r>
          <a:r>
            <a:rPr lang="en-US" sz="1100" b="1" baseline="0">
              <a:solidFill>
                <a:srgbClr val="FF0000"/>
              </a:solidFill>
            </a:rPr>
            <a:t>10.1-18kg</a:t>
          </a:r>
          <a:endParaRPr lang="en-US" sz="1100" b="1">
            <a:solidFill>
              <a:srgbClr val="FF0000"/>
            </a:solidFill>
          </a:endParaRPr>
        </a:p>
      </cdr:txBody>
    </cdr:sp>
  </cdr:relSizeAnchor>
  <cdr:relSizeAnchor xmlns:cdr="http://schemas.openxmlformats.org/drawingml/2006/chartDrawing">
    <cdr:from>
      <cdr:x>0.21321</cdr:x>
      <cdr:y>0.12865</cdr:y>
    </cdr:from>
    <cdr:to>
      <cdr:x>0.31841</cdr:x>
      <cdr:y>0.12971</cdr:y>
    </cdr:to>
    <cdr:cxnSp macro="">
      <cdr:nvCxnSpPr>
        <cdr:cNvPr id="51" name="Straight Arrow Connector 50">
          <a:extLst xmlns:a="http://schemas.openxmlformats.org/drawingml/2006/main">
            <a:ext uri="{FF2B5EF4-FFF2-40B4-BE49-F238E27FC236}">
              <a16:creationId xmlns:a16="http://schemas.microsoft.com/office/drawing/2014/main" id="{6C7DE329-1801-285B-6159-AC01CB6F471E}"/>
            </a:ext>
          </a:extLst>
        </cdr:cNvPr>
        <cdr:cNvCxnSpPr/>
      </cdr:nvCxnSpPr>
      <cdr:spPr>
        <a:xfrm xmlns:a="http://schemas.openxmlformats.org/drawingml/2006/main">
          <a:off x="3009680" y="1102187"/>
          <a:ext cx="1484929" cy="9063"/>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0.44006</cdr:x>
      <cdr:y>0.12948</cdr:y>
    </cdr:from>
    <cdr:to>
      <cdr:x>0.51522</cdr:x>
      <cdr:y>0.13087</cdr:y>
    </cdr:to>
    <cdr:cxnSp macro="">
      <cdr:nvCxnSpPr>
        <cdr:cNvPr id="53" name="Straight Arrow Connector 52">
          <a:extLst xmlns:a="http://schemas.openxmlformats.org/drawingml/2006/main">
            <a:ext uri="{FF2B5EF4-FFF2-40B4-BE49-F238E27FC236}">
              <a16:creationId xmlns:a16="http://schemas.microsoft.com/office/drawing/2014/main" id="{EFD04681-FD47-BC6A-FFDC-C45756424A34}"/>
            </a:ext>
          </a:extLst>
        </cdr:cNvPr>
        <cdr:cNvCxnSpPr/>
      </cdr:nvCxnSpPr>
      <cdr:spPr>
        <a:xfrm xmlns:a="http://schemas.openxmlformats.org/drawingml/2006/main">
          <a:off x="6211832" y="1109287"/>
          <a:ext cx="1060902" cy="1188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0.62315</cdr:x>
      <cdr:y>0.12948</cdr:y>
    </cdr:from>
    <cdr:to>
      <cdr:x>0.68428</cdr:x>
      <cdr:y>0.12948</cdr:y>
    </cdr:to>
    <cdr:cxnSp macro="">
      <cdr:nvCxnSpPr>
        <cdr:cNvPr id="55" name="Straight Arrow Connector 54">
          <a:extLst xmlns:a="http://schemas.openxmlformats.org/drawingml/2006/main">
            <a:ext uri="{FF2B5EF4-FFF2-40B4-BE49-F238E27FC236}">
              <a16:creationId xmlns:a16="http://schemas.microsoft.com/office/drawing/2014/main" id="{93AC850D-5389-3DC9-A0B8-ADEF11EC86A8}"/>
            </a:ext>
          </a:extLst>
        </cdr:cNvPr>
        <cdr:cNvCxnSpPr/>
      </cdr:nvCxnSpPr>
      <cdr:spPr>
        <a:xfrm xmlns:a="http://schemas.openxmlformats.org/drawingml/2006/main">
          <a:off x="8796223" y="1109287"/>
          <a:ext cx="862895" cy="0"/>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0.8289</cdr:x>
      <cdr:y>0.13106</cdr:y>
    </cdr:from>
    <cdr:to>
      <cdr:x>0.91273</cdr:x>
      <cdr:y>0.13255</cdr:y>
    </cdr:to>
    <cdr:cxnSp macro="">
      <cdr:nvCxnSpPr>
        <cdr:cNvPr id="57" name="Straight Arrow Connector 56">
          <a:extLst xmlns:a="http://schemas.openxmlformats.org/drawingml/2006/main">
            <a:ext uri="{FF2B5EF4-FFF2-40B4-BE49-F238E27FC236}">
              <a16:creationId xmlns:a16="http://schemas.microsoft.com/office/drawing/2014/main" id="{5E45A231-71D2-A47C-C26C-D8E2F9E4B2E3}"/>
            </a:ext>
          </a:extLst>
        </cdr:cNvPr>
        <cdr:cNvCxnSpPr/>
      </cdr:nvCxnSpPr>
      <cdr:spPr>
        <a:xfrm xmlns:a="http://schemas.openxmlformats.org/drawingml/2006/main">
          <a:off x="11700595" y="1122872"/>
          <a:ext cx="1183323" cy="1276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0.68884</cdr:x>
      <cdr:y>0.12855</cdr:y>
    </cdr:from>
    <cdr:to>
      <cdr:x>0.7578</cdr:x>
      <cdr:y>0.12931</cdr:y>
    </cdr:to>
    <cdr:cxnSp macro="">
      <cdr:nvCxnSpPr>
        <cdr:cNvPr id="65" name="Straight Arrow Connector 64">
          <a:extLst xmlns:a="http://schemas.openxmlformats.org/drawingml/2006/main">
            <a:ext uri="{FF2B5EF4-FFF2-40B4-BE49-F238E27FC236}">
              <a16:creationId xmlns:a16="http://schemas.microsoft.com/office/drawing/2014/main" id="{07EB0FF3-3901-84C5-EA59-53863FFF43B6}"/>
            </a:ext>
          </a:extLst>
        </cdr:cNvPr>
        <cdr:cNvCxnSpPr/>
      </cdr:nvCxnSpPr>
      <cdr:spPr>
        <a:xfrm xmlns:a="http://schemas.openxmlformats.org/drawingml/2006/main" flipH="1" flipV="1">
          <a:off x="9723437" y="1101328"/>
          <a:ext cx="973470" cy="6536"/>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0.52506</cdr:x>
      <cdr:y>0.12971</cdr:y>
    </cdr:from>
    <cdr:to>
      <cdr:x>0.57505</cdr:x>
      <cdr:y>0.13087</cdr:y>
    </cdr:to>
    <cdr:cxnSp macro="">
      <cdr:nvCxnSpPr>
        <cdr:cNvPr id="68" name="Straight Arrow Connector 67">
          <a:extLst xmlns:a="http://schemas.openxmlformats.org/drawingml/2006/main">
            <a:ext uri="{FF2B5EF4-FFF2-40B4-BE49-F238E27FC236}">
              <a16:creationId xmlns:a16="http://schemas.microsoft.com/office/drawing/2014/main" id="{95763B74-C595-C2F3-51E3-931714A7FD78}"/>
            </a:ext>
          </a:extLst>
        </cdr:cNvPr>
        <cdr:cNvCxnSpPr/>
      </cdr:nvCxnSpPr>
      <cdr:spPr>
        <a:xfrm xmlns:a="http://schemas.openxmlformats.org/drawingml/2006/main" flipH="1" flipV="1">
          <a:off x="7411641" y="1111250"/>
          <a:ext cx="705675" cy="994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0.32614</cdr:x>
      <cdr:y>0.12971</cdr:y>
    </cdr:from>
    <cdr:to>
      <cdr:x>0.40908</cdr:x>
      <cdr:y>0.12971</cdr:y>
    </cdr:to>
    <cdr:cxnSp macro="">
      <cdr:nvCxnSpPr>
        <cdr:cNvPr id="71" name="Straight Arrow Connector 70">
          <a:extLst xmlns:a="http://schemas.openxmlformats.org/drawingml/2006/main">
            <a:ext uri="{FF2B5EF4-FFF2-40B4-BE49-F238E27FC236}">
              <a16:creationId xmlns:a16="http://schemas.microsoft.com/office/drawing/2014/main" id="{0ADE5679-746B-2A2B-9ACC-7FC0C65BA6C5}"/>
            </a:ext>
          </a:extLst>
        </cdr:cNvPr>
        <cdr:cNvCxnSpPr/>
      </cdr:nvCxnSpPr>
      <cdr:spPr>
        <a:xfrm xmlns:a="http://schemas.openxmlformats.org/drawingml/2006/main" flipH="1" flipV="1">
          <a:off x="4603750" y="1111250"/>
          <a:ext cx="1170782" cy="1"/>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0.28812</cdr:x>
      <cdr:y>0.64492</cdr:y>
    </cdr:from>
    <cdr:to>
      <cdr:x>0.3876</cdr:x>
      <cdr:y>0.64537</cdr:y>
    </cdr:to>
    <cdr:cxnSp macro="">
      <cdr:nvCxnSpPr>
        <cdr:cNvPr id="73" name="Straight Arrow Connector 72">
          <a:extLst xmlns:a="http://schemas.openxmlformats.org/drawingml/2006/main">
            <a:ext uri="{FF2B5EF4-FFF2-40B4-BE49-F238E27FC236}">
              <a16:creationId xmlns:a16="http://schemas.microsoft.com/office/drawing/2014/main" id="{67B020F7-6C27-18C0-3639-BC1B716B7888}"/>
            </a:ext>
          </a:extLst>
        </cdr:cNvPr>
        <cdr:cNvCxnSpPr/>
      </cdr:nvCxnSpPr>
      <cdr:spPr>
        <a:xfrm xmlns:a="http://schemas.openxmlformats.org/drawingml/2006/main">
          <a:off x="4066967" y="5525247"/>
          <a:ext cx="1404234" cy="3855"/>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0.59266</cdr:x>
      <cdr:y>0.64345</cdr:y>
    </cdr:from>
    <cdr:to>
      <cdr:x>0.649</cdr:x>
      <cdr:y>0.64388</cdr:y>
    </cdr:to>
    <cdr:cxnSp macro="">
      <cdr:nvCxnSpPr>
        <cdr:cNvPr id="75" name="Straight Arrow Connector 74">
          <a:extLst xmlns:a="http://schemas.openxmlformats.org/drawingml/2006/main">
            <a:ext uri="{FF2B5EF4-FFF2-40B4-BE49-F238E27FC236}">
              <a16:creationId xmlns:a16="http://schemas.microsoft.com/office/drawing/2014/main" id="{37A3026F-6DCB-6CE5-E4F2-DBE2A272CA61}"/>
            </a:ext>
          </a:extLst>
        </cdr:cNvPr>
        <cdr:cNvCxnSpPr/>
      </cdr:nvCxnSpPr>
      <cdr:spPr>
        <a:xfrm xmlns:a="http://schemas.openxmlformats.org/drawingml/2006/main">
          <a:off x="8365774" y="5512646"/>
          <a:ext cx="795281" cy="3684"/>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0.85279</cdr:x>
      <cdr:y>0.64821</cdr:y>
    </cdr:from>
    <cdr:to>
      <cdr:x>0.97632</cdr:x>
      <cdr:y>0.64854</cdr:y>
    </cdr:to>
    <cdr:cxnSp macro="">
      <cdr:nvCxnSpPr>
        <cdr:cNvPr id="81" name="Straight Arrow Connector 80">
          <a:extLst xmlns:a="http://schemas.openxmlformats.org/drawingml/2006/main">
            <a:ext uri="{FF2B5EF4-FFF2-40B4-BE49-F238E27FC236}">
              <a16:creationId xmlns:a16="http://schemas.microsoft.com/office/drawing/2014/main" id="{FB90745F-334F-A5C0-3573-3BF20304B261}"/>
            </a:ext>
          </a:extLst>
        </cdr:cNvPr>
        <cdr:cNvCxnSpPr/>
      </cdr:nvCxnSpPr>
      <cdr:spPr>
        <a:xfrm xmlns:a="http://schemas.openxmlformats.org/drawingml/2006/main">
          <a:off x="12037750" y="5553390"/>
          <a:ext cx="1743734" cy="2860"/>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0.65122</cdr:x>
      <cdr:y>0.64275</cdr:y>
    </cdr:from>
    <cdr:to>
      <cdr:x>0.75561</cdr:x>
      <cdr:y>0.64373</cdr:y>
    </cdr:to>
    <cdr:cxnSp macro="">
      <cdr:nvCxnSpPr>
        <cdr:cNvPr id="85" name="Straight Arrow Connector 84">
          <a:extLst xmlns:a="http://schemas.openxmlformats.org/drawingml/2006/main">
            <a:ext uri="{FF2B5EF4-FFF2-40B4-BE49-F238E27FC236}">
              <a16:creationId xmlns:a16="http://schemas.microsoft.com/office/drawing/2014/main" id="{419091B7-EA72-D596-58AD-2B5CEE1FC288}"/>
            </a:ext>
          </a:extLst>
        </cdr:cNvPr>
        <cdr:cNvCxnSpPr/>
      </cdr:nvCxnSpPr>
      <cdr:spPr>
        <a:xfrm xmlns:a="http://schemas.openxmlformats.org/drawingml/2006/main" flipH="1">
          <a:off x="9192451" y="5506641"/>
          <a:ext cx="1473565" cy="8385"/>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0.38956</cdr:x>
      <cdr:y>0.64388</cdr:y>
    </cdr:from>
    <cdr:to>
      <cdr:x>0.47405</cdr:x>
      <cdr:y>0.64528</cdr:y>
    </cdr:to>
    <cdr:cxnSp macro="">
      <cdr:nvCxnSpPr>
        <cdr:cNvPr id="87" name="Straight Arrow Connector 86">
          <a:extLst xmlns:a="http://schemas.openxmlformats.org/drawingml/2006/main">
            <a:ext uri="{FF2B5EF4-FFF2-40B4-BE49-F238E27FC236}">
              <a16:creationId xmlns:a16="http://schemas.microsoft.com/office/drawing/2014/main" id="{F390434F-6105-5B74-F777-6DE9221FAE72}"/>
            </a:ext>
          </a:extLst>
        </cdr:cNvPr>
        <cdr:cNvCxnSpPr/>
      </cdr:nvCxnSpPr>
      <cdr:spPr>
        <a:xfrm xmlns:a="http://schemas.openxmlformats.org/drawingml/2006/main" flipH="1">
          <a:off x="5498868" y="5516330"/>
          <a:ext cx="1192638" cy="11994"/>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0.0746</cdr:x>
      <cdr:y>0.16201</cdr:y>
    </cdr:from>
    <cdr:to>
      <cdr:x>0.31771</cdr:x>
      <cdr:y>0.21164</cdr:y>
    </cdr:to>
    <cdr:sp macro="" textlink="">
      <cdr:nvSpPr>
        <cdr:cNvPr id="40" name="TextBox 1"/>
        <cdr:cNvSpPr txBox="1"/>
      </cdr:nvSpPr>
      <cdr:spPr>
        <a:xfrm xmlns:a="http://schemas.openxmlformats.org/drawingml/2006/main">
          <a:off x="1053070" y="1388030"/>
          <a:ext cx="3431618" cy="42519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EU CN</a:t>
          </a:r>
          <a:r>
            <a:rPr lang="en-US" sz="1800" b="1" baseline="0">
              <a:solidFill>
                <a:srgbClr val="0070C0"/>
              </a:solidFill>
            </a:rPr>
            <a:t> Child Fit and Test Dummies</a:t>
          </a:r>
          <a:endParaRPr lang="en-US" sz="1800" b="1">
            <a:solidFill>
              <a:srgbClr val="0070C0"/>
            </a:solidFill>
          </a:endParaRPr>
        </a:p>
      </cdr:txBody>
    </cdr:sp>
  </cdr:relSizeAnchor>
  <cdr:relSizeAnchor xmlns:cdr="http://schemas.openxmlformats.org/drawingml/2006/chartDrawing">
    <cdr:from>
      <cdr:x>0.68813</cdr:x>
      <cdr:y>0.54655</cdr:y>
    </cdr:from>
    <cdr:to>
      <cdr:x>0.97093</cdr:x>
      <cdr:y>0.59098</cdr:y>
    </cdr:to>
    <cdr:sp macro="" textlink="">
      <cdr:nvSpPr>
        <cdr:cNvPr id="44" name="TextBox 1"/>
        <cdr:cNvSpPr txBox="1"/>
      </cdr:nvSpPr>
      <cdr:spPr>
        <a:xfrm xmlns:a="http://schemas.openxmlformats.org/drawingml/2006/main">
          <a:off x="9713515" y="4682476"/>
          <a:ext cx="3991930" cy="380645"/>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US CA</a:t>
          </a:r>
          <a:r>
            <a:rPr lang="en-US" sz="1800" b="1" baseline="0">
              <a:solidFill>
                <a:srgbClr val="FF0000"/>
              </a:solidFill>
            </a:rPr>
            <a:t> 213 Child Fit and Test Dummies</a:t>
          </a:r>
          <a:endParaRPr lang="en-US" sz="1800" b="1">
            <a:solidFill>
              <a:srgbClr val="FF0000"/>
            </a:solidFill>
          </a:endParaRPr>
        </a:p>
      </cdr:txBody>
    </cdr:sp>
  </cdr:relSizeAnchor>
  <cdr:relSizeAnchor xmlns:cdr="http://schemas.openxmlformats.org/drawingml/2006/chartDrawing">
    <cdr:from>
      <cdr:x>0.97843</cdr:x>
      <cdr:y>0.13202</cdr:y>
    </cdr:from>
    <cdr:to>
      <cdr:x>0.97913</cdr:x>
      <cdr:y>0.67402</cdr:y>
    </cdr:to>
    <cdr:cxnSp macro="">
      <cdr:nvCxnSpPr>
        <cdr:cNvPr id="48" name="Straight Connector 47">
          <a:extLst xmlns:a="http://schemas.openxmlformats.org/drawingml/2006/main">
            <a:ext uri="{FF2B5EF4-FFF2-40B4-BE49-F238E27FC236}">
              <a16:creationId xmlns:a16="http://schemas.microsoft.com/office/drawing/2014/main" id="{A3C926CE-E4E2-A394-2E76-F7A2CEBBF27D}"/>
            </a:ext>
          </a:extLst>
        </cdr:cNvPr>
        <cdr:cNvCxnSpPr/>
      </cdr:nvCxnSpPr>
      <cdr:spPr>
        <a:xfrm xmlns:a="http://schemas.openxmlformats.org/drawingml/2006/main" flipH="1">
          <a:off x="13811250" y="1131094"/>
          <a:ext cx="9922" cy="4643437"/>
        </a:xfrm>
        <a:prstGeom xmlns:a="http://schemas.openxmlformats.org/drawingml/2006/main" prst="line">
          <a:avLst/>
        </a:prstGeom>
        <a:ln xmlns:a="http://schemas.openxmlformats.org/drawingml/2006/main" w="15875">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userShapes>
</file>

<file path=xl/drawings/drawing20.xml><?xml version="1.0" encoding="utf-8"?>
<xdr:wsDr xmlns:xdr="http://schemas.openxmlformats.org/drawingml/2006/spreadsheetDrawing" xmlns:a="http://schemas.openxmlformats.org/drawingml/2006/main">
  <xdr:absoluteAnchor>
    <xdr:pos x="0" y="0"/>
    <xdr:ext cx="14118167" cy="8572500"/>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0.6721</cdr:x>
      <cdr:y>0.75272</cdr:y>
    </cdr:from>
    <cdr:to>
      <cdr:x>0.95502</cdr:x>
      <cdr:y>0.96317</cdr:y>
    </cdr:to>
    <cdr:pic>
      <cdr:nvPicPr>
        <cdr:cNvPr id="2" name="chart">
          <a:extLst xmlns:a="http://schemas.openxmlformats.org/drawingml/2006/main">
            <a:ext uri="{FF2B5EF4-FFF2-40B4-BE49-F238E27FC236}">
              <a16:creationId xmlns:a16="http://schemas.microsoft.com/office/drawing/2014/main" id="{FAACA147-08F3-629B-BD45-FC0C28A170A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488771" y="6452712"/>
          <a:ext cx="3994396" cy="1804085"/>
        </a:xfrm>
        <a:prstGeom xmlns:a="http://schemas.openxmlformats.org/drawingml/2006/main" prst="rect">
          <a:avLst/>
        </a:prstGeom>
      </cdr:spPr>
    </cdr:pic>
  </cdr:relSizeAnchor>
  <cdr:relSizeAnchor xmlns:cdr="http://schemas.openxmlformats.org/drawingml/2006/chartDrawing">
    <cdr:from>
      <cdr:x>0.97843</cdr:x>
      <cdr:y>0.13202</cdr:y>
    </cdr:from>
    <cdr:to>
      <cdr:x>0.97913</cdr:x>
      <cdr:y>0.67402</cdr:y>
    </cdr:to>
    <cdr:cxnSp macro="">
      <cdr:nvCxnSpPr>
        <cdr:cNvPr id="48" name="Straight Connector 47">
          <a:extLst xmlns:a="http://schemas.openxmlformats.org/drawingml/2006/main">
            <a:ext uri="{FF2B5EF4-FFF2-40B4-BE49-F238E27FC236}">
              <a16:creationId xmlns:a16="http://schemas.microsoft.com/office/drawing/2014/main" id="{D374BE6D-9174-CD55-87C1-66DB04B975A9}"/>
            </a:ext>
          </a:extLst>
        </cdr:cNvPr>
        <cdr:cNvCxnSpPr/>
      </cdr:nvCxnSpPr>
      <cdr:spPr>
        <a:xfrm xmlns:a="http://schemas.openxmlformats.org/drawingml/2006/main" flipH="1">
          <a:off x="13811250" y="1131094"/>
          <a:ext cx="9922" cy="4643437"/>
        </a:xfrm>
        <a:prstGeom xmlns:a="http://schemas.openxmlformats.org/drawingml/2006/main" prst="line">
          <a:avLst/>
        </a:prstGeom>
        <a:ln xmlns:a="http://schemas.openxmlformats.org/drawingml/2006/main" w="15875">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userShapes>
</file>

<file path=xl/drawings/drawing22.xml><?xml version="1.0" encoding="utf-8"?>
<xdr:wsDr xmlns:xdr="http://schemas.openxmlformats.org/drawingml/2006/spreadsheetDrawing" xmlns:a="http://schemas.openxmlformats.org/drawingml/2006/main">
  <xdr:absoluteAnchor>
    <xdr:pos x="0" y="0"/>
    <xdr:ext cx="14118167" cy="8572500"/>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0.97843</cdr:x>
      <cdr:y>0.13202</cdr:y>
    </cdr:from>
    <cdr:to>
      <cdr:x>0.97913</cdr:x>
      <cdr:y>0.67402</cdr:y>
    </cdr:to>
    <cdr:cxnSp macro="">
      <cdr:nvCxnSpPr>
        <cdr:cNvPr id="48" name="Straight Connector 47">
          <a:extLst xmlns:a="http://schemas.openxmlformats.org/drawingml/2006/main">
            <a:ext uri="{FF2B5EF4-FFF2-40B4-BE49-F238E27FC236}">
              <a16:creationId xmlns:a16="http://schemas.microsoft.com/office/drawing/2014/main" id="{77755992-ADCA-2BAB-8EAF-06424BCC81C5}"/>
            </a:ext>
          </a:extLst>
        </cdr:cNvPr>
        <cdr:cNvCxnSpPr/>
      </cdr:nvCxnSpPr>
      <cdr:spPr>
        <a:xfrm xmlns:a="http://schemas.openxmlformats.org/drawingml/2006/main" flipH="1">
          <a:off x="13811250" y="1131094"/>
          <a:ext cx="9922" cy="4643437"/>
        </a:xfrm>
        <a:prstGeom xmlns:a="http://schemas.openxmlformats.org/drawingml/2006/main" prst="line">
          <a:avLst/>
        </a:prstGeom>
        <a:ln xmlns:a="http://schemas.openxmlformats.org/drawingml/2006/main" w="15875">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0.81034</cdr:x>
      <cdr:y>0.72963</cdr:y>
    </cdr:from>
    <cdr:to>
      <cdr:x>0.9284</cdr:x>
      <cdr:y>0.97182</cdr:y>
    </cdr:to>
    <cdr:pic>
      <cdr:nvPicPr>
        <cdr:cNvPr id="4" name="chart">
          <a:extLst xmlns:a="http://schemas.openxmlformats.org/drawingml/2006/main">
            <a:ext uri="{FF2B5EF4-FFF2-40B4-BE49-F238E27FC236}">
              <a16:creationId xmlns:a16="http://schemas.microsoft.com/office/drawing/2014/main" id="{AB876200-5556-3A75-721A-E013830114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11440583" y="6254750"/>
          <a:ext cx="1666667" cy="2076190"/>
        </a:xfrm>
        <a:prstGeom xmlns:a="http://schemas.openxmlformats.org/drawingml/2006/main" prst="rect">
          <a:avLst/>
        </a:prstGeom>
      </cdr:spPr>
    </cdr:pic>
  </cdr:relSizeAnchor>
</c:userShapes>
</file>

<file path=xl/drawings/drawing24.xml><?xml version="1.0" encoding="utf-8"?>
<xdr:wsDr xmlns:xdr="http://schemas.openxmlformats.org/drawingml/2006/spreadsheetDrawing" xmlns:a="http://schemas.openxmlformats.org/drawingml/2006/main">
  <xdr:absoluteAnchor>
    <xdr:pos x="0" y="0"/>
    <xdr:ext cx="14118167" cy="8572500"/>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0.64511</cdr:x>
      <cdr:y>0.7305</cdr:y>
    </cdr:from>
    <cdr:to>
      <cdr:x>0.97236</cdr:x>
      <cdr:y>0.97392</cdr:y>
    </cdr:to>
    <cdr:pic>
      <cdr:nvPicPr>
        <cdr:cNvPr id="2" name="chart">
          <a:extLst xmlns:a="http://schemas.openxmlformats.org/drawingml/2006/main">
            <a:ext uri="{FF2B5EF4-FFF2-40B4-BE49-F238E27FC236}">
              <a16:creationId xmlns:a16="http://schemas.microsoft.com/office/drawing/2014/main" id="{91EDCD36-C429-FC8B-D0BB-2720662E515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106186" y="6258442"/>
          <a:ext cx="4619438" cy="2085458"/>
        </a:xfrm>
        <a:prstGeom xmlns:a="http://schemas.openxmlformats.org/drawingml/2006/main" prst="rect">
          <a:avLst/>
        </a:prstGeom>
      </cdr:spPr>
    </cdr:pic>
  </cdr:relSizeAnchor>
  <cdr:relSizeAnchor xmlns:cdr="http://schemas.openxmlformats.org/drawingml/2006/chartDrawing">
    <cdr:from>
      <cdr:x>0.388</cdr:x>
      <cdr:y>0.29532</cdr:y>
    </cdr:from>
    <cdr:to>
      <cdr:x>0.3887</cdr:x>
      <cdr:y>0.67402</cdr:y>
    </cdr:to>
    <cdr:cxnSp macro="">
      <cdr:nvCxnSpPr>
        <cdr:cNvPr id="4" name="Straight Connector 3">
          <a:extLst xmlns:a="http://schemas.openxmlformats.org/drawingml/2006/main">
            <a:ext uri="{FF2B5EF4-FFF2-40B4-BE49-F238E27FC236}">
              <a16:creationId xmlns:a16="http://schemas.microsoft.com/office/drawing/2014/main" id="{4A16B379-082B-9074-44C4-B21F0C77EE7C}"/>
            </a:ext>
          </a:extLst>
        </cdr:cNvPr>
        <cdr:cNvCxnSpPr/>
      </cdr:nvCxnSpPr>
      <cdr:spPr>
        <a:xfrm xmlns:a="http://schemas.openxmlformats.org/drawingml/2006/main" flipH="1">
          <a:off x="5476875" y="2530078"/>
          <a:ext cx="9922" cy="3244453"/>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0.65018</cdr:x>
      <cdr:y>0.23278</cdr:y>
    </cdr:from>
    <cdr:to>
      <cdr:x>0.65018</cdr:x>
      <cdr:y>0.67749</cdr:y>
    </cdr:to>
    <cdr:cxnSp macro="">
      <cdr:nvCxnSpPr>
        <cdr:cNvPr id="7" name="Straight Connector 6">
          <a:extLst xmlns:a="http://schemas.openxmlformats.org/drawingml/2006/main">
            <a:ext uri="{FF2B5EF4-FFF2-40B4-BE49-F238E27FC236}">
              <a16:creationId xmlns:a16="http://schemas.microsoft.com/office/drawing/2014/main" id="{EAA81397-3B2E-6BD8-24CE-DE96AE4BB2CD}"/>
            </a:ext>
          </a:extLst>
        </cdr:cNvPr>
        <cdr:cNvCxnSpPr/>
      </cdr:nvCxnSpPr>
      <cdr:spPr>
        <a:xfrm xmlns:a="http://schemas.openxmlformats.org/drawingml/2006/main">
          <a:off x="9177734" y="1994297"/>
          <a:ext cx="1" cy="3810000"/>
        </a:xfrm>
        <a:prstGeom xmlns:a="http://schemas.openxmlformats.org/drawingml/2006/main" prst="line">
          <a:avLst/>
        </a:prstGeom>
        <a:ln xmlns:a="http://schemas.openxmlformats.org/drawingml/2006/main" w="12700">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0.32193</cdr:x>
      <cdr:y>0.09265</cdr:y>
    </cdr:from>
    <cdr:to>
      <cdr:x>0.32263</cdr:x>
      <cdr:y>0.54547</cdr:y>
    </cdr:to>
    <cdr:cxnSp macro="">
      <cdr:nvCxnSpPr>
        <cdr:cNvPr id="24" name="Straight Connector 23">
          <a:extLst xmlns:a="http://schemas.openxmlformats.org/drawingml/2006/main">
            <a:ext uri="{FF2B5EF4-FFF2-40B4-BE49-F238E27FC236}">
              <a16:creationId xmlns:a16="http://schemas.microsoft.com/office/drawing/2014/main" id="{13CF7320-71C0-6C08-C963-A2CB5F48F4D8}"/>
            </a:ext>
          </a:extLst>
        </cdr:cNvPr>
        <cdr:cNvCxnSpPr/>
      </cdr:nvCxnSpPr>
      <cdr:spPr>
        <a:xfrm xmlns:a="http://schemas.openxmlformats.org/drawingml/2006/main">
          <a:off x="4544219" y="793750"/>
          <a:ext cx="9922" cy="3879453"/>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0.52054</cdr:x>
      <cdr:y>0.08232</cdr:y>
    </cdr:from>
    <cdr:to>
      <cdr:x>0.52124</cdr:x>
      <cdr:y>0.51777</cdr:y>
    </cdr:to>
    <cdr:cxnSp macro="">
      <cdr:nvCxnSpPr>
        <cdr:cNvPr id="25" name="Straight Connector 24">
          <a:extLst xmlns:a="http://schemas.openxmlformats.org/drawingml/2006/main">
            <a:ext uri="{FF2B5EF4-FFF2-40B4-BE49-F238E27FC236}">
              <a16:creationId xmlns:a16="http://schemas.microsoft.com/office/drawing/2014/main" id="{ADE947FD-D910-9B79-F264-711781553784}"/>
            </a:ext>
          </a:extLst>
        </cdr:cNvPr>
        <cdr:cNvCxnSpPr/>
      </cdr:nvCxnSpPr>
      <cdr:spPr>
        <a:xfrm xmlns:a="http://schemas.openxmlformats.org/drawingml/2006/main">
          <a:off x="7347744" y="705247"/>
          <a:ext cx="9923" cy="3730625"/>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0.68603</cdr:x>
      <cdr:y>0.0857</cdr:y>
    </cdr:from>
    <cdr:to>
      <cdr:x>0.68603</cdr:x>
      <cdr:y>0.49567</cdr:y>
    </cdr:to>
    <cdr:cxnSp macro="">
      <cdr:nvCxnSpPr>
        <cdr:cNvPr id="27" name="Straight Connector 26">
          <a:extLst xmlns:a="http://schemas.openxmlformats.org/drawingml/2006/main">
            <a:ext uri="{FF2B5EF4-FFF2-40B4-BE49-F238E27FC236}">
              <a16:creationId xmlns:a16="http://schemas.microsoft.com/office/drawing/2014/main" id="{C4FC8EB5-E34B-B993-1592-BDE9BF76D2DE}"/>
            </a:ext>
          </a:extLst>
        </cdr:cNvPr>
        <cdr:cNvCxnSpPr/>
      </cdr:nvCxnSpPr>
      <cdr:spPr>
        <a:xfrm xmlns:a="http://schemas.openxmlformats.org/drawingml/2006/main">
          <a:off x="9683750" y="734219"/>
          <a:ext cx="0" cy="3512344"/>
        </a:xfrm>
        <a:prstGeom xmlns:a="http://schemas.openxmlformats.org/drawingml/2006/main" prst="line">
          <a:avLst/>
        </a:prstGeom>
        <a:ln xmlns:a="http://schemas.openxmlformats.org/drawingml/2006/main" w="15875">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0.91236</cdr:x>
      <cdr:y>0.0857</cdr:y>
    </cdr:from>
    <cdr:to>
      <cdr:x>0.91306</cdr:x>
      <cdr:y>0.47367</cdr:y>
    </cdr:to>
    <cdr:cxnSp macro="">
      <cdr:nvCxnSpPr>
        <cdr:cNvPr id="30" name="Straight Connector 29">
          <a:extLst xmlns:a="http://schemas.openxmlformats.org/drawingml/2006/main">
            <a:ext uri="{FF2B5EF4-FFF2-40B4-BE49-F238E27FC236}">
              <a16:creationId xmlns:a16="http://schemas.microsoft.com/office/drawing/2014/main" id="{12A35753-AEA5-A3DD-98A4-9196418F843B}"/>
            </a:ext>
          </a:extLst>
        </cdr:cNvPr>
        <cdr:cNvCxnSpPr/>
      </cdr:nvCxnSpPr>
      <cdr:spPr>
        <a:xfrm xmlns:a="http://schemas.openxmlformats.org/drawingml/2006/main">
          <a:off x="12878594" y="734219"/>
          <a:ext cx="9922" cy="3323828"/>
        </a:xfrm>
        <a:prstGeom xmlns:a="http://schemas.openxmlformats.org/drawingml/2006/main" prst="line">
          <a:avLst/>
        </a:prstGeom>
        <a:ln xmlns:a="http://schemas.openxmlformats.org/drawingml/2006/main" w="12700">
          <a:solidFill>
            <a:srgbClr val="0070C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dr:relSizeAnchor xmlns:cdr="http://schemas.openxmlformats.org/drawingml/2006/chartDrawing">
    <cdr:from>
      <cdr:x>0.17092</cdr:x>
      <cdr:y>0.10497</cdr:y>
    </cdr:from>
    <cdr:to>
      <cdr:x>0.21331</cdr:x>
      <cdr:y>0.1507</cdr:y>
    </cdr:to>
    <cdr:sp macro="" textlink="">
      <cdr:nvSpPr>
        <cdr:cNvPr id="34" name="TextBox 33"/>
        <cdr:cNvSpPr txBox="1"/>
      </cdr:nvSpPr>
      <cdr:spPr>
        <a:xfrm xmlns:a="http://schemas.openxmlformats.org/drawingml/2006/main">
          <a:off x="2412726" y="899314"/>
          <a:ext cx="598366" cy="3917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a:solidFill>
                <a:srgbClr val="0070C0"/>
              </a:solidFill>
            </a:rPr>
            <a:t>Q0</a:t>
          </a:r>
        </a:p>
      </cdr:txBody>
    </cdr:sp>
  </cdr:relSizeAnchor>
  <cdr:relSizeAnchor xmlns:cdr="http://schemas.openxmlformats.org/drawingml/2006/chartDrawing">
    <cdr:from>
      <cdr:x>0.41007</cdr:x>
      <cdr:y>0.10506</cdr:y>
    </cdr:from>
    <cdr:to>
      <cdr:x>0.45246</cdr:x>
      <cdr:y>0.15079</cdr:y>
    </cdr:to>
    <cdr:sp macro="" textlink="">
      <cdr:nvSpPr>
        <cdr:cNvPr id="36" name="TextBox 1"/>
        <cdr:cNvSpPr txBox="1"/>
      </cdr:nvSpPr>
      <cdr:spPr>
        <a:xfrm xmlns:a="http://schemas.openxmlformats.org/drawingml/2006/main">
          <a:off x="5788501" y="900074"/>
          <a:ext cx="598366" cy="39178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a:t>
          </a:r>
        </a:p>
      </cdr:txBody>
    </cdr:sp>
  </cdr:relSizeAnchor>
  <cdr:relSizeAnchor xmlns:cdr="http://schemas.openxmlformats.org/drawingml/2006/chartDrawing">
    <cdr:from>
      <cdr:x>0.5787</cdr:x>
      <cdr:y>0.10971</cdr:y>
    </cdr:from>
    <cdr:to>
      <cdr:x>0.63136</cdr:x>
      <cdr:y>0.15086</cdr:y>
    </cdr:to>
    <cdr:sp macro="" textlink="">
      <cdr:nvSpPr>
        <cdr:cNvPr id="37" name="TextBox 1"/>
        <cdr:cNvSpPr txBox="1"/>
      </cdr:nvSpPr>
      <cdr:spPr>
        <a:xfrm xmlns:a="http://schemas.openxmlformats.org/drawingml/2006/main">
          <a:off x="8168838" y="939912"/>
          <a:ext cx="743335" cy="352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Q1.5</a:t>
          </a:r>
        </a:p>
      </cdr:txBody>
    </cdr:sp>
  </cdr:relSizeAnchor>
  <cdr:relSizeAnchor xmlns:cdr="http://schemas.openxmlformats.org/drawingml/2006/chartDrawing">
    <cdr:from>
      <cdr:x>0.77893</cdr:x>
      <cdr:y>0.10888</cdr:y>
    </cdr:from>
    <cdr:to>
      <cdr:x>0.83159</cdr:x>
      <cdr:y>0.15004</cdr:y>
    </cdr:to>
    <cdr:sp macro="" textlink="">
      <cdr:nvSpPr>
        <cdr:cNvPr id="38" name="TextBox 1"/>
        <cdr:cNvSpPr txBox="1"/>
      </cdr:nvSpPr>
      <cdr:spPr>
        <a:xfrm xmlns:a="http://schemas.openxmlformats.org/drawingml/2006/main">
          <a:off x="10995232" y="932849"/>
          <a:ext cx="743335" cy="35263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Q3</a:t>
          </a:r>
        </a:p>
      </cdr:txBody>
    </cdr:sp>
  </cdr:relSizeAnchor>
  <cdr:relSizeAnchor xmlns:cdr="http://schemas.openxmlformats.org/drawingml/2006/chartDrawing">
    <cdr:from>
      <cdr:x>0.17922</cdr:x>
      <cdr:y>0.61956</cdr:y>
    </cdr:from>
    <cdr:to>
      <cdr:x>0.29527</cdr:x>
      <cdr:y>0.67607</cdr:y>
    </cdr:to>
    <cdr:sp macro="" textlink="">
      <cdr:nvSpPr>
        <cdr:cNvPr id="42" name="TextBox 1"/>
        <cdr:cNvSpPr txBox="1"/>
      </cdr:nvSpPr>
      <cdr:spPr>
        <a:xfrm xmlns:a="http://schemas.openxmlformats.org/drawingml/2006/main">
          <a:off x="2529763" y="5307980"/>
          <a:ext cx="1638132" cy="48413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New</a:t>
          </a:r>
          <a:r>
            <a:rPr lang="en-US" sz="1800" b="1" baseline="0">
              <a:solidFill>
                <a:srgbClr val="FF0000"/>
              </a:solidFill>
            </a:rPr>
            <a:t> Born </a:t>
          </a:r>
          <a:r>
            <a:rPr lang="en-US" sz="1100" b="1" baseline="0">
              <a:solidFill>
                <a:srgbClr val="FF0000"/>
              </a:solidFill>
            </a:rPr>
            <a:t>5kg</a:t>
          </a:r>
          <a:endParaRPr lang="en-US" sz="1600" b="1">
            <a:solidFill>
              <a:srgbClr val="FF0000"/>
            </a:solidFill>
          </a:endParaRPr>
        </a:p>
      </cdr:txBody>
    </cdr:sp>
  </cdr:relSizeAnchor>
  <cdr:relSizeAnchor xmlns:cdr="http://schemas.openxmlformats.org/drawingml/2006/chartDrawing">
    <cdr:from>
      <cdr:x>0.48495</cdr:x>
      <cdr:y>0.59642</cdr:y>
    </cdr:from>
    <cdr:to>
      <cdr:x>0.60177</cdr:x>
      <cdr:y>0.70349</cdr:y>
    </cdr:to>
    <cdr:sp macro="" textlink="">
      <cdr:nvSpPr>
        <cdr:cNvPr id="43" name="TextBox 1"/>
        <cdr:cNvSpPr txBox="1"/>
      </cdr:nvSpPr>
      <cdr:spPr>
        <a:xfrm xmlns:a="http://schemas.openxmlformats.org/drawingml/2006/main">
          <a:off x="6845453" y="5109720"/>
          <a:ext cx="1649001" cy="917301"/>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New</a:t>
          </a:r>
          <a:r>
            <a:rPr lang="en-US" sz="1800" b="1" baseline="0">
              <a:solidFill>
                <a:srgbClr val="FF0000"/>
              </a:solidFill>
            </a:rPr>
            <a:t> Born and CRABI </a:t>
          </a:r>
          <a:r>
            <a:rPr lang="en-US" sz="1100" b="1" baseline="0">
              <a:solidFill>
                <a:srgbClr val="FF0000"/>
              </a:solidFill>
              <a:effectLst/>
              <a:latin typeface="+mn-lt"/>
              <a:ea typeface="+mn-ea"/>
              <a:cs typeface="+mn-cs"/>
            </a:rPr>
            <a:t>5.1-10kg</a:t>
          </a:r>
          <a:endParaRPr lang="en-US" sz="1800" b="1">
            <a:solidFill>
              <a:srgbClr val="FF0000"/>
            </a:solidFill>
          </a:endParaRPr>
        </a:p>
      </cdr:txBody>
    </cdr:sp>
  </cdr:relSizeAnchor>
  <cdr:relSizeAnchor xmlns:cdr="http://schemas.openxmlformats.org/drawingml/2006/chartDrawing">
    <cdr:from>
      <cdr:x>0.75679</cdr:x>
      <cdr:y>0.60088</cdr:y>
    </cdr:from>
    <cdr:to>
      <cdr:x>0.85701</cdr:x>
      <cdr:y>0.67701</cdr:y>
    </cdr:to>
    <cdr:sp macro="" textlink="">
      <cdr:nvSpPr>
        <cdr:cNvPr id="45" name="TextBox 1"/>
        <cdr:cNvSpPr txBox="1"/>
      </cdr:nvSpPr>
      <cdr:spPr>
        <a:xfrm xmlns:a="http://schemas.openxmlformats.org/drawingml/2006/main">
          <a:off x="10682602" y="5147900"/>
          <a:ext cx="1414679" cy="652228"/>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CRABI</a:t>
          </a:r>
          <a:r>
            <a:rPr lang="en-US" sz="1800" b="1" baseline="0">
              <a:solidFill>
                <a:srgbClr val="FF0000"/>
              </a:solidFill>
            </a:rPr>
            <a:t> and 3yr </a:t>
          </a:r>
          <a:r>
            <a:rPr lang="en-US" sz="1100" b="1" baseline="0">
              <a:solidFill>
                <a:srgbClr val="FF0000"/>
              </a:solidFill>
            </a:rPr>
            <a:t>10.1-18kg</a:t>
          </a:r>
          <a:endParaRPr lang="en-US" sz="1100" b="1">
            <a:solidFill>
              <a:srgbClr val="FF0000"/>
            </a:solidFill>
          </a:endParaRPr>
        </a:p>
      </cdr:txBody>
    </cdr:sp>
  </cdr:relSizeAnchor>
  <cdr:relSizeAnchor xmlns:cdr="http://schemas.openxmlformats.org/drawingml/2006/chartDrawing">
    <cdr:from>
      <cdr:x>0.21321</cdr:x>
      <cdr:y>0.12865</cdr:y>
    </cdr:from>
    <cdr:to>
      <cdr:x>0.31841</cdr:x>
      <cdr:y>0.12971</cdr:y>
    </cdr:to>
    <cdr:cxnSp macro="">
      <cdr:nvCxnSpPr>
        <cdr:cNvPr id="51" name="Straight Arrow Connector 50">
          <a:extLst xmlns:a="http://schemas.openxmlformats.org/drawingml/2006/main">
            <a:ext uri="{FF2B5EF4-FFF2-40B4-BE49-F238E27FC236}">
              <a16:creationId xmlns:a16="http://schemas.microsoft.com/office/drawing/2014/main" id="{53FBD67D-FC36-944E-B9AF-C81847B01A27}"/>
            </a:ext>
          </a:extLst>
        </cdr:cNvPr>
        <cdr:cNvCxnSpPr/>
      </cdr:nvCxnSpPr>
      <cdr:spPr>
        <a:xfrm xmlns:a="http://schemas.openxmlformats.org/drawingml/2006/main">
          <a:off x="3009680" y="1102187"/>
          <a:ext cx="1484929" cy="9063"/>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0.44006</cdr:x>
      <cdr:y>0.12948</cdr:y>
    </cdr:from>
    <cdr:to>
      <cdr:x>0.51522</cdr:x>
      <cdr:y>0.13087</cdr:y>
    </cdr:to>
    <cdr:cxnSp macro="">
      <cdr:nvCxnSpPr>
        <cdr:cNvPr id="53" name="Straight Arrow Connector 52">
          <a:extLst xmlns:a="http://schemas.openxmlformats.org/drawingml/2006/main">
            <a:ext uri="{FF2B5EF4-FFF2-40B4-BE49-F238E27FC236}">
              <a16:creationId xmlns:a16="http://schemas.microsoft.com/office/drawing/2014/main" id="{34C98AC1-E1EC-7D05-38DE-4CC29D62F91D}"/>
            </a:ext>
          </a:extLst>
        </cdr:cNvPr>
        <cdr:cNvCxnSpPr/>
      </cdr:nvCxnSpPr>
      <cdr:spPr>
        <a:xfrm xmlns:a="http://schemas.openxmlformats.org/drawingml/2006/main">
          <a:off x="6211832" y="1109287"/>
          <a:ext cx="1060902" cy="1188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0.62315</cdr:x>
      <cdr:y>0.12948</cdr:y>
    </cdr:from>
    <cdr:to>
      <cdr:x>0.68428</cdr:x>
      <cdr:y>0.12948</cdr:y>
    </cdr:to>
    <cdr:cxnSp macro="">
      <cdr:nvCxnSpPr>
        <cdr:cNvPr id="55" name="Straight Arrow Connector 54">
          <a:extLst xmlns:a="http://schemas.openxmlformats.org/drawingml/2006/main">
            <a:ext uri="{FF2B5EF4-FFF2-40B4-BE49-F238E27FC236}">
              <a16:creationId xmlns:a16="http://schemas.microsoft.com/office/drawing/2014/main" id="{455856E6-AE2D-A29B-D29F-D0871B55E00B}"/>
            </a:ext>
          </a:extLst>
        </cdr:cNvPr>
        <cdr:cNvCxnSpPr/>
      </cdr:nvCxnSpPr>
      <cdr:spPr>
        <a:xfrm xmlns:a="http://schemas.openxmlformats.org/drawingml/2006/main">
          <a:off x="8796223" y="1109287"/>
          <a:ext cx="862895" cy="0"/>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0.8289</cdr:x>
      <cdr:y>0.13106</cdr:y>
    </cdr:from>
    <cdr:to>
      <cdr:x>0.91273</cdr:x>
      <cdr:y>0.13255</cdr:y>
    </cdr:to>
    <cdr:cxnSp macro="">
      <cdr:nvCxnSpPr>
        <cdr:cNvPr id="57" name="Straight Arrow Connector 56">
          <a:extLst xmlns:a="http://schemas.openxmlformats.org/drawingml/2006/main">
            <a:ext uri="{FF2B5EF4-FFF2-40B4-BE49-F238E27FC236}">
              <a16:creationId xmlns:a16="http://schemas.microsoft.com/office/drawing/2014/main" id="{AEFD998E-B892-127E-7773-A502E755BF2C}"/>
            </a:ext>
          </a:extLst>
        </cdr:cNvPr>
        <cdr:cNvCxnSpPr/>
      </cdr:nvCxnSpPr>
      <cdr:spPr>
        <a:xfrm xmlns:a="http://schemas.openxmlformats.org/drawingml/2006/main">
          <a:off x="11700595" y="1122872"/>
          <a:ext cx="1183323" cy="1276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0.68884</cdr:x>
      <cdr:y>0.12855</cdr:y>
    </cdr:from>
    <cdr:to>
      <cdr:x>0.7578</cdr:x>
      <cdr:y>0.12931</cdr:y>
    </cdr:to>
    <cdr:cxnSp macro="">
      <cdr:nvCxnSpPr>
        <cdr:cNvPr id="65" name="Straight Arrow Connector 64">
          <a:extLst xmlns:a="http://schemas.openxmlformats.org/drawingml/2006/main">
            <a:ext uri="{FF2B5EF4-FFF2-40B4-BE49-F238E27FC236}">
              <a16:creationId xmlns:a16="http://schemas.microsoft.com/office/drawing/2014/main" id="{BCD1B8EC-8A3C-653D-CB61-A1D671650CD9}"/>
            </a:ext>
          </a:extLst>
        </cdr:cNvPr>
        <cdr:cNvCxnSpPr/>
      </cdr:nvCxnSpPr>
      <cdr:spPr>
        <a:xfrm xmlns:a="http://schemas.openxmlformats.org/drawingml/2006/main" flipH="1" flipV="1">
          <a:off x="9723437" y="1101328"/>
          <a:ext cx="973470" cy="6536"/>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0.52506</cdr:x>
      <cdr:y>0.12971</cdr:y>
    </cdr:from>
    <cdr:to>
      <cdr:x>0.57505</cdr:x>
      <cdr:y>0.13087</cdr:y>
    </cdr:to>
    <cdr:cxnSp macro="">
      <cdr:nvCxnSpPr>
        <cdr:cNvPr id="68" name="Straight Arrow Connector 67">
          <a:extLst xmlns:a="http://schemas.openxmlformats.org/drawingml/2006/main">
            <a:ext uri="{FF2B5EF4-FFF2-40B4-BE49-F238E27FC236}">
              <a16:creationId xmlns:a16="http://schemas.microsoft.com/office/drawing/2014/main" id="{465CA7E9-0E17-E87D-E3E5-75595A139848}"/>
            </a:ext>
          </a:extLst>
        </cdr:cNvPr>
        <cdr:cNvCxnSpPr/>
      </cdr:nvCxnSpPr>
      <cdr:spPr>
        <a:xfrm xmlns:a="http://schemas.openxmlformats.org/drawingml/2006/main" flipH="1" flipV="1">
          <a:off x="7411641" y="1111250"/>
          <a:ext cx="705675" cy="9945"/>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0.32614</cdr:x>
      <cdr:y>0.12971</cdr:y>
    </cdr:from>
    <cdr:to>
      <cdr:x>0.40908</cdr:x>
      <cdr:y>0.12971</cdr:y>
    </cdr:to>
    <cdr:cxnSp macro="">
      <cdr:nvCxnSpPr>
        <cdr:cNvPr id="71" name="Straight Arrow Connector 70">
          <a:extLst xmlns:a="http://schemas.openxmlformats.org/drawingml/2006/main">
            <a:ext uri="{FF2B5EF4-FFF2-40B4-BE49-F238E27FC236}">
              <a16:creationId xmlns:a16="http://schemas.microsoft.com/office/drawing/2014/main" id="{AC7D08B0-DE14-5E72-F119-81419110477F}"/>
            </a:ext>
          </a:extLst>
        </cdr:cNvPr>
        <cdr:cNvCxnSpPr/>
      </cdr:nvCxnSpPr>
      <cdr:spPr>
        <a:xfrm xmlns:a="http://schemas.openxmlformats.org/drawingml/2006/main" flipH="1" flipV="1">
          <a:off x="4603750" y="1111250"/>
          <a:ext cx="1170782" cy="1"/>
        </a:xfrm>
        <a:prstGeom xmlns:a="http://schemas.openxmlformats.org/drawingml/2006/main" prst="straightConnector1">
          <a:avLst/>
        </a:prstGeom>
        <a:ln xmlns:a="http://schemas.openxmlformats.org/drawingml/2006/main" w="19050">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0.28812</cdr:x>
      <cdr:y>0.64492</cdr:y>
    </cdr:from>
    <cdr:to>
      <cdr:x>0.3876</cdr:x>
      <cdr:y>0.64537</cdr:y>
    </cdr:to>
    <cdr:cxnSp macro="">
      <cdr:nvCxnSpPr>
        <cdr:cNvPr id="73" name="Straight Arrow Connector 72">
          <a:extLst xmlns:a="http://schemas.openxmlformats.org/drawingml/2006/main">
            <a:ext uri="{FF2B5EF4-FFF2-40B4-BE49-F238E27FC236}">
              <a16:creationId xmlns:a16="http://schemas.microsoft.com/office/drawing/2014/main" id="{2197700F-D53A-9DD0-6EE4-4DB60F4C09EF}"/>
            </a:ext>
          </a:extLst>
        </cdr:cNvPr>
        <cdr:cNvCxnSpPr/>
      </cdr:nvCxnSpPr>
      <cdr:spPr>
        <a:xfrm xmlns:a="http://schemas.openxmlformats.org/drawingml/2006/main">
          <a:off x="4066967" y="5525247"/>
          <a:ext cx="1404234" cy="3855"/>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0.59266</cdr:x>
      <cdr:y>0.64345</cdr:y>
    </cdr:from>
    <cdr:to>
      <cdr:x>0.649</cdr:x>
      <cdr:y>0.64388</cdr:y>
    </cdr:to>
    <cdr:cxnSp macro="">
      <cdr:nvCxnSpPr>
        <cdr:cNvPr id="75" name="Straight Arrow Connector 74">
          <a:extLst xmlns:a="http://schemas.openxmlformats.org/drawingml/2006/main">
            <a:ext uri="{FF2B5EF4-FFF2-40B4-BE49-F238E27FC236}">
              <a16:creationId xmlns:a16="http://schemas.microsoft.com/office/drawing/2014/main" id="{BACB0301-045F-CEC4-9E89-297BB127CBD3}"/>
            </a:ext>
          </a:extLst>
        </cdr:cNvPr>
        <cdr:cNvCxnSpPr/>
      </cdr:nvCxnSpPr>
      <cdr:spPr>
        <a:xfrm xmlns:a="http://schemas.openxmlformats.org/drawingml/2006/main">
          <a:off x="8365774" y="5512646"/>
          <a:ext cx="795281" cy="3684"/>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0.85279</cdr:x>
      <cdr:y>0.64821</cdr:y>
    </cdr:from>
    <cdr:to>
      <cdr:x>0.97632</cdr:x>
      <cdr:y>0.64854</cdr:y>
    </cdr:to>
    <cdr:cxnSp macro="">
      <cdr:nvCxnSpPr>
        <cdr:cNvPr id="81" name="Straight Arrow Connector 80">
          <a:extLst xmlns:a="http://schemas.openxmlformats.org/drawingml/2006/main">
            <a:ext uri="{FF2B5EF4-FFF2-40B4-BE49-F238E27FC236}">
              <a16:creationId xmlns:a16="http://schemas.microsoft.com/office/drawing/2014/main" id="{E51EBE9D-469D-5F66-7A29-FF124A9CD215}"/>
            </a:ext>
          </a:extLst>
        </cdr:cNvPr>
        <cdr:cNvCxnSpPr/>
      </cdr:nvCxnSpPr>
      <cdr:spPr>
        <a:xfrm xmlns:a="http://schemas.openxmlformats.org/drawingml/2006/main">
          <a:off x="12037750" y="5553390"/>
          <a:ext cx="1743734" cy="2860"/>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0.65122</cdr:x>
      <cdr:y>0.64275</cdr:y>
    </cdr:from>
    <cdr:to>
      <cdr:x>0.75561</cdr:x>
      <cdr:y>0.64373</cdr:y>
    </cdr:to>
    <cdr:cxnSp macro="">
      <cdr:nvCxnSpPr>
        <cdr:cNvPr id="85" name="Straight Arrow Connector 84">
          <a:extLst xmlns:a="http://schemas.openxmlformats.org/drawingml/2006/main">
            <a:ext uri="{FF2B5EF4-FFF2-40B4-BE49-F238E27FC236}">
              <a16:creationId xmlns:a16="http://schemas.microsoft.com/office/drawing/2014/main" id="{FCE052C6-43C7-4D0E-C286-5724EADF88F1}"/>
            </a:ext>
          </a:extLst>
        </cdr:cNvPr>
        <cdr:cNvCxnSpPr/>
      </cdr:nvCxnSpPr>
      <cdr:spPr>
        <a:xfrm xmlns:a="http://schemas.openxmlformats.org/drawingml/2006/main" flipH="1">
          <a:off x="9192451" y="5506641"/>
          <a:ext cx="1473565" cy="8385"/>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0.38956</cdr:x>
      <cdr:y>0.64388</cdr:y>
    </cdr:from>
    <cdr:to>
      <cdr:x>0.47405</cdr:x>
      <cdr:y>0.64528</cdr:y>
    </cdr:to>
    <cdr:cxnSp macro="">
      <cdr:nvCxnSpPr>
        <cdr:cNvPr id="87" name="Straight Arrow Connector 86">
          <a:extLst xmlns:a="http://schemas.openxmlformats.org/drawingml/2006/main">
            <a:ext uri="{FF2B5EF4-FFF2-40B4-BE49-F238E27FC236}">
              <a16:creationId xmlns:a16="http://schemas.microsoft.com/office/drawing/2014/main" id="{ECB59F78-A121-E119-9106-B56B85083935}"/>
            </a:ext>
          </a:extLst>
        </cdr:cNvPr>
        <cdr:cNvCxnSpPr/>
      </cdr:nvCxnSpPr>
      <cdr:spPr>
        <a:xfrm xmlns:a="http://schemas.openxmlformats.org/drawingml/2006/main" flipH="1">
          <a:off x="5498868" y="5516330"/>
          <a:ext cx="1192638" cy="11994"/>
        </a:xfrm>
        <a:prstGeom xmlns:a="http://schemas.openxmlformats.org/drawingml/2006/main" prst="straightConnector1">
          <a:avLst/>
        </a:prstGeom>
        <a:ln xmlns:a="http://schemas.openxmlformats.org/drawingml/2006/main" w="19050">
          <a:solidFill>
            <a:srgbClr val="FF0000"/>
          </a:solidFill>
          <a:tailEnd type="triangle" w="lg"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0.0746</cdr:x>
      <cdr:y>0.16201</cdr:y>
    </cdr:from>
    <cdr:to>
      <cdr:x>0.31771</cdr:x>
      <cdr:y>0.21164</cdr:y>
    </cdr:to>
    <cdr:sp macro="" textlink="">
      <cdr:nvSpPr>
        <cdr:cNvPr id="40" name="TextBox 1"/>
        <cdr:cNvSpPr txBox="1"/>
      </cdr:nvSpPr>
      <cdr:spPr>
        <a:xfrm xmlns:a="http://schemas.openxmlformats.org/drawingml/2006/main">
          <a:off x="1053070" y="1388030"/>
          <a:ext cx="3431618" cy="42519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0070C0"/>
              </a:solidFill>
            </a:rPr>
            <a:t>EU CN</a:t>
          </a:r>
          <a:r>
            <a:rPr lang="en-US" sz="1800" b="1" baseline="0">
              <a:solidFill>
                <a:srgbClr val="0070C0"/>
              </a:solidFill>
            </a:rPr>
            <a:t> Child Fit and Test Dummies</a:t>
          </a:r>
          <a:endParaRPr lang="en-US" sz="1800" b="1">
            <a:solidFill>
              <a:srgbClr val="0070C0"/>
            </a:solidFill>
          </a:endParaRPr>
        </a:p>
      </cdr:txBody>
    </cdr:sp>
  </cdr:relSizeAnchor>
  <cdr:relSizeAnchor xmlns:cdr="http://schemas.openxmlformats.org/drawingml/2006/chartDrawing">
    <cdr:from>
      <cdr:x>0.68813</cdr:x>
      <cdr:y>0.54655</cdr:y>
    </cdr:from>
    <cdr:to>
      <cdr:x>0.97093</cdr:x>
      <cdr:y>0.59098</cdr:y>
    </cdr:to>
    <cdr:sp macro="" textlink="">
      <cdr:nvSpPr>
        <cdr:cNvPr id="44" name="TextBox 1"/>
        <cdr:cNvSpPr txBox="1"/>
      </cdr:nvSpPr>
      <cdr:spPr>
        <a:xfrm xmlns:a="http://schemas.openxmlformats.org/drawingml/2006/main">
          <a:off x="9713515" y="4682476"/>
          <a:ext cx="3991930" cy="380645"/>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solidFill>
                <a:srgbClr val="FF0000"/>
              </a:solidFill>
            </a:rPr>
            <a:t>US CA</a:t>
          </a:r>
          <a:r>
            <a:rPr lang="en-US" sz="1800" b="1" baseline="0">
              <a:solidFill>
                <a:srgbClr val="FF0000"/>
              </a:solidFill>
            </a:rPr>
            <a:t> 213 Child Fit and Test Dummies</a:t>
          </a:r>
          <a:endParaRPr lang="en-US" sz="1800" b="1">
            <a:solidFill>
              <a:srgbClr val="FF0000"/>
            </a:solidFill>
          </a:endParaRPr>
        </a:p>
      </cdr:txBody>
    </cdr:sp>
  </cdr:relSizeAnchor>
  <cdr:relSizeAnchor xmlns:cdr="http://schemas.openxmlformats.org/drawingml/2006/chartDrawing">
    <cdr:from>
      <cdr:x>0.97843</cdr:x>
      <cdr:y>0.13202</cdr:y>
    </cdr:from>
    <cdr:to>
      <cdr:x>0.97913</cdr:x>
      <cdr:y>0.67402</cdr:y>
    </cdr:to>
    <cdr:cxnSp macro="">
      <cdr:nvCxnSpPr>
        <cdr:cNvPr id="48" name="Straight Connector 47">
          <a:extLst xmlns:a="http://schemas.openxmlformats.org/drawingml/2006/main">
            <a:ext uri="{FF2B5EF4-FFF2-40B4-BE49-F238E27FC236}">
              <a16:creationId xmlns:a16="http://schemas.microsoft.com/office/drawing/2014/main" id="{87E1820D-285F-F44F-A158-CC246F7A72CD}"/>
            </a:ext>
          </a:extLst>
        </cdr:cNvPr>
        <cdr:cNvCxnSpPr/>
      </cdr:nvCxnSpPr>
      <cdr:spPr>
        <a:xfrm xmlns:a="http://schemas.openxmlformats.org/drawingml/2006/main" flipH="1">
          <a:off x="13811250" y="1131094"/>
          <a:ext cx="9922" cy="4643437"/>
        </a:xfrm>
        <a:prstGeom xmlns:a="http://schemas.openxmlformats.org/drawingml/2006/main" prst="line">
          <a:avLst/>
        </a:prstGeom>
        <a:ln xmlns:a="http://schemas.openxmlformats.org/drawingml/2006/main" w="15875">
          <a:solidFill>
            <a:srgbClr val="FF0000"/>
          </a:solidFill>
          <a:prstDash val="sysDash"/>
        </a:ln>
      </cdr:spPr>
      <cdr:style>
        <a:lnRef xmlns:a="http://schemas.openxmlformats.org/drawingml/2006/main" idx="3">
          <a:schemeClr val="accent5"/>
        </a:lnRef>
        <a:fillRef xmlns:a="http://schemas.openxmlformats.org/drawingml/2006/main" idx="0">
          <a:schemeClr val="accent5"/>
        </a:fillRef>
        <a:effectRef xmlns:a="http://schemas.openxmlformats.org/drawingml/2006/main" idx="2">
          <a:schemeClr val="accent5"/>
        </a:effectRef>
        <a:fontRef xmlns:a="http://schemas.openxmlformats.org/drawingml/2006/main" idx="minor">
          <a:schemeClr val="tx1"/>
        </a:fontRef>
      </cdr:style>
    </cdr:cxnSp>
  </cdr:relSizeAnchor>
</c:userShapes>
</file>

<file path=xl/drawings/drawing26.xml><?xml version="1.0" encoding="utf-8"?>
<xdr:wsDr xmlns:xdr="http://schemas.openxmlformats.org/drawingml/2006/spreadsheetDrawing" xmlns:a="http://schemas.openxmlformats.org/drawingml/2006/main">
  <xdr:absoluteAnchor>
    <xdr:pos x="0" y="0"/>
    <xdr:ext cx="14118167" cy="8572500"/>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0.81034</cdr:x>
      <cdr:y>0.72963</cdr:y>
    </cdr:from>
    <cdr:to>
      <cdr:x>0.9284</cdr:x>
      <cdr:y>0.97182</cdr:y>
    </cdr:to>
    <cdr:pic>
      <cdr:nvPicPr>
        <cdr:cNvPr id="4" name="chart">
          <a:extLst xmlns:a="http://schemas.openxmlformats.org/drawingml/2006/main">
            <a:ext uri="{FF2B5EF4-FFF2-40B4-BE49-F238E27FC236}">
              <a16:creationId xmlns:a16="http://schemas.microsoft.com/office/drawing/2014/main" id="{9BA9632E-10C5-8E90-A423-E519EEA3C0F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11440583" y="6254750"/>
          <a:ext cx="1666667" cy="2076190"/>
        </a:xfrm>
        <a:prstGeom xmlns:a="http://schemas.openxmlformats.org/drawingml/2006/main" prst="rect">
          <a:avLst/>
        </a:prstGeom>
      </cdr:spPr>
    </cdr:pic>
  </cdr:relSizeAnchor>
</c:userShapes>
</file>

<file path=xl/drawings/drawing28.xml><?xml version="1.0" encoding="utf-8"?>
<xdr:wsDr xmlns:xdr="http://schemas.openxmlformats.org/drawingml/2006/spreadsheetDrawing" xmlns:a="http://schemas.openxmlformats.org/drawingml/2006/main">
  <xdr:absoluteAnchor>
    <xdr:pos x="0" y="0"/>
    <xdr:ext cx="14122400" cy="8576733"/>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0.65169</cdr:x>
      <cdr:y>0.74136</cdr:y>
    </cdr:from>
    <cdr:to>
      <cdr:x>0.97894</cdr:x>
      <cdr:y>0.98478</cdr:y>
    </cdr:to>
    <cdr:pic>
      <cdr:nvPicPr>
        <cdr:cNvPr id="2" name="chart">
          <a:extLst xmlns:a="http://schemas.openxmlformats.org/drawingml/2006/main">
            <a:ext uri="{FF2B5EF4-FFF2-40B4-BE49-F238E27FC236}">
              <a16:creationId xmlns:a16="http://schemas.microsoft.com/office/drawing/2014/main" id="{EAEAA57D-8E6E-B371-1288-9878F5ADF7B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220021" y="6358437"/>
          <a:ext cx="4629868" cy="2087749"/>
        </a:xfrm>
        <a:prstGeom xmlns:a="http://schemas.openxmlformats.org/drawingml/2006/main" prst="rect">
          <a:avLst/>
        </a:prstGeom>
      </cdr:spPr>
    </cdr:pic>
  </cdr:relSizeAnchor>
  <cdr:relSizeAnchor xmlns:cdr="http://schemas.openxmlformats.org/drawingml/2006/chartDrawing">
    <cdr:from>
      <cdr:x>0.59652</cdr:x>
      <cdr:y>0.35679</cdr:y>
    </cdr:from>
    <cdr:to>
      <cdr:x>0.5969</cdr:x>
      <cdr:y>0.68333</cdr:y>
    </cdr:to>
    <cdr:cxnSp macro="">
      <cdr:nvCxnSpPr>
        <cdr:cNvPr id="5" name="Straight Connector 4">
          <a:extLst xmlns:a="http://schemas.openxmlformats.org/drawingml/2006/main">
            <a:ext uri="{FF2B5EF4-FFF2-40B4-BE49-F238E27FC236}">
              <a16:creationId xmlns:a16="http://schemas.microsoft.com/office/drawing/2014/main" id="{5D602C49-202E-6816-83E9-BC54B826179E}"/>
            </a:ext>
          </a:extLst>
        </cdr:cNvPr>
        <cdr:cNvCxnSpPr/>
      </cdr:nvCxnSpPr>
      <cdr:spPr>
        <a:xfrm xmlns:a="http://schemas.openxmlformats.org/drawingml/2006/main">
          <a:off x="8424333" y="3058584"/>
          <a:ext cx="5292" cy="2799292"/>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0.3493</cdr:x>
      <cdr:y>0.42235</cdr:y>
    </cdr:from>
    <cdr:to>
      <cdr:x>0.54099</cdr:x>
      <cdr:y>0.42272</cdr:y>
    </cdr:to>
    <cdr:cxnSp macro="">
      <cdr:nvCxnSpPr>
        <cdr:cNvPr id="13" name="Straight Connector 12">
          <a:extLst xmlns:a="http://schemas.openxmlformats.org/drawingml/2006/main">
            <a:ext uri="{FF2B5EF4-FFF2-40B4-BE49-F238E27FC236}">
              <a16:creationId xmlns:a16="http://schemas.microsoft.com/office/drawing/2014/main" id="{5D07B631-CCCF-EFFE-45E2-A33F26F73708}"/>
            </a:ext>
          </a:extLst>
        </cdr:cNvPr>
        <cdr:cNvCxnSpPr/>
      </cdr:nvCxnSpPr>
      <cdr:spPr>
        <a:xfrm xmlns:a="http://schemas.openxmlformats.org/drawingml/2006/main">
          <a:off x="4932891" y="3620557"/>
          <a:ext cx="2707217" cy="3173"/>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0.27716</cdr:y>
    </cdr:from>
    <cdr:to>
      <cdr:x>0.54489</cdr:x>
      <cdr:y>0.27753</cdr:y>
    </cdr:to>
    <cdr:cxnSp macro="">
      <cdr:nvCxnSpPr>
        <cdr:cNvPr id="14" name="Straight Connector 13">
          <a:extLst xmlns:a="http://schemas.openxmlformats.org/drawingml/2006/main">
            <a:ext uri="{FF2B5EF4-FFF2-40B4-BE49-F238E27FC236}">
              <a16:creationId xmlns:a16="http://schemas.microsoft.com/office/drawing/2014/main" id="{DCBC84E5-ABB6-D3CF-5E5E-55769D7A4B43}"/>
            </a:ext>
          </a:extLst>
        </cdr:cNvPr>
        <cdr:cNvCxnSpPr/>
      </cdr:nvCxnSpPr>
      <cdr:spPr>
        <a:xfrm xmlns:a="http://schemas.openxmlformats.org/drawingml/2006/main">
          <a:off x="4987926" y="2375959"/>
          <a:ext cx="2707217" cy="3173"/>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0.4058</cdr:x>
      <cdr:y>0.32593</cdr:y>
    </cdr:from>
    <cdr:to>
      <cdr:x>0.40603</cdr:x>
      <cdr:y>0.68247</cdr:y>
    </cdr:to>
    <cdr:cxnSp macro="">
      <cdr:nvCxnSpPr>
        <cdr:cNvPr id="16" name="Straight Connector 15">
          <a:extLst xmlns:a="http://schemas.openxmlformats.org/drawingml/2006/main">
            <a:ext uri="{FF2B5EF4-FFF2-40B4-BE49-F238E27FC236}">
              <a16:creationId xmlns:a16="http://schemas.microsoft.com/office/drawing/2014/main" id="{6899F7E3-E4FA-0160-7C25-7A74AD1D540C}"/>
            </a:ext>
          </a:extLst>
        </cdr:cNvPr>
        <cdr:cNvCxnSpPr/>
      </cdr:nvCxnSpPr>
      <cdr:spPr>
        <a:xfrm xmlns:a="http://schemas.openxmlformats.org/drawingml/2006/main">
          <a:off x="5730875" y="2794000"/>
          <a:ext cx="3175" cy="3056467"/>
        </a:xfrm>
        <a:prstGeom xmlns:a="http://schemas.openxmlformats.org/drawingml/2006/main" prst="line">
          <a:avLst/>
        </a:prstGeom>
        <a:ln xmlns:a="http://schemas.openxmlformats.org/drawingml/2006/main">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1.bin"/><Relationship Id="rId1" Type="http://schemas.openxmlformats.org/officeDocument/2006/relationships/hyperlink" Target="https://dorel1.sharepoint.com/teams/JUVCI1/CI19/Applicable%20GPS/Forms/AllItems.aspx"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2:BL44"/>
  <sheetViews>
    <sheetView topLeftCell="A4" workbookViewId="0">
      <selection activeCell="C22" sqref="C22"/>
    </sheetView>
  </sheetViews>
  <sheetFormatPr defaultColWidth="8.85546875" defaultRowHeight="15"/>
  <cols>
    <col min="1" max="1" width="8.85546875" style="2"/>
    <col min="2" max="2" width="29.85546875" style="2" customWidth="1"/>
    <col min="3" max="16384" width="8.85546875" style="2"/>
  </cols>
  <sheetData>
    <row r="2" spans="2:64" ht="31.5">
      <c r="B2" s="36" t="s">
        <v>146</v>
      </c>
      <c r="C2" s="3"/>
      <c r="D2" s="3"/>
      <c r="E2" s="3"/>
      <c r="F2" s="3"/>
      <c r="G2" s="3"/>
      <c r="H2" s="3"/>
      <c r="I2" s="3"/>
      <c r="J2" s="3"/>
    </row>
    <row r="3" spans="2:64">
      <c r="B3" s="37" t="s">
        <v>147</v>
      </c>
      <c r="C3" s="3"/>
      <c r="D3" s="3"/>
      <c r="E3" s="3"/>
      <c r="F3" s="3"/>
      <c r="G3" s="3"/>
      <c r="H3" s="3"/>
      <c r="I3" s="3"/>
      <c r="J3" s="3"/>
    </row>
    <row r="4" spans="2:64">
      <c r="C4" s="3"/>
      <c r="D4" s="3"/>
      <c r="E4" s="3"/>
      <c r="F4" s="3"/>
      <c r="G4" s="3"/>
      <c r="H4" s="3"/>
      <c r="I4" s="3"/>
      <c r="J4" s="3"/>
    </row>
    <row r="5" spans="2:64">
      <c r="B5" s="2" t="s">
        <v>148</v>
      </c>
      <c r="C5" s="3"/>
      <c r="D5" s="3"/>
      <c r="E5" s="38"/>
      <c r="F5" s="3"/>
      <c r="G5" s="3"/>
      <c r="H5" s="3"/>
      <c r="I5" s="3"/>
      <c r="J5" s="3"/>
    </row>
    <row r="6" spans="2:64">
      <c r="C6" s="3"/>
      <c r="D6" s="3"/>
      <c r="E6" s="3"/>
      <c r="F6" s="3"/>
      <c r="G6" s="3"/>
      <c r="H6" s="3"/>
      <c r="I6" s="3"/>
      <c r="J6" s="3"/>
    </row>
    <row r="7" spans="2:64">
      <c r="C7" s="2" t="s">
        <v>149</v>
      </c>
      <c r="D7" s="3"/>
      <c r="E7" s="3"/>
      <c r="F7" s="3"/>
      <c r="G7" s="3"/>
      <c r="H7" s="3"/>
      <c r="I7" s="3"/>
      <c r="J7" s="3"/>
      <c r="L7" s="2" t="s">
        <v>150</v>
      </c>
      <c r="U7" s="2" t="s">
        <v>151</v>
      </c>
      <c r="AD7" s="2" t="s">
        <v>152</v>
      </c>
      <c r="AM7" s="2" t="s">
        <v>153</v>
      </c>
      <c r="AV7" s="2" t="s">
        <v>154</v>
      </c>
      <c r="BE7" s="2" t="s">
        <v>155</v>
      </c>
    </row>
    <row r="8" spans="2:64">
      <c r="C8" s="3"/>
      <c r="D8" s="3"/>
      <c r="E8" s="3"/>
      <c r="F8" s="3"/>
      <c r="G8" s="3"/>
      <c r="H8" s="3"/>
      <c r="I8" s="3"/>
      <c r="J8" s="3"/>
    </row>
    <row r="9" spans="2:64" ht="17.25">
      <c r="B9" s="39" t="s">
        <v>156</v>
      </c>
      <c r="C9" s="39" t="s">
        <v>157</v>
      </c>
      <c r="D9" s="39" t="s">
        <v>158</v>
      </c>
      <c r="E9" s="39" t="s">
        <v>159</v>
      </c>
      <c r="F9" s="39" t="s">
        <v>160</v>
      </c>
      <c r="G9" s="39" t="s">
        <v>161</v>
      </c>
      <c r="H9" s="39" t="s">
        <v>162</v>
      </c>
      <c r="I9" s="39" t="s">
        <v>163</v>
      </c>
      <c r="J9" s="39" t="s">
        <v>164</v>
      </c>
      <c r="K9" s="37"/>
      <c r="L9" s="39" t="s">
        <v>157</v>
      </c>
      <c r="M9" s="39" t="s">
        <v>158</v>
      </c>
      <c r="N9" s="39" t="s">
        <v>159</v>
      </c>
      <c r="O9" s="39" t="s">
        <v>160</v>
      </c>
      <c r="P9" s="39" t="s">
        <v>161</v>
      </c>
      <c r="Q9" s="39" t="s">
        <v>162</v>
      </c>
      <c r="R9" s="39" t="s">
        <v>163</v>
      </c>
      <c r="S9" s="39" t="s">
        <v>164</v>
      </c>
      <c r="T9" s="37"/>
      <c r="U9" s="39" t="s">
        <v>157</v>
      </c>
      <c r="V9" s="39" t="s">
        <v>158</v>
      </c>
      <c r="W9" s="39" t="s">
        <v>159</v>
      </c>
      <c r="X9" s="39" t="s">
        <v>160</v>
      </c>
      <c r="Y9" s="39" t="s">
        <v>161</v>
      </c>
      <c r="Z9" s="39" t="s">
        <v>162</v>
      </c>
      <c r="AA9" s="39" t="s">
        <v>163</v>
      </c>
      <c r="AB9" s="39" t="s">
        <v>164</v>
      </c>
      <c r="AC9" s="37"/>
      <c r="AD9" s="39" t="s">
        <v>157</v>
      </c>
      <c r="AE9" s="39" t="s">
        <v>158</v>
      </c>
      <c r="AF9" s="39" t="s">
        <v>159</v>
      </c>
      <c r="AG9" s="39" t="s">
        <v>160</v>
      </c>
      <c r="AH9" s="39" t="s">
        <v>161</v>
      </c>
      <c r="AI9" s="39" t="s">
        <v>162</v>
      </c>
      <c r="AJ9" s="39" t="s">
        <v>163</v>
      </c>
      <c r="AK9" s="39" t="s">
        <v>164</v>
      </c>
      <c r="AL9" s="37"/>
      <c r="AM9" s="39" t="s">
        <v>157</v>
      </c>
      <c r="AN9" s="39" t="s">
        <v>158</v>
      </c>
      <c r="AO9" s="39" t="s">
        <v>159</v>
      </c>
      <c r="AP9" s="39" t="s">
        <v>160</v>
      </c>
      <c r="AQ9" s="39" t="s">
        <v>161</v>
      </c>
      <c r="AR9" s="39" t="s">
        <v>162</v>
      </c>
      <c r="AS9" s="39" t="s">
        <v>163</v>
      </c>
      <c r="AT9" s="39" t="s">
        <v>164</v>
      </c>
      <c r="AU9" s="37"/>
      <c r="AV9" s="39" t="s">
        <v>157</v>
      </c>
      <c r="AW9" s="39" t="s">
        <v>158</v>
      </c>
      <c r="AX9" s="39" t="s">
        <v>159</v>
      </c>
      <c r="AY9" s="39" t="s">
        <v>160</v>
      </c>
      <c r="AZ9" s="39" t="s">
        <v>161</v>
      </c>
      <c r="BA9" s="39" t="s">
        <v>162</v>
      </c>
      <c r="BB9" s="39" t="s">
        <v>163</v>
      </c>
      <c r="BC9" s="39" t="s">
        <v>164</v>
      </c>
      <c r="BD9" s="37"/>
      <c r="BE9" s="39" t="s">
        <v>157</v>
      </c>
      <c r="BF9" s="39" t="s">
        <v>158</v>
      </c>
      <c r="BG9" s="39" t="s">
        <v>159</v>
      </c>
      <c r="BH9" s="39" t="s">
        <v>160</v>
      </c>
      <c r="BI9" s="39" t="s">
        <v>161</v>
      </c>
      <c r="BJ9" s="39" t="s">
        <v>162</v>
      </c>
      <c r="BK9" s="39" t="s">
        <v>163</v>
      </c>
      <c r="BL9" s="39" t="s">
        <v>164</v>
      </c>
    </row>
    <row r="10" spans="2:64">
      <c r="B10" s="40"/>
      <c r="C10" s="3"/>
      <c r="D10" s="3"/>
      <c r="E10" s="3"/>
      <c r="F10" s="3"/>
      <c r="G10" s="3"/>
      <c r="H10" s="3"/>
      <c r="I10" s="3"/>
      <c r="J10" s="3"/>
      <c r="AV10" s="3"/>
      <c r="AW10" s="3"/>
      <c r="AX10" s="3"/>
      <c r="AY10" s="3"/>
      <c r="AZ10" s="3"/>
      <c r="BA10" s="3"/>
      <c r="BB10" s="3"/>
      <c r="BC10" s="3"/>
      <c r="BE10" s="3"/>
      <c r="BF10" s="3"/>
      <c r="BG10" s="3"/>
      <c r="BH10" s="3"/>
      <c r="BI10" s="3"/>
      <c r="BJ10" s="3"/>
      <c r="BK10" s="3"/>
      <c r="BL10" s="3"/>
    </row>
    <row r="11" spans="2:64">
      <c r="B11" s="2" t="s">
        <v>165</v>
      </c>
      <c r="C11" s="3">
        <v>30</v>
      </c>
      <c r="D11" s="38">
        <v>5.0999999999999996</v>
      </c>
      <c r="E11" s="38">
        <v>0.1</v>
      </c>
      <c r="F11" s="38">
        <v>3.1</v>
      </c>
      <c r="G11" s="38">
        <v>3.2</v>
      </c>
      <c r="H11" s="38">
        <v>4.7</v>
      </c>
      <c r="I11" s="38">
        <v>6.9</v>
      </c>
      <c r="J11" s="38">
        <v>8</v>
      </c>
      <c r="L11" s="3">
        <v>29</v>
      </c>
      <c r="M11" s="38">
        <v>6.9</v>
      </c>
      <c r="N11" s="38">
        <v>1</v>
      </c>
      <c r="O11" s="38">
        <v>4.7</v>
      </c>
      <c r="P11" s="38">
        <v>4.9000000000000004</v>
      </c>
      <c r="Q11" s="38">
        <v>6.7</v>
      </c>
      <c r="R11" s="38">
        <v>8.1999999999999993</v>
      </c>
      <c r="S11" s="38">
        <v>9.1999999999999993</v>
      </c>
      <c r="U11" s="3">
        <v>28</v>
      </c>
      <c r="V11" s="38">
        <v>8.1</v>
      </c>
      <c r="W11" s="38">
        <v>0.9</v>
      </c>
      <c r="X11" s="38">
        <v>6.4</v>
      </c>
      <c r="Y11" s="38">
        <v>6.4</v>
      </c>
      <c r="Z11" s="38">
        <v>8</v>
      </c>
      <c r="AA11" s="38">
        <v>9.4</v>
      </c>
      <c r="AB11" s="38">
        <v>10</v>
      </c>
      <c r="AD11" s="3">
        <v>22</v>
      </c>
      <c r="AE11" s="38">
        <v>9.1999999999999993</v>
      </c>
      <c r="AF11" s="38">
        <v>1.1000000000000001</v>
      </c>
      <c r="AG11" s="38">
        <v>6.9</v>
      </c>
      <c r="AH11" s="38">
        <v>7</v>
      </c>
      <c r="AI11" s="38">
        <v>9.1</v>
      </c>
      <c r="AJ11" s="38">
        <v>10.9</v>
      </c>
      <c r="AK11" s="38">
        <v>11.1</v>
      </c>
      <c r="AM11" s="3">
        <v>28</v>
      </c>
      <c r="AN11" s="38">
        <v>10.1</v>
      </c>
      <c r="AO11" s="38">
        <v>1.2</v>
      </c>
      <c r="AP11" s="38">
        <v>8.3000000000000007</v>
      </c>
      <c r="AQ11" s="38">
        <v>8.4</v>
      </c>
      <c r="AR11" s="38">
        <v>10</v>
      </c>
      <c r="AS11" s="38">
        <v>12.6</v>
      </c>
      <c r="AT11" s="38">
        <v>13</v>
      </c>
      <c r="AV11" s="3">
        <v>19</v>
      </c>
      <c r="AW11" s="38">
        <v>10.6</v>
      </c>
      <c r="AX11" s="38">
        <v>1.2</v>
      </c>
      <c r="AY11" s="38">
        <v>8.3000000000000007</v>
      </c>
      <c r="AZ11" s="38" t="s">
        <v>166</v>
      </c>
      <c r="BA11" s="38">
        <v>10.6</v>
      </c>
      <c r="BB11" s="38" t="s">
        <v>166</v>
      </c>
      <c r="BC11" s="38">
        <v>13.5</v>
      </c>
      <c r="BE11" s="3">
        <v>24</v>
      </c>
      <c r="BF11" s="38">
        <v>11.5</v>
      </c>
      <c r="BG11" s="38">
        <v>1.5</v>
      </c>
      <c r="BH11" s="38">
        <v>7.5</v>
      </c>
      <c r="BI11" s="38">
        <v>7.8</v>
      </c>
      <c r="BJ11" s="38">
        <v>11.6</v>
      </c>
      <c r="BK11" s="38">
        <v>13.2</v>
      </c>
      <c r="BL11" s="38">
        <v>15.3</v>
      </c>
    </row>
    <row r="12" spans="2:64">
      <c r="B12" s="41" t="s">
        <v>167</v>
      </c>
      <c r="C12" s="3">
        <v>31</v>
      </c>
      <c r="D12" s="38">
        <v>56.3</v>
      </c>
      <c r="E12" s="38">
        <v>3.9</v>
      </c>
      <c r="F12" s="38">
        <v>50.5</v>
      </c>
      <c r="G12" s="38">
        <v>50.7</v>
      </c>
      <c r="H12" s="38">
        <v>55.5</v>
      </c>
      <c r="I12" s="38">
        <v>63.3</v>
      </c>
      <c r="J12" s="38">
        <v>64.099999999999994</v>
      </c>
      <c r="L12" s="3">
        <v>45</v>
      </c>
      <c r="M12" s="38">
        <v>63.1</v>
      </c>
      <c r="N12" s="38">
        <v>3.6</v>
      </c>
      <c r="O12" s="38">
        <v>54.1</v>
      </c>
      <c r="P12" s="38">
        <v>56.2</v>
      </c>
      <c r="Q12" s="38">
        <v>63.3</v>
      </c>
      <c r="R12" s="38">
        <v>68.2</v>
      </c>
      <c r="S12" s="38">
        <v>69.099999999999994</v>
      </c>
      <c r="U12" s="3">
        <v>31</v>
      </c>
      <c r="V12" s="38">
        <v>68.5</v>
      </c>
      <c r="W12" s="38">
        <v>2.6</v>
      </c>
      <c r="X12" s="38">
        <v>63.4</v>
      </c>
      <c r="Y12" s="38">
        <v>64.2</v>
      </c>
      <c r="Z12" s="38">
        <v>68.7</v>
      </c>
      <c r="AA12" s="38">
        <v>72.2</v>
      </c>
      <c r="AB12" s="38">
        <v>72.8</v>
      </c>
      <c r="AD12" s="3">
        <v>26</v>
      </c>
      <c r="AE12" s="38">
        <v>73</v>
      </c>
      <c r="AF12" s="38">
        <v>3.3</v>
      </c>
      <c r="AG12" s="38">
        <v>65.900000000000006</v>
      </c>
      <c r="AH12" s="38">
        <v>66.2</v>
      </c>
      <c r="AI12" s="38">
        <v>73</v>
      </c>
      <c r="AJ12" s="38">
        <v>77.400000000000006</v>
      </c>
      <c r="AK12" s="38">
        <v>79.099999999999994</v>
      </c>
      <c r="AM12" s="3">
        <v>32</v>
      </c>
      <c r="AN12" s="38">
        <v>76.5</v>
      </c>
      <c r="AO12" s="38">
        <v>3.2</v>
      </c>
      <c r="AP12" s="38">
        <v>69.400000000000006</v>
      </c>
      <c r="AQ12" s="38">
        <v>69.8</v>
      </c>
      <c r="AR12" s="38">
        <v>76.7</v>
      </c>
      <c r="AS12" s="38">
        <v>80.7</v>
      </c>
      <c r="AT12" s="38">
        <v>84.8</v>
      </c>
      <c r="AV12" s="3">
        <v>27</v>
      </c>
      <c r="AW12" s="38">
        <v>79.2</v>
      </c>
      <c r="AX12" s="38">
        <v>3.4</v>
      </c>
      <c r="AY12" s="38">
        <v>72.3</v>
      </c>
      <c r="AZ12" s="38">
        <v>72.599999999999994</v>
      </c>
      <c r="BA12" s="38">
        <v>79</v>
      </c>
      <c r="BB12" s="38">
        <v>84.6</v>
      </c>
      <c r="BC12" s="38">
        <v>85.9</v>
      </c>
      <c r="BE12" s="3">
        <v>31</v>
      </c>
      <c r="BF12" s="38">
        <v>82.6</v>
      </c>
      <c r="BG12" s="38">
        <v>4</v>
      </c>
      <c r="BH12" s="38">
        <v>73.599999999999994</v>
      </c>
      <c r="BI12" s="38">
        <v>74.400000000000006</v>
      </c>
      <c r="BJ12" s="38">
        <v>82.5</v>
      </c>
      <c r="BK12" s="38">
        <v>88.3</v>
      </c>
      <c r="BL12" s="38">
        <v>89.8</v>
      </c>
    </row>
    <row r="13" spans="2:64">
      <c r="B13" s="41" t="s">
        <v>168</v>
      </c>
      <c r="C13" s="3">
        <v>31</v>
      </c>
      <c r="D13" s="38">
        <v>39.1</v>
      </c>
      <c r="E13" s="38">
        <v>2.8</v>
      </c>
      <c r="F13" s="38">
        <v>34.5</v>
      </c>
      <c r="G13" s="38">
        <v>34.700000000000003</v>
      </c>
      <c r="H13" s="38">
        <v>38.4</v>
      </c>
      <c r="I13" s="38">
        <v>43</v>
      </c>
      <c r="J13" s="38">
        <v>44.3</v>
      </c>
      <c r="L13" s="3">
        <v>45</v>
      </c>
      <c r="M13" s="38">
        <v>42.3</v>
      </c>
      <c r="N13" s="38">
        <v>2.4</v>
      </c>
      <c r="O13" s="38">
        <v>36.4</v>
      </c>
      <c r="P13" s="38">
        <v>37.5</v>
      </c>
      <c r="Q13" s="38">
        <v>42.2</v>
      </c>
      <c r="R13" s="38">
        <v>45.8</v>
      </c>
      <c r="S13" s="38">
        <v>48</v>
      </c>
      <c r="U13" s="3">
        <v>31</v>
      </c>
      <c r="V13" s="38">
        <v>45.7</v>
      </c>
      <c r="W13" s="38">
        <v>2.2999999999999998</v>
      </c>
      <c r="X13" s="38">
        <v>42.2</v>
      </c>
      <c r="Y13" s="38">
        <v>42.3</v>
      </c>
      <c r="Z13" s="38">
        <v>45.3</v>
      </c>
      <c r="AA13" s="38">
        <v>50</v>
      </c>
      <c r="AB13" s="38">
        <v>51.5</v>
      </c>
      <c r="AD13" s="3">
        <v>26</v>
      </c>
      <c r="AE13" s="38">
        <v>47.6</v>
      </c>
      <c r="AF13" s="38">
        <v>2.2000000000000002</v>
      </c>
      <c r="AG13" s="38">
        <v>42.8</v>
      </c>
      <c r="AH13" s="38">
        <v>43.3</v>
      </c>
      <c r="AI13" s="38">
        <v>48</v>
      </c>
      <c r="AJ13" s="38">
        <v>50.7</v>
      </c>
      <c r="AK13" s="38">
        <v>53</v>
      </c>
      <c r="AM13" s="3">
        <v>32</v>
      </c>
      <c r="AN13" s="38">
        <v>49</v>
      </c>
      <c r="AO13" s="38">
        <v>2.1</v>
      </c>
      <c r="AP13" s="38">
        <v>44.2</v>
      </c>
      <c r="AQ13" s="38">
        <v>44.6</v>
      </c>
      <c r="AR13" s="38">
        <v>48.9</v>
      </c>
      <c r="AS13" s="38">
        <v>51.8</v>
      </c>
      <c r="AT13" s="38">
        <v>52.2</v>
      </c>
      <c r="AV13" s="3">
        <v>29</v>
      </c>
      <c r="AW13" s="38">
        <v>49.8</v>
      </c>
      <c r="AX13" s="38">
        <v>2</v>
      </c>
      <c r="AY13" s="38">
        <v>45.8</v>
      </c>
      <c r="AZ13" s="38">
        <v>46.6</v>
      </c>
      <c r="BA13" s="38">
        <v>49.1</v>
      </c>
      <c r="BB13" s="38">
        <v>53.5</v>
      </c>
      <c r="BC13" s="38">
        <v>55.1</v>
      </c>
      <c r="BE13" s="3">
        <v>31</v>
      </c>
      <c r="BF13" s="38">
        <v>51.5</v>
      </c>
      <c r="BG13" s="38">
        <v>2.4</v>
      </c>
      <c r="BH13" s="38">
        <v>46</v>
      </c>
      <c r="BI13" s="38">
        <v>46.9</v>
      </c>
      <c r="BJ13" s="38">
        <v>51.5</v>
      </c>
      <c r="BK13" s="38">
        <v>54.9</v>
      </c>
      <c r="BL13" s="38">
        <v>55.2</v>
      </c>
    </row>
    <row r="14" spans="2:64">
      <c r="B14" s="2" t="s">
        <v>169</v>
      </c>
      <c r="C14" s="3">
        <v>30</v>
      </c>
      <c r="D14" s="38">
        <v>38.5</v>
      </c>
      <c r="E14" s="38">
        <v>1.9</v>
      </c>
      <c r="F14" s="38">
        <v>35.299999999999997</v>
      </c>
      <c r="G14" s="38">
        <v>35.4</v>
      </c>
      <c r="H14" s="38">
        <v>38.799999999999997</v>
      </c>
      <c r="I14" s="38">
        <v>41.2</v>
      </c>
      <c r="J14" s="38">
        <v>42.2</v>
      </c>
      <c r="L14" s="3">
        <v>44</v>
      </c>
      <c r="M14" s="38">
        <v>41.7</v>
      </c>
      <c r="N14" s="38">
        <v>1.4</v>
      </c>
      <c r="O14" s="38">
        <v>38.9</v>
      </c>
      <c r="P14" s="38">
        <v>39.6</v>
      </c>
      <c r="Q14" s="38">
        <v>41.8</v>
      </c>
      <c r="R14" s="38">
        <v>44</v>
      </c>
      <c r="S14" s="38">
        <v>44.7</v>
      </c>
      <c r="U14" s="3">
        <v>28</v>
      </c>
      <c r="V14" s="38">
        <v>43.9</v>
      </c>
      <c r="W14" s="38">
        <v>1.3</v>
      </c>
      <c r="X14" s="38">
        <v>42.1</v>
      </c>
      <c r="Y14" s="38">
        <v>42.1</v>
      </c>
      <c r="Z14" s="38">
        <v>43.7</v>
      </c>
      <c r="AA14" s="38">
        <v>45.8</v>
      </c>
      <c r="AB14" s="38">
        <v>46.8</v>
      </c>
      <c r="AD14" s="3">
        <v>27</v>
      </c>
      <c r="AE14" s="38">
        <v>45.5</v>
      </c>
      <c r="AF14" s="38">
        <v>1.4</v>
      </c>
      <c r="AG14" s="38">
        <v>43.1</v>
      </c>
      <c r="AH14" s="38">
        <v>43.1</v>
      </c>
      <c r="AI14" s="38">
        <v>45.5</v>
      </c>
      <c r="AJ14" s="38">
        <v>47.5</v>
      </c>
      <c r="AK14" s="38">
        <v>48.4</v>
      </c>
      <c r="AM14" s="3">
        <v>29</v>
      </c>
      <c r="AN14" s="38">
        <v>46.6</v>
      </c>
      <c r="AO14" s="38">
        <v>1.4</v>
      </c>
      <c r="AP14" s="38">
        <v>43.8</v>
      </c>
      <c r="AQ14" s="38">
        <v>44.1</v>
      </c>
      <c r="AR14" s="38">
        <v>46.6</v>
      </c>
      <c r="AS14" s="38">
        <v>48.5</v>
      </c>
      <c r="AT14" s="38">
        <v>50</v>
      </c>
      <c r="AV14" s="3">
        <v>27</v>
      </c>
      <c r="AW14" s="38">
        <v>46.8</v>
      </c>
      <c r="AX14" s="38">
        <v>1.8</v>
      </c>
      <c r="AY14" s="38">
        <v>43.1</v>
      </c>
      <c r="AZ14" s="38">
        <v>43.4</v>
      </c>
      <c r="BA14" s="38">
        <v>46.1</v>
      </c>
      <c r="BB14" s="38">
        <v>49.8</v>
      </c>
      <c r="BC14" s="38">
        <v>50</v>
      </c>
      <c r="BE14" s="3">
        <v>31</v>
      </c>
      <c r="BF14" s="38">
        <v>47.8</v>
      </c>
      <c r="BG14" s="38">
        <v>1.9</v>
      </c>
      <c r="BH14" s="38">
        <v>44.6</v>
      </c>
      <c r="BI14" s="38">
        <v>44.6</v>
      </c>
      <c r="BJ14" s="38">
        <v>47.7</v>
      </c>
      <c r="BK14" s="38">
        <v>50.8</v>
      </c>
      <c r="BL14" s="38">
        <v>51.2</v>
      </c>
    </row>
    <row r="15" spans="2:64">
      <c r="B15" s="2" t="s">
        <v>170</v>
      </c>
      <c r="C15" s="3">
        <v>31</v>
      </c>
      <c r="D15" s="38">
        <v>10.4</v>
      </c>
      <c r="E15" s="38">
        <v>0.5</v>
      </c>
      <c r="F15" s="38">
        <v>9.5</v>
      </c>
      <c r="G15" s="38">
        <v>9.5</v>
      </c>
      <c r="H15" s="38">
        <v>10.3</v>
      </c>
      <c r="I15" s="38">
        <v>11.2</v>
      </c>
      <c r="J15" s="38">
        <v>11.3</v>
      </c>
      <c r="L15" s="3">
        <v>44</v>
      </c>
      <c r="M15" s="38">
        <v>11.4</v>
      </c>
      <c r="N15" s="38">
        <v>0.5</v>
      </c>
      <c r="O15" s="38">
        <v>10.4</v>
      </c>
      <c r="P15" s="38">
        <v>10.5</v>
      </c>
      <c r="Q15" s="38">
        <v>11.3</v>
      </c>
      <c r="R15" s="38">
        <v>12.2</v>
      </c>
      <c r="S15" s="38">
        <v>12.3</v>
      </c>
      <c r="U15" s="3">
        <v>30</v>
      </c>
      <c r="V15" s="38">
        <v>11.8</v>
      </c>
      <c r="W15" s="38">
        <v>0.4</v>
      </c>
      <c r="X15" s="38">
        <v>11.1</v>
      </c>
      <c r="Y15" s="38">
        <v>11.1</v>
      </c>
      <c r="Z15" s="38">
        <v>11.8</v>
      </c>
      <c r="AA15" s="38">
        <v>12.4</v>
      </c>
      <c r="AB15" s="38">
        <v>12.6</v>
      </c>
      <c r="AD15" s="3">
        <v>27</v>
      </c>
      <c r="AE15" s="38">
        <v>12.2</v>
      </c>
      <c r="AF15" s="38">
        <v>0.5</v>
      </c>
      <c r="AG15" s="38">
        <v>11.3</v>
      </c>
      <c r="AH15" s="38">
        <v>11.4</v>
      </c>
      <c r="AI15" s="38">
        <v>12.1</v>
      </c>
      <c r="AJ15" s="38">
        <v>12.9</v>
      </c>
      <c r="AK15" s="38">
        <v>13.6</v>
      </c>
      <c r="AM15" s="3">
        <v>31</v>
      </c>
      <c r="AN15" s="38">
        <v>12.7</v>
      </c>
      <c r="AO15" s="38">
        <v>0.4</v>
      </c>
      <c r="AP15" s="38">
        <v>12</v>
      </c>
      <c r="AQ15" s="38">
        <v>12</v>
      </c>
      <c r="AR15" s="38">
        <v>12.7</v>
      </c>
      <c r="AS15" s="38">
        <v>13.5</v>
      </c>
      <c r="AT15" s="38">
        <v>13.6</v>
      </c>
      <c r="AV15" s="3">
        <v>29</v>
      </c>
      <c r="AW15" s="38">
        <v>12.7</v>
      </c>
      <c r="AX15" s="38">
        <v>0.4</v>
      </c>
      <c r="AY15" s="38">
        <v>11.8</v>
      </c>
      <c r="AZ15" s="38">
        <v>11.9</v>
      </c>
      <c r="BA15" s="38">
        <v>12.6</v>
      </c>
      <c r="BB15" s="38">
        <v>13.2</v>
      </c>
      <c r="BC15" s="38">
        <v>13.3</v>
      </c>
      <c r="BE15" s="3">
        <v>31</v>
      </c>
      <c r="BF15" s="38">
        <v>12.9</v>
      </c>
      <c r="BG15" s="38">
        <v>0.5</v>
      </c>
      <c r="BH15" s="38">
        <v>12.1</v>
      </c>
      <c r="BI15" s="38">
        <v>12.1</v>
      </c>
      <c r="BJ15" s="38">
        <v>12.9</v>
      </c>
      <c r="BK15" s="38">
        <v>13.6</v>
      </c>
      <c r="BL15" s="38">
        <v>13.7</v>
      </c>
    </row>
    <row r="16" spans="2:64">
      <c r="B16" s="2" t="s">
        <v>171</v>
      </c>
      <c r="C16" s="3">
        <v>31</v>
      </c>
      <c r="D16" s="38">
        <v>13.4</v>
      </c>
      <c r="E16" s="38">
        <v>0.8</v>
      </c>
      <c r="F16" s="38">
        <v>12.2</v>
      </c>
      <c r="G16" s="38">
        <v>12.3</v>
      </c>
      <c r="H16" s="38">
        <v>13.4</v>
      </c>
      <c r="I16" s="38">
        <v>14.7</v>
      </c>
      <c r="J16" s="38">
        <v>15.1</v>
      </c>
      <c r="L16" s="3">
        <v>44</v>
      </c>
      <c r="M16" s="38">
        <v>14.6</v>
      </c>
      <c r="N16" s="38">
        <v>0.6</v>
      </c>
      <c r="O16" s="38">
        <v>13.6</v>
      </c>
      <c r="P16" s="38">
        <v>13.7</v>
      </c>
      <c r="Q16" s="38">
        <v>14.5</v>
      </c>
      <c r="R16" s="38">
        <v>15.6</v>
      </c>
      <c r="S16" s="38">
        <v>15.8</v>
      </c>
      <c r="U16" s="3">
        <v>29</v>
      </c>
      <c r="V16" s="38">
        <v>15.5</v>
      </c>
      <c r="W16" s="38">
        <v>0.6</v>
      </c>
      <c r="X16" s="38">
        <v>14.2</v>
      </c>
      <c r="Y16" s="38">
        <v>14.3</v>
      </c>
      <c r="Z16" s="38">
        <v>15.5</v>
      </c>
      <c r="AA16" s="38">
        <v>16.399999999999999</v>
      </c>
      <c r="AB16" s="38">
        <v>16.7</v>
      </c>
      <c r="AD16" s="3">
        <v>27</v>
      </c>
      <c r="AE16" s="38">
        <v>16</v>
      </c>
      <c r="AF16" s="38">
        <v>0.7</v>
      </c>
      <c r="AG16" s="38">
        <v>14.5</v>
      </c>
      <c r="AH16" s="38">
        <v>14.7</v>
      </c>
      <c r="AI16" s="38">
        <v>16.100000000000001</v>
      </c>
      <c r="AJ16" s="38">
        <v>16.8</v>
      </c>
      <c r="AK16" s="38">
        <v>17.899999999999999</v>
      </c>
      <c r="AM16" s="3">
        <v>31</v>
      </c>
      <c r="AN16" s="38">
        <v>16.7</v>
      </c>
      <c r="AO16" s="38">
        <v>0.7</v>
      </c>
      <c r="AP16" s="38">
        <v>15.5</v>
      </c>
      <c r="AQ16" s="38">
        <v>15.6</v>
      </c>
      <c r="AR16" s="38">
        <v>16.5</v>
      </c>
      <c r="AS16" s="38">
        <v>17.600000000000001</v>
      </c>
      <c r="AT16" s="38">
        <v>18.8</v>
      </c>
      <c r="AV16" s="3">
        <v>29</v>
      </c>
      <c r="AW16" s="38">
        <v>16.7</v>
      </c>
      <c r="AX16" s="38">
        <v>0.7</v>
      </c>
      <c r="AY16" s="38">
        <v>15.3</v>
      </c>
      <c r="AZ16" s="38">
        <v>15.5</v>
      </c>
      <c r="BA16" s="38">
        <v>16.5</v>
      </c>
      <c r="BB16" s="38">
        <v>17.8</v>
      </c>
      <c r="BC16" s="38">
        <v>18</v>
      </c>
      <c r="BE16" s="3">
        <v>31</v>
      </c>
      <c r="BF16" s="38">
        <v>17.100000000000001</v>
      </c>
      <c r="BG16" s="38">
        <v>0.8</v>
      </c>
      <c r="BH16" s="38">
        <v>15.7</v>
      </c>
      <c r="BI16" s="38">
        <v>15.7</v>
      </c>
      <c r="BJ16" s="38">
        <v>17.2</v>
      </c>
      <c r="BK16" s="38">
        <v>18.399999999999999</v>
      </c>
      <c r="BL16" s="38">
        <v>18.600000000000001</v>
      </c>
    </row>
    <row r="17" spans="2:64">
      <c r="B17" s="41" t="s">
        <v>172</v>
      </c>
      <c r="C17" s="3">
        <v>31</v>
      </c>
      <c r="D17" s="38">
        <v>16.7</v>
      </c>
      <c r="E17" s="38">
        <v>1.6</v>
      </c>
      <c r="F17" s="38">
        <v>13.8</v>
      </c>
      <c r="G17" s="38">
        <v>14</v>
      </c>
      <c r="H17" s="38">
        <v>16.3</v>
      </c>
      <c r="I17" s="38">
        <v>19.399999999999999</v>
      </c>
      <c r="J17" s="38">
        <v>20</v>
      </c>
      <c r="L17" s="3">
        <v>44</v>
      </c>
      <c r="M17" s="38">
        <v>18.7</v>
      </c>
      <c r="N17" s="38">
        <v>1.4</v>
      </c>
      <c r="O17" s="38">
        <v>15.6</v>
      </c>
      <c r="P17" s="38">
        <v>16.5</v>
      </c>
      <c r="Q17" s="38">
        <v>18.899999999999999</v>
      </c>
      <c r="R17" s="38">
        <v>20.399999999999999</v>
      </c>
      <c r="S17" s="38">
        <v>21.8</v>
      </c>
      <c r="U17" s="3">
        <v>30</v>
      </c>
      <c r="V17" s="38">
        <v>20.100000000000001</v>
      </c>
      <c r="W17" s="38">
        <v>1.2</v>
      </c>
      <c r="X17" s="38">
        <v>17.5</v>
      </c>
      <c r="Y17" s="38">
        <v>18</v>
      </c>
      <c r="Z17" s="38">
        <v>19.600000000000001</v>
      </c>
      <c r="AA17" s="38">
        <v>22</v>
      </c>
      <c r="AB17" s="38">
        <v>22.6</v>
      </c>
      <c r="AD17" s="3">
        <v>27</v>
      </c>
      <c r="AE17" s="38">
        <v>21.1</v>
      </c>
      <c r="AF17" s="38">
        <v>1.3</v>
      </c>
      <c r="AG17" s="38">
        <v>19.2</v>
      </c>
      <c r="AH17" s="38">
        <v>19.3</v>
      </c>
      <c r="AI17" s="38">
        <v>20.8</v>
      </c>
      <c r="AJ17" s="38">
        <v>23.1</v>
      </c>
      <c r="AK17" s="38">
        <v>23.3</v>
      </c>
      <c r="AM17" s="3">
        <v>29</v>
      </c>
      <c r="AN17" s="38">
        <v>21.3</v>
      </c>
      <c r="AO17" s="38">
        <v>1.3</v>
      </c>
      <c r="AP17" s="38">
        <v>18.7</v>
      </c>
      <c r="AQ17" s="38">
        <v>19</v>
      </c>
      <c r="AR17" s="38">
        <v>21.1</v>
      </c>
      <c r="AS17" s="38">
        <v>23.3</v>
      </c>
      <c r="AT17" s="38">
        <v>23.7</v>
      </c>
      <c r="AV17" s="3">
        <v>29</v>
      </c>
      <c r="AW17" s="38">
        <v>21.7</v>
      </c>
      <c r="AX17" s="38">
        <v>1.3</v>
      </c>
      <c r="AY17" s="38">
        <v>19.2</v>
      </c>
      <c r="AZ17" s="38">
        <v>19.2</v>
      </c>
      <c r="BA17" s="38">
        <v>21.6</v>
      </c>
      <c r="BB17" s="38">
        <v>23.6</v>
      </c>
      <c r="BC17" s="38">
        <v>24.5</v>
      </c>
      <c r="BE17" s="3">
        <v>31</v>
      </c>
      <c r="BF17" s="38">
        <v>22.4</v>
      </c>
      <c r="BG17" s="38">
        <v>1.3</v>
      </c>
      <c r="BH17" s="38">
        <v>20.100000000000001</v>
      </c>
      <c r="BI17" s="38">
        <v>20.3</v>
      </c>
      <c r="BJ17" s="38">
        <v>22.1</v>
      </c>
      <c r="BK17" s="38">
        <v>23.9</v>
      </c>
      <c r="BL17" s="38">
        <v>25.5</v>
      </c>
    </row>
    <row r="18" spans="2:64">
      <c r="B18" s="2" t="s">
        <v>173</v>
      </c>
      <c r="C18" s="3">
        <v>31</v>
      </c>
      <c r="D18" s="38">
        <v>10.9</v>
      </c>
      <c r="E18" s="38">
        <v>0.9</v>
      </c>
      <c r="F18" s="38">
        <v>9.3000000000000007</v>
      </c>
      <c r="G18" s="38">
        <v>9.3000000000000007</v>
      </c>
      <c r="H18" s="38">
        <v>10.9</v>
      </c>
      <c r="I18" s="38">
        <v>12.4</v>
      </c>
      <c r="J18" s="38">
        <v>12.7</v>
      </c>
      <c r="L18" s="3">
        <v>44</v>
      </c>
      <c r="M18" s="38">
        <v>12.3</v>
      </c>
      <c r="N18" s="38">
        <v>1</v>
      </c>
      <c r="O18" s="38">
        <v>9.8000000000000007</v>
      </c>
      <c r="P18" s="38">
        <v>10.7</v>
      </c>
      <c r="Q18" s="38">
        <v>12.2</v>
      </c>
      <c r="R18" s="38">
        <v>13.8</v>
      </c>
      <c r="S18" s="38">
        <v>14.3</v>
      </c>
      <c r="U18" s="3">
        <v>31</v>
      </c>
      <c r="V18" s="38">
        <v>13.1</v>
      </c>
      <c r="W18" s="38">
        <v>1.2</v>
      </c>
      <c r="X18" s="38">
        <v>10.7</v>
      </c>
      <c r="Y18" s="38">
        <v>10.8</v>
      </c>
      <c r="Z18" s="38">
        <v>13.2</v>
      </c>
      <c r="AA18" s="38">
        <v>14.7</v>
      </c>
      <c r="AB18" s="38">
        <v>14.9</v>
      </c>
      <c r="AD18" s="3">
        <v>27</v>
      </c>
      <c r="AE18" s="38">
        <v>14.5</v>
      </c>
      <c r="AF18" s="38">
        <v>1</v>
      </c>
      <c r="AG18" s="38">
        <v>11.8</v>
      </c>
      <c r="AH18" s="38">
        <v>12.3</v>
      </c>
      <c r="AI18" s="38">
        <v>14.3</v>
      </c>
      <c r="AJ18" s="38">
        <v>15.6</v>
      </c>
      <c r="AK18" s="38">
        <v>17.7</v>
      </c>
      <c r="AM18" s="3">
        <v>32</v>
      </c>
      <c r="AN18" s="38">
        <v>14.9</v>
      </c>
      <c r="AO18" s="38">
        <v>1</v>
      </c>
      <c r="AP18" s="38">
        <v>12.6</v>
      </c>
      <c r="AQ18" s="38">
        <v>12.9</v>
      </c>
      <c r="AR18" s="38">
        <v>15</v>
      </c>
      <c r="AS18" s="38">
        <v>16.2</v>
      </c>
      <c r="AT18" s="38">
        <v>17.600000000000001</v>
      </c>
      <c r="AV18" s="3">
        <v>29</v>
      </c>
      <c r="AW18" s="38">
        <v>15.4</v>
      </c>
      <c r="AX18" s="38">
        <v>0.8</v>
      </c>
      <c r="AY18" s="38">
        <v>13.6</v>
      </c>
      <c r="AZ18" s="38">
        <v>13.8</v>
      </c>
      <c r="BA18" s="38">
        <v>15.2</v>
      </c>
      <c r="BB18" s="38">
        <v>16.600000000000001</v>
      </c>
      <c r="BC18" s="38">
        <v>17.3</v>
      </c>
      <c r="BE18" s="3">
        <v>31</v>
      </c>
      <c r="BF18" s="38">
        <v>16.2</v>
      </c>
      <c r="BG18" s="38">
        <v>1</v>
      </c>
      <c r="BH18" s="38">
        <v>13.9</v>
      </c>
      <c r="BI18" s="38">
        <v>14.2</v>
      </c>
      <c r="BJ18" s="38">
        <v>16.100000000000001</v>
      </c>
      <c r="BK18" s="38">
        <v>17.399999999999999</v>
      </c>
      <c r="BL18" s="38">
        <v>18.600000000000001</v>
      </c>
    </row>
    <row r="19" spans="2:64">
      <c r="B19" s="2" t="s">
        <v>174</v>
      </c>
      <c r="C19" s="3">
        <v>31</v>
      </c>
      <c r="D19" s="38">
        <v>11.8</v>
      </c>
      <c r="E19" s="38">
        <v>1.5</v>
      </c>
      <c r="F19" s="38">
        <v>9.6</v>
      </c>
      <c r="G19" s="38">
        <v>9.6999999999999993</v>
      </c>
      <c r="H19" s="38">
        <v>11.6</v>
      </c>
      <c r="I19" s="38">
        <v>13.3</v>
      </c>
      <c r="J19" s="38">
        <v>17.600000000000001</v>
      </c>
      <c r="L19" s="3">
        <v>44</v>
      </c>
      <c r="M19" s="38">
        <v>13</v>
      </c>
      <c r="N19" s="38">
        <v>1.2</v>
      </c>
      <c r="O19" s="38">
        <v>10.3</v>
      </c>
      <c r="P19" s="38">
        <v>10.7</v>
      </c>
      <c r="Q19" s="38">
        <v>13</v>
      </c>
      <c r="R19" s="38">
        <v>14.6</v>
      </c>
      <c r="S19" s="38">
        <v>15.7</v>
      </c>
      <c r="U19" s="3">
        <v>30</v>
      </c>
      <c r="V19" s="38">
        <v>14</v>
      </c>
      <c r="W19" s="38">
        <v>1</v>
      </c>
      <c r="X19" s="38">
        <v>12.1</v>
      </c>
      <c r="Y19" s="38">
        <v>12.1</v>
      </c>
      <c r="Z19" s="38">
        <v>14</v>
      </c>
      <c r="AA19" s="38">
        <v>15.7</v>
      </c>
      <c r="AB19" s="38">
        <v>16.600000000000001</v>
      </c>
      <c r="AD19" s="3">
        <v>27</v>
      </c>
      <c r="AE19" s="38">
        <v>14.8</v>
      </c>
      <c r="AF19" s="38">
        <v>1</v>
      </c>
      <c r="AG19" s="38">
        <v>12.8</v>
      </c>
      <c r="AH19" s="38">
        <v>12.9</v>
      </c>
      <c r="AI19" s="38">
        <v>14.6</v>
      </c>
      <c r="AJ19" s="38">
        <v>16.100000000000001</v>
      </c>
      <c r="AK19" s="38">
        <v>17.899999999999999</v>
      </c>
      <c r="AM19" s="3">
        <v>32</v>
      </c>
      <c r="AN19" s="38">
        <v>14.5</v>
      </c>
      <c r="AO19" s="38">
        <v>1.1000000000000001</v>
      </c>
      <c r="AP19" s="38">
        <v>12.3</v>
      </c>
      <c r="AQ19" s="38">
        <v>12.7</v>
      </c>
      <c r="AR19" s="38">
        <v>14.6</v>
      </c>
      <c r="AS19" s="38">
        <v>16.399999999999999</v>
      </c>
      <c r="AT19" s="38">
        <v>16.600000000000001</v>
      </c>
      <c r="AV19" s="3">
        <v>29</v>
      </c>
      <c r="AW19" s="38">
        <v>14.7</v>
      </c>
      <c r="AX19" s="38">
        <v>1.3</v>
      </c>
      <c r="AY19" s="38">
        <v>12.7</v>
      </c>
      <c r="AZ19" s="38">
        <v>12.7</v>
      </c>
      <c r="BA19" s="38">
        <v>14.3</v>
      </c>
      <c r="BB19" s="38">
        <v>16.600000000000001</v>
      </c>
      <c r="BC19" s="38">
        <v>17.8</v>
      </c>
      <c r="BE19" s="3">
        <v>31</v>
      </c>
      <c r="BF19" s="38">
        <v>15</v>
      </c>
      <c r="BG19" s="38">
        <v>1</v>
      </c>
      <c r="BH19" s="38">
        <v>12.2</v>
      </c>
      <c r="BI19" s="38">
        <v>12.9</v>
      </c>
      <c r="BJ19" s="38">
        <v>15</v>
      </c>
      <c r="BK19" s="38">
        <v>16.3</v>
      </c>
      <c r="BL19" s="38">
        <v>16.8</v>
      </c>
    </row>
    <row r="20" spans="2:64">
      <c r="B20" s="2" t="s">
        <v>175</v>
      </c>
      <c r="C20" s="3">
        <v>31</v>
      </c>
      <c r="D20" s="38">
        <v>14.9</v>
      </c>
      <c r="E20" s="38">
        <v>1</v>
      </c>
      <c r="F20" s="38">
        <v>13.1</v>
      </c>
      <c r="G20" s="38">
        <v>13.2</v>
      </c>
      <c r="H20" s="38">
        <v>14.7</v>
      </c>
      <c r="I20" s="38">
        <v>16.600000000000001</v>
      </c>
      <c r="J20" s="38">
        <v>17.2</v>
      </c>
      <c r="L20" s="3">
        <v>44</v>
      </c>
      <c r="M20" s="38">
        <v>16.600000000000001</v>
      </c>
      <c r="N20" s="38">
        <v>1.3</v>
      </c>
      <c r="O20" s="38">
        <v>13.7</v>
      </c>
      <c r="P20" s="38">
        <v>14.1</v>
      </c>
      <c r="Q20" s="38">
        <v>16.7</v>
      </c>
      <c r="R20" s="38">
        <v>18.5</v>
      </c>
      <c r="S20" s="38">
        <v>19.2</v>
      </c>
      <c r="U20" s="3">
        <v>30</v>
      </c>
      <c r="V20" s="38">
        <v>18</v>
      </c>
      <c r="W20" s="38">
        <v>1.1000000000000001</v>
      </c>
      <c r="X20" s="38">
        <v>15.6</v>
      </c>
      <c r="Y20" s="38">
        <v>15.7</v>
      </c>
      <c r="Z20" s="38">
        <v>17.899999999999999</v>
      </c>
      <c r="AA20" s="38">
        <v>19.5</v>
      </c>
      <c r="AB20" s="38">
        <v>19.7</v>
      </c>
      <c r="AD20" s="3">
        <v>27</v>
      </c>
      <c r="AE20" s="38">
        <v>19.600000000000001</v>
      </c>
      <c r="AF20" s="38">
        <v>1.3</v>
      </c>
      <c r="AG20" s="38">
        <v>16.100000000000001</v>
      </c>
      <c r="AH20" s="38">
        <v>16.8</v>
      </c>
      <c r="AI20" s="38">
        <v>19.399999999999999</v>
      </c>
      <c r="AJ20" s="38">
        <v>21.6</v>
      </c>
      <c r="AK20" s="38">
        <v>22.7</v>
      </c>
      <c r="AM20" s="3">
        <v>31</v>
      </c>
      <c r="AN20" s="38">
        <v>19.899999999999999</v>
      </c>
      <c r="AO20" s="38">
        <v>0.8</v>
      </c>
      <c r="AP20" s="38">
        <v>18.3</v>
      </c>
      <c r="AQ20" s="38">
        <v>18.399999999999999</v>
      </c>
      <c r="AR20" s="38">
        <v>19.8</v>
      </c>
      <c r="AS20" s="38">
        <v>21.3</v>
      </c>
      <c r="AT20" s="38">
        <v>21.6</v>
      </c>
      <c r="AV20" s="3">
        <v>29</v>
      </c>
      <c r="AW20" s="38">
        <v>20.7</v>
      </c>
      <c r="AX20" s="38">
        <v>1.5</v>
      </c>
      <c r="AY20" s="38">
        <v>18.5</v>
      </c>
      <c r="AZ20" s="38">
        <v>18.5</v>
      </c>
      <c r="BA20" s="38">
        <v>20.7</v>
      </c>
      <c r="BB20" s="38">
        <v>23.1</v>
      </c>
      <c r="BC20" s="38">
        <v>24.6</v>
      </c>
      <c r="BE20" s="3">
        <v>31</v>
      </c>
      <c r="BF20" s="38">
        <v>21.5</v>
      </c>
      <c r="BG20" s="38">
        <v>1.1000000000000001</v>
      </c>
      <c r="BH20" s="38">
        <v>19.399999999999999</v>
      </c>
      <c r="BI20" s="38">
        <v>19.5</v>
      </c>
      <c r="BJ20" s="38">
        <v>21.4</v>
      </c>
      <c r="BK20" s="38">
        <v>23.3</v>
      </c>
      <c r="BL20" s="38">
        <v>24.2</v>
      </c>
    </row>
    <row r="21" spans="2:64">
      <c r="B21" s="2" t="s">
        <v>176</v>
      </c>
      <c r="C21" s="3">
        <v>31</v>
      </c>
      <c r="D21" s="38">
        <v>11.8</v>
      </c>
      <c r="E21" s="38">
        <v>1.1000000000000001</v>
      </c>
      <c r="F21" s="38">
        <v>9.5</v>
      </c>
      <c r="G21" s="38">
        <v>9.6999999999999993</v>
      </c>
      <c r="H21" s="38">
        <v>11.7</v>
      </c>
      <c r="I21" s="38">
        <v>13.4</v>
      </c>
      <c r="J21" s="38">
        <v>14.6</v>
      </c>
      <c r="L21" s="3">
        <v>44</v>
      </c>
      <c r="M21" s="38">
        <v>13.1</v>
      </c>
      <c r="N21" s="38">
        <v>1.1000000000000001</v>
      </c>
      <c r="O21" s="38">
        <v>11.4</v>
      </c>
      <c r="P21" s="38">
        <v>11.5</v>
      </c>
      <c r="Q21" s="38">
        <v>13</v>
      </c>
      <c r="R21" s="38">
        <v>15.1</v>
      </c>
      <c r="S21" s="38">
        <v>16</v>
      </c>
      <c r="U21" s="3">
        <v>30</v>
      </c>
      <c r="V21" s="38">
        <v>14</v>
      </c>
      <c r="W21" s="38">
        <v>0.8</v>
      </c>
      <c r="X21" s="38">
        <v>12.7</v>
      </c>
      <c r="Y21" s="38">
        <v>12.8</v>
      </c>
      <c r="Z21" s="38">
        <v>13.9</v>
      </c>
      <c r="AA21" s="38">
        <v>15.2</v>
      </c>
      <c r="AB21" s="38">
        <v>15.6</v>
      </c>
      <c r="AD21" s="3">
        <v>27</v>
      </c>
      <c r="AE21" s="38">
        <v>14.3</v>
      </c>
      <c r="AF21" s="38">
        <v>1</v>
      </c>
      <c r="AG21" s="38">
        <v>12.8</v>
      </c>
      <c r="AH21" s="38">
        <v>12.9</v>
      </c>
      <c r="AI21" s="38">
        <v>13.9</v>
      </c>
      <c r="AJ21" s="38">
        <v>15.7</v>
      </c>
      <c r="AK21" s="38">
        <v>17.3</v>
      </c>
      <c r="AM21" s="3">
        <v>32</v>
      </c>
      <c r="AN21" s="38">
        <v>14.5</v>
      </c>
      <c r="AO21" s="38">
        <v>0.8</v>
      </c>
      <c r="AP21" s="38">
        <v>12.9</v>
      </c>
      <c r="AQ21" s="38">
        <v>13.1</v>
      </c>
      <c r="AR21" s="38">
        <v>14.4</v>
      </c>
      <c r="AS21" s="38">
        <v>15.7</v>
      </c>
      <c r="AT21" s="38">
        <v>15.9</v>
      </c>
      <c r="AV21" s="3">
        <v>29</v>
      </c>
      <c r="AW21" s="38">
        <v>14.5</v>
      </c>
      <c r="AX21" s="38">
        <v>1.1000000000000001</v>
      </c>
      <c r="AY21" s="38">
        <v>13</v>
      </c>
      <c r="AZ21" s="38">
        <v>13</v>
      </c>
      <c r="BA21" s="38">
        <v>14.4</v>
      </c>
      <c r="BB21" s="38">
        <v>16.100000000000001</v>
      </c>
      <c r="BC21" s="38">
        <v>17.5</v>
      </c>
      <c r="BE21" s="3">
        <v>31</v>
      </c>
      <c r="BF21" s="38">
        <v>14.8</v>
      </c>
      <c r="BG21" s="38">
        <v>0.8</v>
      </c>
      <c r="BH21" s="38">
        <v>12.9</v>
      </c>
      <c r="BI21" s="38">
        <v>13.2</v>
      </c>
      <c r="BJ21" s="38">
        <v>14.9</v>
      </c>
      <c r="BK21" s="38">
        <v>15.9</v>
      </c>
      <c r="BL21" s="38">
        <v>16.5</v>
      </c>
    </row>
    <row r="22" spans="2:64">
      <c r="B22" s="2" t="s">
        <v>177</v>
      </c>
      <c r="C22" s="3">
        <v>31</v>
      </c>
      <c r="D22" s="38">
        <v>9.1</v>
      </c>
      <c r="E22" s="38">
        <v>0.9</v>
      </c>
      <c r="F22" s="38">
        <v>7.8</v>
      </c>
      <c r="G22" s="38">
        <v>7.9</v>
      </c>
      <c r="H22" s="38">
        <v>8.8000000000000007</v>
      </c>
      <c r="I22" s="38">
        <v>10.6</v>
      </c>
      <c r="J22" s="38">
        <v>11</v>
      </c>
      <c r="L22" s="3">
        <v>44</v>
      </c>
      <c r="M22" s="38">
        <v>10.199999999999999</v>
      </c>
      <c r="N22" s="38">
        <v>0.9</v>
      </c>
      <c r="O22" s="38">
        <v>8.3000000000000007</v>
      </c>
      <c r="P22" s="38">
        <v>8.5</v>
      </c>
      <c r="Q22" s="38">
        <v>10.199999999999999</v>
      </c>
      <c r="R22" s="38">
        <v>11.1</v>
      </c>
      <c r="S22" s="38">
        <v>12.6</v>
      </c>
      <c r="U22" s="3">
        <v>30</v>
      </c>
      <c r="V22" s="38">
        <v>10.5</v>
      </c>
      <c r="W22" s="38">
        <v>0.6</v>
      </c>
      <c r="X22" s="38">
        <v>9.5</v>
      </c>
      <c r="Y22" s="38">
        <v>9.5</v>
      </c>
      <c r="Z22" s="38">
        <v>10.3</v>
      </c>
      <c r="AA22" s="38">
        <v>11.2</v>
      </c>
      <c r="AB22" s="38">
        <v>12.5</v>
      </c>
      <c r="AD22" s="3">
        <v>27</v>
      </c>
      <c r="AE22" s="38">
        <v>10.8</v>
      </c>
      <c r="AF22" s="38">
        <v>0.8</v>
      </c>
      <c r="AG22" s="38">
        <v>9.6</v>
      </c>
      <c r="AH22" s="38">
        <v>9.6</v>
      </c>
      <c r="AI22" s="38">
        <v>10.5</v>
      </c>
      <c r="AJ22" s="38">
        <v>11.9</v>
      </c>
      <c r="AK22" s="38">
        <v>12.4</v>
      </c>
      <c r="AM22" s="3">
        <v>32</v>
      </c>
      <c r="AN22" s="38">
        <v>10.9</v>
      </c>
      <c r="AO22" s="38">
        <v>0.9</v>
      </c>
      <c r="AP22" s="38">
        <v>9.6</v>
      </c>
      <c r="AQ22" s="38">
        <v>9.6999999999999993</v>
      </c>
      <c r="AR22" s="38">
        <v>10.5</v>
      </c>
      <c r="AS22" s="38">
        <v>12.6</v>
      </c>
      <c r="AT22" s="38">
        <v>12.9</v>
      </c>
      <c r="AV22" s="3">
        <v>29</v>
      </c>
      <c r="AW22" s="38">
        <v>10.7</v>
      </c>
      <c r="AX22" s="38">
        <v>1</v>
      </c>
      <c r="AY22" s="38">
        <v>9.4</v>
      </c>
      <c r="AZ22" s="38">
        <v>9.4</v>
      </c>
      <c r="BA22" s="38">
        <v>10.5</v>
      </c>
      <c r="BB22" s="38">
        <v>12.2</v>
      </c>
      <c r="BC22" s="38">
        <v>13.6</v>
      </c>
      <c r="BE22" s="3">
        <v>31</v>
      </c>
      <c r="BF22" s="38">
        <v>10.9</v>
      </c>
      <c r="BG22" s="38">
        <v>0.8</v>
      </c>
      <c r="BH22" s="38">
        <v>9.3000000000000007</v>
      </c>
      <c r="BI22" s="38">
        <v>9.4</v>
      </c>
      <c r="BJ22" s="38">
        <v>10.9</v>
      </c>
      <c r="BK22" s="38">
        <v>12.1</v>
      </c>
      <c r="BL22" s="38">
        <v>12.4</v>
      </c>
    </row>
    <row r="23" spans="2:64">
      <c r="B23" s="2" t="s">
        <v>178</v>
      </c>
      <c r="C23" s="3">
        <v>30</v>
      </c>
      <c r="D23" s="38">
        <v>6.8</v>
      </c>
      <c r="E23" s="38">
        <v>0.6</v>
      </c>
      <c r="F23" s="38">
        <v>5.4</v>
      </c>
      <c r="G23" s="38">
        <v>5.4</v>
      </c>
      <c r="H23" s="38">
        <v>6.6</v>
      </c>
      <c r="I23" s="38">
        <v>7.6</v>
      </c>
      <c r="J23" s="38">
        <v>7.8</v>
      </c>
      <c r="L23" s="3">
        <v>44</v>
      </c>
      <c r="M23" s="38">
        <v>7.4</v>
      </c>
      <c r="N23" s="38">
        <v>0.6</v>
      </c>
      <c r="O23" s="38">
        <v>6</v>
      </c>
      <c r="P23" s="38">
        <v>6.1</v>
      </c>
      <c r="Q23" s="38">
        <v>7.4</v>
      </c>
      <c r="R23" s="38">
        <v>8.3000000000000007</v>
      </c>
      <c r="S23" s="38">
        <v>8.5</v>
      </c>
      <c r="U23" s="3">
        <v>30</v>
      </c>
      <c r="V23" s="38">
        <v>8</v>
      </c>
      <c r="W23" s="38">
        <v>0.5</v>
      </c>
      <c r="X23" s="38">
        <v>6.9</v>
      </c>
      <c r="Y23" s="38">
        <v>7</v>
      </c>
      <c r="Z23" s="38">
        <v>8.1</v>
      </c>
      <c r="AA23" s="38">
        <v>8.6</v>
      </c>
      <c r="AB23" s="38">
        <v>9</v>
      </c>
      <c r="AD23" s="3">
        <v>27</v>
      </c>
      <c r="AE23" s="38">
        <v>8.9</v>
      </c>
      <c r="AF23" s="38">
        <v>0.6</v>
      </c>
      <c r="AG23" s="38">
        <v>7.6</v>
      </c>
      <c r="AH23" s="38">
        <v>7.6</v>
      </c>
      <c r="AI23" s="38">
        <v>8.9</v>
      </c>
      <c r="AJ23" s="38">
        <v>9.6999999999999993</v>
      </c>
      <c r="AK23" s="38">
        <v>10.199999999999999</v>
      </c>
      <c r="AM23" s="3">
        <v>31</v>
      </c>
      <c r="AN23" s="38">
        <v>9.1999999999999993</v>
      </c>
      <c r="AO23" s="38">
        <v>0.6</v>
      </c>
      <c r="AP23" s="38">
        <v>7.6</v>
      </c>
      <c r="AQ23" s="38">
        <v>8</v>
      </c>
      <c r="AR23" s="38">
        <v>9.1</v>
      </c>
      <c r="AS23" s="38">
        <v>10.1</v>
      </c>
      <c r="AT23" s="38">
        <v>10.8</v>
      </c>
      <c r="AV23" s="3">
        <v>29</v>
      </c>
      <c r="AW23" s="38">
        <v>9.3000000000000007</v>
      </c>
      <c r="AX23" s="38">
        <v>0.6</v>
      </c>
      <c r="AY23" s="38">
        <v>8</v>
      </c>
      <c r="AZ23" s="38">
        <v>8</v>
      </c>
      <c r="BA23" s="38">
        <v>9.4</v>
      </c>
      <c r="BB23" s="38">
        <v>10</v>
      </c>
      <c r="BC23" s="38">
        <v>10.3</v>
      </c>
      <c r="BE23" s="3">
        <v>31</v>
      </c>
      <c r="BF23" s="38">
        <v>9.5</v>
      </c>
      <c r="BG23" s="38">
        <v>0.6</v>
      </c>
      <c r="BH23" s="38">
        <v>8.6</v>
      </c>
      <c r="BI23" s="38">
        <v>8.6</v>
      </c>
      <c r="BJ23" s="38">
        <v>9.4</v>
      </c>
      <c r="BK23" s="38">
        <v>10.5</v>
      </c>
      <c r="BL23" s="38">
        <v>10.8</v>
      </c>
    </row>
    <row r="24" spans="2:64">
      <c r="B24" s="2" t="s">
        <v>179</v>
      </c>
      <c r="C24" s="3">
        <v>31</v>
      </c>
      <c r="D24" s="38">
        <v>3.7</v>
      </c>
      <c r="E24" s="38">
        <v>0.3</v>
      </c>
      <c r="F24" s="38">
        <v>3.2</v>
      </c>
      <c r="G24" s="38">
        <v>3.2</v>
      </c>
      <c r="H24" s="38">
        <v>3.6</v>
      </c>
      <c r="I24" s="38">
        <v>4.2</v>
      </c>
      <c r="J24" s="38">
        <v>4.4000000000000004</v>
      </c>
      <c r="L24" s="3">
        <v>44</v>
      </c>
      <c r="M24" s="38">
        <v>4.0999999999999996</v>
      </c>
      <c r="N24" s="38">
        <v>0.3</v>
      </c>
      <c r="O24" s="38">
        <v>3.3</v>
      </c>
      <c r="P24" s="38">
        <v>3.5</v>
      </c>
      <c r="Q24" s="38">
        <v>4</v>
      </c>
      <c r="R24" s="38">
        <v>4.4000000000000004</v>
      </c>
      <c r="S24" s="38">
        <v>4.5999999999999996</v>
      </c>
      <c r="U24" s="3">
        <v>30</v>
      </c>
      <c r="V24" s="38">
        <v>4.2</v>
      </c>
      <c r="W24" s="38">
        <v>0.2</v>
      </c>
      <c r="X24" s="38">
        <v>3.8</v>
      </c>
      <c r="Y24" s="38">
        <v>3.8</v>
      </c>
      <c r="Z24" s="38">
        <v>4.0999999999999996</v>
      </c>
      <c r="AA24" s="38">
        <v>4.5</v>
      </c>
      <c r="AB24" s="38">
        <v>4.7</v>
      </c>
      <c r="AD24" s="3">
        <v>27</v>
      </c>
      <c r="AE24" s="38">
        <v>4.5</v>
      </c>
      <c r="AF24" s="38">
        <v>0.2</v>
      </c>
      <c r="AG24" s="38">
        <v>4</v>
      </c>
      <c r="AH24" s="38">
        <v>4</v>
      </c>
      <c r="AI24" s="38">
        <v>4.4000000000000004</v>
      </c>
      <c r="AJ24" s="38">
        <v>4.8</v>
      </c>
      <c r="AK24" s="38">
        <v>4.9000000000000004</v>
      </c>
      <c r="AM24" s="3">
        <v>30</v>
      </c>
      <c r="AN24" s="38">
        <v>4.5999999999999996</v>
      </c>
      <c r="AO24" s="38">
        <v>0.3</v>
      </c>
      <c r="AP24" s="38">
        <v>4</v>
      </c>
      <c r="AQ24" s="38">
        <v>4</v>
      </c>
      <c r="AR24" s="38">
        <v>4.5</v>
      </c>
      <c r="AS24" s="38">
        <v>5</v>
      </c>
      <c r="AT24" s="38">
        <v>5.0999999999999996</v>
      </c>
      <c r="AV24" s="3">
        <v>29</v>
      </c>
      <c r="AW24" s="38">
        <v>4.5999999999999996</v>
      </c>
      <c r="AX24" s="38">
        <v>0.3</v>
      </c>
      <c r="AY24" s="38">
        <v>4.0999999999999996</v>
      </c>
      <c r="AZ24" s="38">
        <v>4.0999999999999996</v>
      </c>
      <c r="BA24" s="38">
        <v>4.5</v>
      </c>
      <c r="BB24" s="38">
        <v>5.0999999999999996</v>
      </c>
      <c r="BC24" s="38">
        <v>5.3</v>
      </c>
      <c r="BE24" s="3">
        <v>31</v>
      </c>
      <c r="BF24" s="38">
        <v>4.7</v>
      </c>
      <c r="BG24" s="38">
        <v>0.3</v>
      </c>
      <c r="BH24" s="38">
        <v>4.0999999999999996</v>
      </c>
      <c r="BI24" s="38">
        <v>4.2</v>
      </c>
      <c r="BJ24" s="38">
        <v>4.5999999999999996</v>
      </c>
      <c r="BK24" s="38">
        <v>5.2</v>
      </c>
      <c r="BL24" s="38">
        <v>5.6</v>
      </c>
    </row>
    <row r="25" spans="2:64">
      <c r="B25" s="2" t="s">
        <v>180</v>
      </c>
      <c r="C25" s="3">
        <v>30</v>
      </c>
      <c r="D25" s="38">
        <v>33.9</v>
      </c>
      <c r="E25" s="38">
        <v>3</v>
      </c>
      <c r="F25" s="38">
        <v>28.6</v>
      </c>
      <c r="G25" s="38">
        <v>28.6</v>
      </c>
      <c r="H25" s="38">
        <v>31.8</v>
      </c>
      <c r="I25" s="38">
        <v>37.799999999999997</v>
      </c>
      <c r="J25" s="38">
        <v>41.3</v>
      </c>
      <c r="L25" s="3">
        <v>43</v>
      </c>
      <c r="M25" s="38">
        <v>36.1</v>
      </c>
      <c r="N25" s="38">
        <v>2.7</v>
      </c>
      <c r="O25" s="38">
        <v>31.8</v>
      </c>
      <c r="P25" s="38">
        <v>31.8</v>
      </c>
      <c r="Q25" s="38">
        <v>34.1</v>
      </c>
      <c r="R25" s="38">
        <v>39.9</v>
      </c>
      <c r="S25" s="38">
        <v>41.3</v>
      </c>
      <c r="U25" s="3">
        <v>30</v>
      </c>
      <c r="V25" s="38">
        <v>37.9</v>
      </c>
      <c r="W25" s="38">
        <v>2</v>
      </c>
      <c r="X25" s="38">
        <v>34.9</v>
      </c>
      <c r="Y25" s="38">
        <v>34.9</v>
      </c>
      <c r="Z25" s="38">
        <v>36.299999999999997</v>
      </c>
      <c r="AA25" s="38">
        <v>40.299999999999997</v>
      </c>
      <c r="AB25" s="38">
        <v>41.3</v>
      </c>
      <c r="AD25" s="3">
        <v>26</v>
      </c>
      <c r="AE25" s="38">
        <v>40.299999999999997</v>
      </c>
      <c r="AF25" s="38">
        <v>2.2000000000000002</v>
      </c>
      <c r="AG25" s="38">
        <v>38.1</v>
      </c>
      <c r="AH25" s="38">
        <v>38.1</v>
      </c>
      <c r="AI25" s="38">
        <v>38.6</v>
      </c>
      <c r="AJ25" s="38">
        <v>43.1</v>
      </c>
      <c r="AK25" s="38">
        <v>44.5</v>
      </c>
      <c r="AM25" s="3">
        <v>29</v>
      </c>
      <c r="AN25" s="38">
        <v>40.6</v>
      </c>
      <c r="AO25" s="38">
        <v>2</v>
      </c>
      <c r="AP25" s="38">
        <v>38.1</v>
      </c>
      <c r="AQ25" s="38">
        <v>38.1</v>
      </c>
      <c r="AR25" s="38">
        <v>39.1</v>
      </c>
      <c r="AS25" s="38">
        <v>43</v>
      </c>
      <c r="AT25" s="38">
        <v>44.5</v>
      </c>
      <c r="AV25" s="3">
        <v>28</v>
      </c>
      <c r="AW25" s="38">
        <v>40.1</v>
      </c>
      <c r="AX25" s="38">
        <v>3.3</v>
      </c>
      <c r="AY25" s="38">
        <v>34.9</v>
      </c>
      <c r="AZ25" s="38">
        <v>34.9</v>
      </c>
      <c r="BA25" s="38">
        <v>37.9</v>
      </c>
      <c r="BB25" s="38">
        <v>45.4</v>
      </c>
      <c r="BC25" s="38">
        <v>47.6</v>
      </c>
      <c r="BE25" s="3">
        <v>31</v>
      </c>
      <c r="BF25" s="38">
        <v>41.2</v>
      </c>
      <c r="BG25" s="38">
        <v>2.5</v>
      </c>
      <c r="BH25" s="38">
        <v>38.1</v>
      </c>
      <c r="BI25" s="38">
        <v>38.1</v>
      </c>
      <c r="BJ25" s="38">
        <v>39.5</v>
      </c>
      <c r="BK25" s="38">
        <v>44.2</v>
      </c>
      <c r="BL25" s="38">
        <v>47.6</v>
      </c>
    </row>
    <row r="26" spans="2:64">
      <c r="B26" s="2" t="s">
        <v>181</v>
      </c>
      <c r="C26" s="3">
        <v>31</v>
      </c>
      <c r="D26" s="38">
        <v>4.2</v>
      </c>
      <c r="E26" s="38">
        <v>0.4</v>
      </c>
      <c r="F26" s="38">
        <v>3.2</v>
      </c>
      <c r="G26" s="38">
        <v>3.4</v>
      </c>
      <c r="H26" s="38">
        <v>4</v>
      </c>
      <c r="I26" s="38">
        <v>4.8</v>
      </c>
      <c r="J26" s="38">
        <v>5.2</v>
      </c>
      <c r="L26" s="3">
        <v>44</v>
      </c>
      <c r="M26" s="38">
        <v>4.5999999999999996</v>
      </c>
      <c r="N26" s="38">
        <v>0.5</v>
      </c>
      <c r="O26" s="38">
        <v>3.5</v>
      </c>
      <c r="P26" s="38">
        <v>3.7</v>
      </c>
      <c r="Q26" s="38">
        <v>4.5</v>
      </c>
      <c r="R26" s="38">
        <v>5.3</v>
      </c>
      <c r="S26" s="38">
        <v>5.8</v>
      </c>
      <c r="U26" s="3">
        <v>30</v>
      </c>
      <c r="V26" s="38">
        <v>4.9000000000000004</v>
      </c>
      <c r="W26" s="38">
        <v>0.4</v>
      </c>
      <c r="X26" s="38">
        <v>4.0999999999999996</v>
      </c>
      <c r="Y26" s="38">
        <v>4.2</v>
      </c>
      <c r="Z26" s="38">
        <v>4.9000000000000004</v>
      </c>
      <c r="AA26" s="38">
        <v>5.4</v>
      </c>
      <c r="AB26" s="38">
        <v>5.6</v>
      </c>
      <c r="AD26" s="3">
        <v>27</v>
      </c>
      <c r="AE26" s="38">
        <v>5.0999999999999996</v>
      </c>
      <c r="AF26" s="38">
        <v>0.5</v>
      </c>
      <c r="AG26" s="38">
        <v>4.3</v>
      </c>
      <c r="AH26" s="38">
        <v>4.3</v>
      </c>
      <c r="AI26" s="38">
        <v>5</v>
      </c>
      <c r="AJ26" s="38">
        <v>5.8</v>
      </c>
      <c r="AK26" s="38">
        <v>6</v>
      </c>
      <c r="AM26" s="3">
        <v>31</v>
      </c>
      <c r="AN26" s="38">
        <v>5.3</v>
      </c>
      <c r="AO26" s="38">
        <v>0.6</v>
      </c>
      <c r="AP26" s="38">
        <v>4.3</v>
      </c>
      <c r="AQ26" s="38">
        <v>4.4000000000000004</v>
      </c>
      <c r="AR26" s="38">
        <v>5.2</v>
      </c>
      <c r="AS26" s="38">
        <v>6.1</v>
      </c>
      <c r="AT26" s="38">
        <v>6.4</v>
      </c>
      <c r="AV26" s="3">
        <v>27</v>
      </c>
      <c r="AW26" s="38">
        <v>5.5</v>
      </c>
      <c r="AX26" s="38">
        <v>0.5</v>
      </c>
      <c r="AY26" s="38">
        <v>4.4000000000000004</v>
      </c>
      <c r="AZ26" s="38">
        <v>4.5</v>
      </c>
      <c r="BA26" s="38">
        <v>5.3</v>
      </c>
      <c r="BB26" s="38">
        <v>6.1</v>
      </c>
      <c r="BC26" s="38">
        <v>6.5</v>
      </c>
      <c r="BE26" s="3">
        <v>31</v>
      </c>
      <c r="BF26" s="38">
        <v>5.5</v>
      </c>
      <c r="BG26" s="38">
        <v>0.5</v>
      </c>
      <c r="BH26" s="38">
        <v>4.5</v>
      </c>
      <c r="BI26" s="38">
        <v>4.5999999999999996</v>
      </c>
      <c r="BJ26" s="38">
        <v>5.4</v>
      </c>
      <c r="BK26" s="38">
        <v>6.1</v>
      </c>
      <c r="BL26" s="38">
        <v>6.4</v>
      </c>
    </row>
    <row r="27" spans="2:64">
      <c r="B27" s="2" t="s">
        <v>182</v>
      </c>
      <c r="C27" s="3">
        <v>31</v>
      </c>
      <c r="D27" s="38">
        <v>8.6</v>
      </c>
      <c r="E27" s="38">
        <v>0.8</v>
      </c>
      <c r="F27" s="38">
        <v>7.1</v>
      </c>
      <c r="G27" s="38">
        <v>7.1</v>
      </c>
      <c r="H27" s="38">
        <v>8.5</v>
      </c>
      <c r="I27" s="38">
        <v>9.6999999999999993</v>
      </c>
      <c r="J27" s="38">
        <v>10.3</v>
      </c>
      <c r="L27" s="3">
        <v>44</v>
      </c>
      <c r="M27" s="38">
        <v>9.1999999999999993</v>
      </c>
      <c r="N27" s="38">
        <v>0.8</v>
      </c>
      <c r="O27" s="38">
        <v>6.7</v>
      </c>
      <c r="P27" s="38">
        <v>7.4</v>
      </c>
      <c r="Q27" s="38">
        <v>8.9</v>
      </c>
      <c r="R27" s="38">
        <v>10.199999999999999</v>
      </c>
      <c r="S27" s="38">
        <v>11.1</v>
      </c>
      <c r="U27" s="3">
        <v>29</v>
      </c>
      <c r="V27" s="38">
        <v>9.9</v>
      </c>
      <c r="W27" s="38">
        <v>0.7</v>
      </c>
      <c r="X27" s="38">
        <v>8.6999999999999993</v>
      </c>
      <c r="Y27" s="38">
        <v>8.6999999999999993</v>
      </c>
      <c r="Z27" s="38">
        <v>9.5</v>
      </c>
      <c r="AA27" s="38">
        <v>10.7</v>
      </c>
      <c r="AB27" s="38">
        <v>11.1</v>
      </c>
      <c r="AD27" s="3">
        <v>26</v>
      </c>
      <c r="AE27" s="38">
        <v>10.6</v>
      </c>
      <c r="AF27" s="38">
        <v>0.8</v>
      </c>
      <c r="AG27" s="38">
        <v>9.5</v>
      </c>
      <c r="AH27" s="38">
        <v>9.5</v>
      </c>
      <c r="AI27" s="38">
        <v>10.1</v>
      </c>
      <c r="AJ27" s="38">
        <v>11.8</v>
      </c>
      <c r="AK27" s="38">
        <v>12.7</v>
      </c>
      <c r="AM27" s="3">
        <v>28</v>
      </c>
      <c r="AN27" s="38">
        <v>11</v>
      </c>
      <c r="AO27" s="38">
        <v>0.7</v>
      </c>
      <c r="AP27" s="38">
        <v>8.6999999999999993</v>
      </c>
      <c r="AQ27" s="38">
        <v>8.8000000000000007</v>
      </c>
      <c r="AR27" s="38">
        <v>10.6</v>
      </c>
      <c r="AS27" s="38">
        <v>11.7</v>
      </c>
      <c r="AT27" s="38">
        <v>11.9</v>
      </c>
      <c r="AV27" s="3">
        <v>28</v>
      </c>
      <c r="AW27" s="38">
        <v>10.7</v>
      </c>
      <c r="AX27" s="38">
        <v>0.7</v>
      </c>
      <c r="AY27" s="38">
        <v>9.5</v>
      </c>
      <c r="AZ27" s="38">
        <v>9.5</v>
      </c>
      <c r="BA27" s="38">
        <v>10.3</v>
      </c>
      <c r="BB27" s="38">
        <v>11.7</v>
      </c>
      <c r="BC27" s="38">
        <v>12.3</v>
      </c>
      <c r="BE27" s="3">
        <v>31</v>
      </c>
      <c r="BF27" s="38">
        <v>11.4</v>
      </c>
      <c r="BG27" s="38">
        <v>1</v>
      </c>
      <c r="BH27" s="38">
        <v>9.5</v>
      </c>
      <c r="BI27" s="38">
        <v>9.6</v>
      </c>
      <c r="BJ27" s="38">
        <v>10.8</v>
      </c>
      <c r="BK27" s="38">
        <v>12.6</v>
      </c>
      <c r="BL27" s="38">
        <v>15</v>
      </c>
    </row>
    <row r="28" spans="2:64">
      <c r="B28" s="2" t="s">
        <v>183</v>
      </c>
      <c r="C28" s="3">
        <v>31</v>
      </c>
      <c r="D28" s="38">
        <v>7.2</v>
      </c>
      <c r="E28" s="38">
        <v>0.6</v>
      </c>
      <c r="F28" s="38">
        <v>6.3</v>
      </c>
      <c r="G28" s="38">
        <v>6.3</v>
      </c>
      <c r="H28" s="38">
        <v>7</v>
      </c>
      <c r="I28" s="38">
        <v>8.1</v>
      </c>
      <c r="J28" s="38">
        <v>8.3000000000000007</v>
      </c>
      <c r="L28" s="3">
        <v>43</v>
      </c>
      <c r="M28" s="38">
        <v>7.6</v>
      </c>
      <c r="N28" s="38">
        <v>0.6</v>
      </c>
      <c r="O28" s="38">
        <v>5.9</v>
      </c>
      <c r="P28" s="38">
        <v>6.3</v>
      </c>
      <c r="Q28" s="38">
        <v>7.4</v>
      </c>
      <c r="R28" s="38">
        <v>8.3000000000000007</v>
      </c>
      <c r="S28" s="38">
        <v>8.6999999999999993</v>
      </c>
      <c r="U28" s="3">
        <v>29</v>
      </c>
      <c r="V28" s="38">
        <v>8.3000000000000007</v>
      </c>
      <c r="W28" s="38">
        <v>0.7</v>
      </c>
      <c r="X28" s="38">
        <v>7.5</v>
      </c>
      <c r="Y28" s="38">
        <v>7.5</v>
      </c>
      <c r="Z28" s="38">
        <v>8</v>
      </c>
      <c r="AA28" s="38">
        <v>9</v>
      </c>
      <c r="AB28" s="38">
        <v>11.1</v>
      </c>
      <c r="AD28" s="3">
        <v>27</v>
      </c>
      <c r="AE28" s="38">
        <v>8.9</v>
      </c>
      <c r="AF28" s="38">
        <v>0.7</v>
      </c>
      <c r="AG28" s="38">
        <v>7.5</v>
      </c>
      <c r="AH28" s="38">
        <v>7.6</v>
      </c>
      <c r="AI28" s="38">
        <v>8.6</v>
      </c>
      <c r="AJ28" s="38">
        <v>10</v>
      </c>
      <c r="AK28" s="38">
        <v>11.1</v>
      </c>
      <c r="AM28" s="3">
        <v>29</v>
      </c>
      <c r="AN28" s="38">
        <v>9</v>
      </c>
      <c r="AO28" s="38">
        <v>0.6</v>
      </c>
      <c r="AP28" s="38">
        <v>7.9</v>
      </c>
      <c r="AQ28" s="38">
        <v>7.9</v>
      </c>
      <c r="AR28" s="38">
        <v>8.6999999999999993</v>
      </c>
      <c r="AS28" s="38">
        <v>9.6999999999999993</v>
      </c>
      <c r="AT28" s="38">
        <v>10.3</v>
      </c>
      <c r="AV28" s="3">
        <v>28</v>
      </c>
      <c r="AW28" s="38">
        <v>8.8000000000000007</v>
      </c>
      <c r="AX28" s="38">
        <v>0.6</v>
      </c>
      <c r="AY28" s="38">
        <v>7.9</v>
      </c>
      <c r="AZ28" s="38">
        <v>7.9</v>
      </c>
      <c r="BA28" s="38">
        <v>8.5</v>
      </c>
      <c r="BB28" s="38">
        <v>9.5</v>
      </c>
      <c r="BC28" s="38">
        <v>10.7</v>
      </c>
      <c r="BE28" s="3">
        <v>31</v>
      </c>
      <c r="BF28" s="38">
        <v>9.1</v>
      </c>
      <c r="BG28" s="38">
        <v>0.8</v>
      </c>
      <c r="BH28" s="38">
        <v>7.9</v>
      </c>
      <c r="BI28" s="38">
        <v>7.9</v>
      </c>
      <c r="BJ28" s="38">
        <v>8.9</v>
      </c>
      <c r="BK28" s="38">
        <v>10.1</v>
      </c>
      <c r="BL28" s="38">
        <v>11.9</v>
      </c>
    </row>
    <row r="29" spans="2:64">
      <c r="B29" s="2" t="s">
        <v>184</v>
      </c>
      <c r="C29" s="3">
        <v>31</v>
      </c>
      <c r="D29" s="38">
        <v>37.1</v>
      </c>
      <c r="E29" s="38">
        <v>2.5</v>
      </c>
      <c r="F29" s="38">
        <v>31.5</v>
      </c>
      <c r="G29" s="38">
        <v>32.4</v>
      </c>
      <c r="H29" s="38">
        <v>37</v>
      </c>
      <c r="I29" s="38">
        <v>41.4</v>
      </c>
      <c r="J29" s="38">
        <v>42.2</v>
      </c>
      <c r="L29" s="3">
        <v>44</v>
      </c>
      <c r="M29" s="38">
        <v>40.4</v>
      </c>
      <c r="N29" s="38">
        <v>2.4</v>
      </c>
      <c r="O29" s="38">
        <v>36.200000000000003</v>
      </c>
      <c r="P29" s="38">
        <v>36.5</v>
      </c>
      <c r="Q29" s="38">
        <v>40.5</v>
      </c>
      <c r="R29" s="38">
        <v>44.1</v>
      </c>
      <c r="S29" s="38">
        <v>46.4</v>
      </c>
      <c r="U29" s="3">
        <v>30</v>
      </c>
      <c r="V29" s="38">
        <v>43.4</v>
      </c>
      <c r="W29" s="38">
        <v>1.8</v>
      </c>
      <c r="X29" s="38">
        <v>39.4</v>
      </c>
      <c r="Y29" s="38">
        <v>40</v>
      </c>
      <c r="Z29" s="38">
        <v>43.5</v>
      </c>
      <c r="AA29" s="38">
        <v>46.3</v>
      </c>
      <c r="AB29" s="38">
        <v>47.6</v>
      </c>
      <c r="AD29" s="3">
        <v>27</v>
      </c>
      <c r="AE29" s="38">
        <v>45.1</v>
      </c>
      <c r="AF29" s="38">
        <v>2.2999999999999998</v>
      </c>
      <c r="AG29" s="38">
        <v>39.799999999999997</v>
      </c>
      <c r="AH29" s="38">
        <v>40.299999999999997</v>
      </c>
      <c r="AI29" s="38">
        <v>45.3</v>
      </c>
      <c r="AJ29" s="38">
        <v>47.8</v>
      </c>
      <c r="AK29" s="38">
        <v>48.5</v>
      </c>
      <c r="AM29" s="3">
        <v>30</v>
      </c>
      <c r="AN29" s="38">
        <v>46.3</v>
      </c>
      <c r="AO29" s="38">
        <v>2.2999999999999998</v>
      </c>
      <c r="AP29" s="38">
        <v>41.8</v>
      </c>
      <c r="AQ29" s="38">
        <v>41.9</v>
      </c>
      <c r="AR29" s="38">
        <v>46.1</v>
      </c>
      <c r="AS29" s="38">
        <v>49.7</v>
      </c>
      <c r="AT29" s="38">
        <v>52.2</v>
      </c>
      <c r="AV29" s="3">
        <v>29</v>
      </c>
      <c r="AW29" s="38">
        <v>46.8</v>
      </c>
      <c r="AX29" s="38">
        <v>2.2000000000000002</v>
      </c>
      <c r="AY29" s="38">
        <v>41.4</v>
      </c>
      <c r="AZ29" s="38">
        <v>42.3</v>
      </c>
      <c r="BA29" s="38">
        <v>46.9</v>
      </c>
      <c r="BB29" s="38">
        <v>50.1</v>
      </c>
      <c r="BC29" s="38">
        <v>51.9</v>
      </c>
      <c r="BE29" s="3">
        <v>31</v>
      </c>
      <c r="BF29" s="38">
        <v>47.7</v>
      </c>
      <c r="BG29" s="38">
        <v>2.2000000000000002</v>
      </c>
      <c r="BH29" s="38">
        <v>43.1</v>
      </c>
      <c r="BI29" s="38">
        <v>43.6</v>
      </c>
      <c r="BJ29" s="38">
        <v>47.4</v>
      </c>
      <c r="BK29" s="38">
        <v>50.9</v>
      </c>
      <c r="BL29" s="38">
        <v>51.3</v>
      </c>
    </row>
    <row r="30" spans="2:64">
      <c r="B30" s="2" t="s">
        <v>185</v>
      </c>
      <c r="C30" s="3">
        <v>31</v>
      </c>
      <c r="D30" s="38">
        <v>12.2</v>
      </c>
      <c r="E30" s="38">
        <v>1.3</v>
      </c>
      <c r="F30" s="38">
        <v>9.6999999999999993</v>
      </c>
      <c r="G30" s="38">
        <v>10</v>
      </c>
      <c r="H30" s="38">
        <v>11.8</v>
      </c>
      <c r="I30" s="38">
        <v>14.7</v>
      </c>
      <c r="J30" s="38">
        <v>15.1</v>
      </c>
      <c r="L30" s="3">
        <v>44</v>
      </c>
      <c r="M30" s="38">
        <v>13.8</v>
      </c>
      <c r="N30" s="38">
        <v>0.8</v>
      </c>
      <c r="O30" s="38">
        <v>12.1</v>
      </c>
      <c r="P30" s="38">
        <v>12.2</v>
      </c>
      <c r="Q30" s="38">
        <v>13.8</v>
      </c>
      <c r="R30" s="38">
        <v>15.1</v>
      </c>
      <c r="S30" s="38">
        <v>15.8</v>
      </c>
      <c r="U30" s="3">
        <v>31</v>
      </c>
      <c r="V30" s="38">
        <v>14.7</v>
      </c>
      <c r="W30" s="38">
        <v>1.1000000000000001</v>
      </c>
      <c r="X30" s="38">
        <v>12.2</v>
      </c>
      <c r="Y30" s="38">
        <v>12.5</v>
      </c>
      <c r="Z30" s="38">
        <v>14.5</v>
      </c>
      <c r="AA30" s="38">
        <v>16.2</v>
      </c>
      <c r="AB30" s="38">
        <v>16.7</v>
      </c>
      <c r="AD30" s="3">
        <v>27</v>
      </c>
      <c r="AE30" s="38">
        <v>15.9</v>
      </c>
      <c r="AF30" s="38">
        <v>1.2</v>
      </c>
      <c r="AG30" s="38">
        <v>13.4</v>
      </c>
      <c r="AH30" s="38">
        <v>13.5</v>
      </c>
      <c r="AI30" s="38">
        <v>15.9</v>
      </c>
      <c r="AJ30" s="38">
        <v>17.5</v>
      </c>
      <c r="AK30" s="38">
        <v>18.399999999999999</v>
      </c>
      <c r="AM30" s="3">
        <v>31</v>
      </c>
      <c r="AN30" s="38">
        <v>15.8</v>
      </c>
      <c r="AO30" s="38">
        <v>0.9</v>
      </c>
      <c r="AP30" s="38">
        <v>14</v>
      </c>
      <c r="AQ30" s="38">
        <v>14.2</v>
      </c>
      <c r="AR30" s="38">
        <v>15.7</v>
      </c>
      <c r="AS30" s="38">
        <v>17.3</v>
      </c>
      <c r="AT30" s="38">
        <v>18.2</v>
      </c>
      <c r="AV30" s="3">
        <v>29</v>
      </c>
      <c r="AW30" s="38">
        <v>15.8</v>
      </c>
      <c r="AX30" s="38">
        <v>1.3</v>
      </c>
      <c r="AY30" s="38">
        <v>13.4</v>
      </c>
      <c r="AZ30" s="38">
        <v>13.4</v>
      </c>
      <c r="BA30" s="38">
        <v>15.9</v>
      </c>
      <c r="BB30" s="38">
        <v>17.7</v>
      </c>
      <c r="BC30" s="38">
        <v>18.3</v>
      </c>
      <c r="BE30" s="3">
        <v>31</v>
      </c>
      <c r="BF30" s="38">
        <v>16.3</v>
      </c>
      <c r="BG30" s="38">
        <v>1.2</v>
      </c>
      <c r="BH30" s="38">
        <v>14.3</v>
      </c>
      <c r="BI30" s="38">
        <v>14.4</v>
      </c>
      <c r="BJ30" s="38">
        <v>16.100000000000001</v>
      </c>
      <c r="BK30" s="38">
        <v>18.5</v>
      </c>
      <c r="BL30" s="38">
        <v>19</v>
      </c>
    </row>
    <row r="31" spans="2:64">
      <c r="B31" s="2" t="s">
        <v>186</v>
      </c>
      <c r="C31" s="3">
        <v>31</v>
      </c>
      <c r="D31" s="38">
        <v>34.4</v>
      </c>
      <c r="E31" s="38">
        <v>4</v>
      </c>
      <c r="F31" s="38">
        <v>26.5</v>
      </c>
      <c r="G31" s="38">
        <v>27</v>
      </c>
      <c r="H31" s="38">
        <v>34</v>
      </c>
      <c r="I31" s="38">
        <v>40.5</v>
      </c>
      <c r="J31" s="38">
        <v>46</v>
      </c>
      <c r="L31" s="3">
        <v>42</v>
      </c>
      <c r="M31" s="38">
        <v>37.9</v>
      </c>
      <c r="N31" s="38">
        <v>3.3</v>
      </c>
      <c r="O31" s="38">
        <v>31.2</v>
      </c>
      <c r="P31" s="38">
        <v>31.9</v>
      </c>
      <c r="Q31" s="38">
        <v>37.799999999999997</v>
      </c>
      <c r="R31" s="38">
        <v>44.2</v>
      </c>
      <c r="S31" s="38">
        <v>46.8</v>
      </c>
      <c r="U31" s="3">
        <v>29</v>
      </c>
      <c r="V31" s="38">
        <v>40.299999999999997</v>
      </c>
      <c r="W31" s="38">
        <v>2.5</v>
      </c>
      <c r="X31" s="38">
        <v>35.5</v>
      </c>
      <c r="Y31" s="38">
        <v>35.9</v>
      </c>
      <c r="Z31" s="38">
        <v>40.200000000000003</v>
      </c>
      <c r="AA31" s="38">
        <v>44</v>
      </c>
      <c r="AB31" s="38">
        <v>45.1</v>
      </c>
      <c r="AD31" s="3">
        <v>26</v>
      </c>
      <c r="AE31" s="38">
        <v>40.4</v>
      </c>
      <c r="AF31" s="38">
        <v>2.7</v>
      </c>
      <c r="AG31" s="38">
        <v>36.200000000000003</v>
      </c>
      <c r="AH31" s="38">
        <v>36.299999999999997</v>
      </c>
      <c r="AI31" s="38">
        <v>39.700000000000003</v>
      </c>
      <c r="AJ31" s="38">
        <v>44</v>
      </c>
      <c r="AK31" s="38">
        <v>47.1</v>
      </c>
      <c r="AM31" s="3">
        <v>29</v>
      </c>
      <c r="AN31" s="38">
        <v>41.6</v>
      </c>
      <c r="AO31" s="38">
        <v>2.6</v>
      </c>
      <c r="AP31" s="38">
        <v>36.6</v>
      </c>
      <c r="AQ31" s="38">
        <v>37</v>
      </c>
      <c r="AR31" s="38">
        <v>41.1</v>
      </c>
      <c r="AS31" s="38">
        <v>45.4</v>
      </c>
      <c r="AT31" s="38">
        <v>47.7</v>
      </c>
      <c r="AV31" s="3">
        <v>28</v>
      </c>
      <c r="AW31" s="38">
        <v>43.1</v>
      </c>
      <c r="AX31" s="38">
        <v>3.1</v>
      </c>
      <c r="AY31" s="38">
        <v>38.6</v>
      </c>
      <c r="AZ31" s="38">
        <v>38.700000000000003</v>
      </c>
      <c r="BA31" s="38">
        <v>42.3</v>
      </c>
      <c r="BB31" s="38">
        <v>48.3</v>
      </c>
      <c r="BC31" s="38">
        <v>53.6</v>
      </c>
      <c r="BE31" s="3">
        <v>31</v>
      </c>
      <c r="BF31" s="38">
        <v>43.9</v>
      </c>
      <c r="BG31" s="38">
        <v>2.9</v>
      </c>
      <c r="BH31" s="38">
        <v>37.200000000000003</v>
      </c>
      <c r="BI31" s="38">
        <v>38.4</v>
      </c>
      <c r="BJ31" s="38">
        <v>43.8</v>
      </c>
      <c r="BK31" s="38">
        <v>48.4</v>
      </c>
      <c r="BL31" s="38">
        <v>51.6</v>
      </c>
    </row>
    <row r="32" spans="2:64">
      <c r="B32" s="2" t="s">
        <v>187</v>
      </c>
      <c r="C32" s="3">
        <v>31</v>
      </c>
      <c r="D32" s="38">
        <v>11.6</v>
      </c>
      <c r="E32" s="38">
        <v>1.4</v>
      </c>
      <c r="F32" s="38">
        <v>9.5</v>
      </c>
      <c r="G32" s="38">
        <v>9.5</v>
      </c>
      <c r="H32" s="38">
        <v>11.6</v>
      </c>
      <c r="I32" s="38">
        <v>14.2</v>
      </c>
      <c r="J32" s="38">
        <v>15.3</v>
      </c>
      <c r="L32" s="3">
        <v>45</v>
      </c>
      <c r="M32" s="38">
        <v>12.6</v>
      </c>
      <c r="N32" s="38">
        <v>1.3</v>
      </c>
      <c r="O32" s="38">
        <v>10</v>
      </c>
      <c r="P32" s="38">
        <v>10.6</v>
      </c>
      <c r="Q32" s="38">
        <v>12.4</v>
      </c>
      <c r="R32" s="38">
        <v>14.7</v>
      </c>
      <c r="S32" s="38">
        <v>15.6</v>
      </c>
      <c r="U32" s="3">
        <v>31</v>
      </c>
      <c r="V32" s="38">
        <v>13.5</v>
      </c>
      <c r="W32" s="38">
        <v>1</v>
      </c>
      <c r="X32" s="38">
        <v>11.7</v>
      </c>
      <c r="Y32" s="38">
        <v>11.8</v>
      </c>
      <c r="Z32" s="38">
        <v>13.5</v>
      </c>
      <c r="AA32" s="38">
        <v>15.2</v>
      </c>
      <c r="AB32" s="38">
        <v>15.3</v>
      </c>
      <c r="AD32" s="3">
        <v>27</v>
      </c>
      <c r="AE32" s="38">
        <v>14.1</v>
      </c>
      <c r="AF32" s="38">
        <v>1.1000000000000001</v>
      </c>
      <c r="AG32" s="38">
        <v>11.5</v>
      </c>
      <c r="AH32" s="38">
        <v>11.7</v>
      </c>
      <c r="AI32" s="38">
        <v>14</v>
      </c>
      <c r="AJ32" s="38">
        <v>15.6</v>
      </c>
      <c r="AK32" s="38">
        <v>16.399999999999999</v>
      </c>
      <c r="AM32" s="3">
        <v>30</v>
      </c>
      <c r="AN32" s="38">
        <v>14.3</v>
      </c>
      <c r="AO32" s="38">
        <v>1.1000000000000001</v>
      </c>
      <c r="AP32" s="38">
        <v>12.8</v>
      </c>
      <c r="AQ32" s="38">
        <v>12.8</v>
      </c>
      <c r="AR32" s="38">
        <v>14.1</v>
      </c>
      <c r="AS32" s="38">
        <v>15.3</v>
      </c>
      <c r="AT32" s="38">
        <v>18.3</v>
      </c>
      <c r="AV32" s="3">
        <v>28</v>
      </c>
      <c r="AW32" s="38">
        <v>14.6</v>
      </c>
      <c r="AX32" s="38">
        <v>1.2</v>
      </c>
      <c r="AY32" s="38">
        <v>13.1</v>
      </c>
      <c r="AZ32" s="38">
        <v>13.1</v>
      </c>
      <c r="BA32" s="38">
        <v>14.4</v>
      </c>
      <c r="BB32" s="38">
        <v>16.3</v>
      </c>
      <c r="BC32" s="38">
        <v>18.8</v>
      </c>
      <c r="BE32" s="3">
        <v>30</v>
      </c>
      <c r="BF32" s="38">
        <v>14.9</v>
      </c>
      <c r="BG32" s="38">
        <v>0.8</v>
      </c>
      <c r="BH32" s="38">
        <v>12.9</v>
      </c>
      <c r="BI32" s="38">
        <v>13.2</v>
      </c>
      <c r="BJ32" s="38">
        <v>14.6</v>
      </c>
      <c r="BK32" s="38">
        <v>16</v>
      </c>
      <c r="BL32" s="38">
        <v>16.399999999999999</v>
      </c>
    </row>
    <row r="33" spans="2:64">
      <c r="B33" s="2" t="s">
        <v>188</v>
      </c>
      <c r="C33" s="3">
        <v>31</v>
      </c>
      <c r="D33" s="38">
        <v>23.1</v>
      </c>
      <c r="E33" s="38">
        <v>1.9</v>
      </c>
      <c r="F33" s="38">
        <v>19.600000000000001</v>
      </c>
      <c r="G33" s="38">
        <v>19.7</v>
      </c>
      <c r="H33" s="38">
        <v>23.3</v>
      </c>
      <c r="I33" s="38">
        <v>26</v>
      </c>
      <c r="J33" s="38">
        <v>26.7</v>
      </c>
      <c r="L33" s="3">
        <v>45</v>
      </c>
      <c r="M33" s="38">
        <v>26.8</v>
      </c>
      <c r="N33" s="38">
        <v>2.4</v>
      </c>
      <c r="O33" s="38">
        <v>21.5</v>
      </c>
      <c r="P33" s="38">
        <v>23.4</v>
      </c>
      <c r="Q33" s="38">
        <v>26.5</v>
      </c>
      <c r="R33" s="38">
        <v>30.3</v>
      </c>
      <c r="S33" s="38">
        <v>31</v>
      </c>
      <c r="U33" s="3">
        <v>31</v>
      </c>
      <c r="V33" s="38">
        <v>29.9</v>
      </c>
      <c r="W33" s="38">
        <v>2.2999999999999998</v>
      </c>
      <c r="X33" s="38">
        <v>25.2</v>
      </c>
      <c r="Y33" s="38">
        <v>25.7</v>
      </c>
      <c r="Z33" s="38">
        <v>29.4</v>
      </c>
      <c r="AA33" s="38">
        <v>33.5</v>
      </c>
      <c r="AB33" s="38">
        <v>34.9</v>
      </c>
      <c r="AD33" s="3">
        <v>27</v>
      </c>
      <c r="AE33" s="38">
        <v>33.799999999999997</v>
      </c>
      <c r="AF33" s="38">
        <v>3.7</v>
      </c>
      <c r="AG33" s="38">
        <v>27.4</v>
      </c>
      <c r="AH33" s="38">
        <v>27.6</v>
      </c>
      <c r="AI33" s="38">
        <v>33.299999999999997</v>
      </c>
      <c r="AJ33" s="38">
        <v>39.700000000000003</v>
      </c>
      <c r="AK33" s="38">
        <v>43.4</v>
      </c>
      <c r="AM33" s="3">
        <v>32</v>
      </c>
      <c r="AN33" s="38">
        <v>35.4</v>
      </c>
      <c r="AO33" s="38">
        <v>2.1</v>
      </c>
      <c r="AP33" s="38">
        <v>32.200000000000003</v>
      </c>
      <c r="AQ33" s="38">
        <v>32.299999999999997</v>
      </c>
      <c r="AR33" s="38">
        <v>35</v>
      </c>
      <c r="AS33" s="38">
        <v>39.5</v>
      </c>
      <c r="AT33" s="38">
        <v>41.2</v>
      </c>
      <c r="AV33" s="3">
        <v>29</v>
      </c>
      <c r="AW33" s="38">
        <v>37.5</v>
      </c>
      <c r="AX33" s="38">
        <v>2.9</v>
      </c>
      <c r="AY33" s="38">
        <v>31.1</v>
      </c>
      <c r="AZ33" s="38">
        <v>31.5</v>
      </c>
      <c r="BA33" s="38">
        <v>37.4</v>
      </c>
      <c r="BB33" s="38">
        <v>41.5</v>
      </c>
      <c r="BC33" s="38">
        <v>43</v>
      </c>
      <c r="BE33" s="3">
        <v>31</v>
      </c>
      <c r="BF33" s="38">
        <v>40.5</v>
      </c>
      <c r="BG33" s="38">
        <v>3.4</v>
      </c>
      <c r="BH33" s="38">
        <v>34.200000000000003</v>
      </c>
      <c r="BI33" s="38">
        <v>35.1</v>
      </c>
      <c r="BJ33" s="38">
        <v>39.5</v>
      </c>
      <c r="BK33" s="38">
        <v>45.5</v>
      </c>
      <c r="BL33" s="38">
        <v>46.9</v>
      </c>
    </row>
    <row r="34" spans="2:64">
      <c r="B34" s="2" t="s">
        <v>189</v>
      </c>
      <c r="C34" s="3">
        <v>30</v>
      </c>
      <c r="D34" s="38">
        <v>13.9</v>
      </c>
      <c r="E34" s="38">
        <v>1.5</v>
      </c>
      <c r="F34" s="38">
        <v>11.3</v>
      </c>
      <c r="G34" s="38">
        <v>11.4</v>
      </c>
      <c r="H34" s="38">
        <v>13.9</v>
      </c>
      <c r="I34" s="38">
        <v>16.2</v>
      </c>
      <c r="J34" s="38">
        <v>16.5</v>
      </c>
      <c r="L34" s="3">
        <v>44</v>
      </c>
      <c r="M34" s="38">
        <v>15.9</v>
      </c>
      <c r="N34" s="38">
        <v>1.7</v>
      </c>
      <c r="O34" s="38">
        <v>12.4</v>
      </c>
      <c r="P34" s="38">
        <v>12.7</v>
      </c>
      <c r="Q34" s="38">
        <v>15.5</v>
      </c>
      <c r="R34" s="38">
        <v>18.5</v>
      </c>
      <c r="S34" s="38">
        <v>18.899999999999999</v>
      </c>
      <c r="U34" s="3">
        <v>30</v>
      </c>
      <c r="V34" s="38">
        <v>17.2</v>
      </c>
      <c r="W34" s="38">
        <v>1.5</v>
      </c>
      <c r="X34" s="38">
        <v>14.3</v>
      </c>
      <c r="Y34" s="38">
        <v>14.3</v>
      </c>
      <c r="Z34" s="38">
        <v>17.2</v>
      </c>
      <c r="AA34" s="38">
        <v>19.5</v>
      </c>
      <c r="AB34" s="38">
        <v>20.399999999999999</v>
      </c>
      <c r="AD34" s="3">
        <v>27</v>
      </c>
      <c r="AE34" s="38">
        <v>19.2</v>
      </c>
      <c r="AF34" s="38">
        <v>1.7</v>
      </c>
      <c r="AG34" s="38">
        <v>15.7</v>
      </c>
      <c r="AH34" s="38">
        <v>15.8</v>
      </c>
      <c r="AI34" s="38">
        <v>19.399999999999999</v>
      </c>
      <c r="AJ34" s="38">
        <v>21</v>
      </c>
      <c r="AK34" s="38">
        <v>23</v>
      </c>
      <c r="AM34" s="3">
        <v>31</v>
      </c>
      <c r="AN34" s="38">
        <v>19.899999999999999</v>
      </c>
      <c r="AO34" s="38">
        <v>1.6</v>
      </c>
      <c r="AP34" s="38">
        <v>15.8</v>
      </c>
      <c r="AQ34" s="38">
        <v>16.8</v>
      </c>
      <c r="AR34" s="38">
        <v>19.600000000000001</v>
      </c>
      <c r="AS34" s="38">
        <v>22.6</v>
      </c>
      <c r="AT34" s="38">
        <v>24.3</v>
      </c>
      <c r="AV34" s="3">
        <v>29</v>
      </c>
      <c r="AW34" s="38">
        <v>21.3</v>
      </c>
      <c r="AX34" s="38">
        <v>1.7</v>
      </c>
      <c r="AY34" s="38">
        <v>17.7</v>
      </c>
      <c r="AZ34" s="38">
        <v>18.3</v>
      </c>
      <c r="BA34" s="38">
        <v>21</v>
      </c>
      <c r="BB34" s="38">
        <v>24</v>
      </c>
      <c r="BC34" s="38">
        <v>24.3</v>
      </c>
      <c r="BE34" s="3">
        <v>31</v>
      </c>
      <c r="BF34" s="38">
        <v>22.6</v>
      </c>
      <c r="BG34" s="38">
        <v>2.4</v>
      </c>
      <c r="BH34" s="38">
        <v>18.2</v>
      </c>
      <c r="BI34" s="38">
        <v>18.7</v>
      </c>
      <c r="BJ34" s="38">
        <v>21.9</v>
      </c>
      <c r="BK34" s="38">
        <v>26.5</v>
      </c>
      <c r="BL34" s="38">
        <v>27.5</v>
      </c>
    </row>
    <row r="35" spans="2:64">
      <c r="B35" s="2" t="s">
        <v>190</v>
      </c>
      <c r="C35" s="3">
        <v>30</v>
      </c>
      <c r="D35" s="38">
        <v>36.799999999999997</v>
      </c>
      <c r="E35" s="38">
        <v>5</v>
      </c>
      <c r="F35" s="38">
        <v>28.2</v>
      </c>
      <c r="G35" s="38">
        <v>28.6</v>
      </c>
      <c r="H35" s="38">
        <v>36.4</v>
      </c>
      <c r="I35" s="38">
        <v>45</v>
      </c>
      <c r="J35" s="38">
        <v>49.3</v>
      </c>
      <c r="L35" s="3">
        <v>44</v>
      </c>
      <c r="M35" s="38">
        <v>40.5</v>
      </c>
      <c r="N35" s="38">
        <v>4.4000000000000004</v>
      </c>
      <c r="O35" s="38">
        <v>32.299999999999997</v>
      </c>
      <c r="P35" s="38">
        <v>33.200000000000003</v>
      </c>
      <c r="Q35" s="38">
        <v>40.200000000000003</v>
      </c>
      <c r="R35" s="38">
        <v>47.6</v>
      </c>
      <c r="S35" s="38">
        <v>49.7</v>
      </c>
      <c r="U35" s="3">
        <v>28</v>
      </c>
      <c r="V35" s="38">
        <v>45.7</v>
      </c>
      <c r="W35" s="38">
        <v>2.9</v>
      </c>
      <c r="X35" s="38">
        <v>41</v>
      </c>
      <c r="Y35" s="38">
        <v>41.2</v>
      </c>
      <c r="Z35" s="38">
        <v>45</v>
      </c>
      <c r="AA35" s="38">
        <v>51.2</v>
      </c>
      <c r="AB35" s="38">
        <v>52.7</v>
      </c>
      <c r="AD35" s="3">
        <v>26</v>
      </c>
      <c r="AE35" s="38">
        <v>44.8</v>
      </c>
      <c r="AF35" s="38">
        <v>3.3</v>
      </c>
      <c r="AG35" s="38">
        <v>39.299999999999997</v>
      </c>
      <c r="AH35" s="38">
        <v>39.799999999999997</v>
      </c>
      <c r="AI35" s="38">
        <v>44.6</v>
      </c>
      <c r="AJ35" s="38">
        <v>51.7</v>
      </c>
      <c r="AK35" s="38">
        <v>52.9</v>
      </c>
      <c r="AM35" s="3">
        <v>26</v>
      </c>
      <c r="AN35" s="38">
        <v>46.4</v>
      </c>
      <c r="AO35" s="38">
        <v>3.3</v>
      </c>
      <c r="AP35" s="38">
        <v>40.200000000000003</v>
      </c>
      <c r="AQ35" s="38">
        <v>40.6</v>
      </c>
      <c r="AR35" s="38">
        <v>46.7</v>
      </c>
      <c r="AS35" s="38">
        <v>49.7</v>
      </c>
      <c r="AT35" s="38">
        <v>55.4</v>
      </c>
      <c r="AV35" s="3">
        <v>26</v>
      </c>
      <c r="AW35" s="38">
        <v>47.7</v>
      </c>
      <c r="AX35" s="38">
        <v>4</v>
      </c>
      <c r="AY35" s="38">
        <v>40.4</v>
      </c>
      <c r="AZ35" s="38">
        <v>40.9</v>
      </c>
      <c r="BA35" s="38">
        <v>47.5</v>
      </c>
      <c r="BB35" s="38">
        <v>53</v>
      </c>
      <c r="BC35" s="38">
        <v>53.7</v>
      </c>
      <c r="BE35" s="3">
        <v>30</v>
      </c>
      <c r="BF35" s="38">
        <v>47.6</v>
      </c>
      <c r="BG35" s="38">
        <v>3.9</v>
      </c>
      <c r="BH35" s="38">
        <v>40.9</v>
      </c>
      <c r="BI35" s="38">
        <v>41.5</v>
      </c>
      <c r="BJ35" s="38">
        <v>46.5</v>
      </c>
      <c r="BK35" s="38">
        <v>53</v>
      </c>
      <c r="BL35" s="38">
        <v>58.2</v>
      </c>
    </row>
    <row r="36" spans="2:64">
      <c r="B36" s="41" t="s">
        <v>191</v>
      </c>
      <c r="C36" s="3">
        <v>31</v>
      </c>
      <c r="D36" s="38">
        <v>13.2</v>
      </c>
      <c r="E36" s="38">
        <v>2.1</v>
      </c>
      <c r="F36" s="38">
        <v>10.4</v>
      </c>
      <c r="G36" s="38">
        <v>10.5</v>
      </c>
      <c r="H36" s="38">
        <v>12.9</v>
      </c>
      <c r="I36" s="38">
        <v>17.100000000000001</v>
      </c>
      <c r="J36" s="38">
        <v>18.7</v>
      </c>
      <c r="L36" s="3">
        <v>45</v>
      </c>
      <c r="M36" s="38">
        <v>14.3</v>
      </c>
      <c r="N36" s="38">
        <v>1.4</v>
      </c>
      <c r="O36" s="38">
        <v>11.5</v>
      </c>
      <c r="P36" s="38">
        <v>11.5</v>
      </c>
      <c r="Q36" s="38">
        <v>14.4</v>
      </c>
      <c r="R36" s="38">
        <v>16.7</v>
      </c>
      <c r="S36" s="38">
        <v>18.2</v>
      </c>
      <c r="U36" s="3">
        <v>31</v>
      </c>
      <c r="V36" s="38">
        <v>15.9</v>
      </c>
      <c r="W36" s="38">
        <v>1</v>
      </c>
      <c r="X36" s="38">
        <v>13.9</v>
      </c>
      <c r="Y36" s="38">
        <v>14</v>
      </c>
      <c r="Z36" s="38">
        <v>15.9</v>
      </c>
      <c r="AA36" s="38">
        <v>17.5</v>
      </c>
      <c r="AB36" s="38">
        <v>17.7</v>
      </c>
      <c r="AD36" s="3">
        <v>27</v>
      </c>
      <c r="AE36" s="38">
        <v>16.600000000000001</v>
      </c>
      <c r="AF36" s="38">
        <v>1.5</v>
      </c>
      <c r="AG36" s="38">
        <v>13.4</v>
      </c>
      <c r="AH36" s="38">
        <v>13.5</v>
      </c>
      <c r="AI36" s="38">
        <v>16.600000000000001</v>
      </c>
      <c r="AJ36" s="38">
        <v>18.399999999999999</v>
      </c>
      <c r="AK36" s="38">
        <v>19.899999999999999</v>
      </c>
      <c r="AM36" s="3">
        <v>28</v>
      </c>
      <c r="AN36" s="38">
        <v>16.899999999999999</v>
      </c>
      <c r="AO36" s="38">
        <v>0.9</v>
      </c>
      <c r="AP36" s="38">
        <v>15.3</v>
      </c>
      <c r="AQ36" s="38">
        <v>15.3</v>
      </c>
      <c r="AR36" s="38">
        <v>16.600000000000001</v>
      </c>
      <c r="AS36" s="38">
        <v>18.399999999999999</v>
      </c>
      <c r="AT36" s="38">
        <v>18.600000000000001</v>
      </c>
      <c r="AV36" s="3">
        <v>28</v>
      </c>
      <c r="AW36" s="38">
        <v>17.100000000000001</v>
      </c>
      <c r="AX36" s="38">
        <v>1.6</v>
      </c>
      <c r="AY36" s="38">
        <v>14</v>
      </c>
      <c r="AZ36" s="38">
        <v>14.1</v>
      </c>
      <c r="BA36" s="38">
        <v>17</v>
      </c>
      <c r="BB36" s="38">
        <v>19.3</v>
      </c>
      <c r="BC36" s="38">
        <v>20.6</v>
      </c>
      <c r="BE36" s="3">
        <v>29</v>
      </c>
      <c r="BF36" s="38">
        <v>17.100000000000001</v>
      </c>
      <c r="BG36" s="38">
        <v>1.4</v>
      </c>
      <c r="BH36" s="38">
        <v>15</v>
      </c>
      <c r="BI36" s="38">
        <v>15</v>
      </c>
      <c r="BJ36" s="38">
        <v>16.7</v>
      </c>
      <c r="BK36" s="38">
        <v>19.100000000000001</v>
      </c>
      <c r="BL36" s="38">
        <v>20.7</v>
      </c>
    </row>
    <row r="37" spans="2:64">
      <c r="B37" s="2" t="s">
        <v>192</v>
      </c>
      <c r="C37" s="3">
        <v>30</v>
      </c>
      <c r="D37" s="38">
        <v>16.899999999999999</v>
      </c>
      <c r="E37" s="38">
        <v>1.9</v>
      </c>
      <c r="F37" s="38">
        <v>12.8</v>
      </c>
      <c r="G37" s="38">
        <v>13</v>
      </c>
      <c r="H37" s="38">
        <v>16.600000000000001</v>
      </c>
      <c r="I37" s="38">
        <v>19.600000000000001</v>
      </c>
      <c r="J37" s="38">
        <v>21.4</v>
      </c>
      <c r="L37" s="3">
        <v>44</v>
      </c>
      <c r="M37" s="38">
        <v>20.7</v>
      </c>
      <c r="N37" s="38">
        <v>2.8</v>
      </c>
      <c r="O37" s="38">
        <v>16.3</v>
      </c>
      <c r="P37" s="38">
        <v>16.7</v>
      </c>
      <c r="Q37" s="38">
        <v>20.100000000000001</v>
      </c>
      <c r="R37" s="38">
        <v>26.2</v>
      </c>
      <c r="S37" s="38">
        <v>27.5</v>
      </c>
      <c r="U37" s="3">
        <v>29</v>
      </c>
      <c r="V37" s="38">
        <v>21.2</v>
      </c>
      <c r="W37" s="38">
        <v>2.1</v>
      </c>
      <c r="X37" s="38">
        <v>18.399999999999999</v>
      </c>
      <c r="Y37" s="38">
        <v>18.399999999999999</v>
      </c>
      <c r="Z37" s="38">
        <v>20.5</v>
      </c>
      <c r="AA37" s="38">
        <v>23.9</v>
      </c>
      <c r="AB37" s="38">
        <v>29</v>
      </c>
      <c r="AD37" s="3">
        <v>27</v>
      </c>
      <c r="AE37" s="38">
        <v>23.2</v>
      </c>
      <c r="AF37" s="38">
        <v>2</v>
      </c>
      <c r="AG37" s="38">
        <v>19.2</v>
      </c>
      <c r="AH37" s="38">
        <v>20</v>
      </c>
      <c r="AI37" s="38">
        <v>22.8</v>
      </c>
      <c r="AJ37" s="38">
        <v>27.5</v>
      </c>
      <c r="AK37" s="38">
        <v>28</v>
      </c>
      <c r="AM37" s="3">
        <v>30</v>
      </c>
      <c r="AN37" s="38">
        <v>23.4</v>
      </c>
      <c r="AO37" s="38">
        <v>2.1</v>
      </c>
      <c r="AP37" s="38">
        <v>19.3</v>
      </c>
      <c r="AQ37" s="38">
        <v>19.3</v>
      </c>
      <c r="AR37" s="38">
        <v>22.7</v>
      </c>
      <c r="AS37" s="38">
        <v>26.9</v>
      </c>
      <c r="AT37" s="38">
        <v>27.2</v>
      </c>
      <c r="AV37" s="3">
        <v>29</v>
      </c>
      <c r="AW37" s="38">
        <v>24.4</v>
      </c>
      <c r="AX37" s="38">
        <v>2</v>
      </c>
      <c r="AY37" s="38">
        <v>21</v>
      </c>
      <c r="AZ37" s="38">
        <v>21</v>
      </c>
      <c r="BA37" s="38">
        <v>24.2</v>
      </c>
      <c r="BB37" s="38">
        <v>27.9</v>
      </c>
      <c r="BC37" s="38">
        <v>29</v>
      </c>
      <c r="BE37" s="3">
        <v>31</v>
      </c>
      <c r="BF37" s="38">
        <v>24.7</v>
      </c>
      <c r="BG37" s="38">
        <v>2.5</v>
      </c>
      <c r="BH37" s="38">
        <v>18.100000000000001</v>
      </c>
      <c r="BI37" s="38">
        <v>19</v>
      </c>
      <c r="BJ37" s="38">
        <v>24.6</v>
      </c>
      <c r="BK37" s="38">
        <v>27.6</v>
      </c>
      <c r="BL37" s="38">
        <v>29.9</v>
      </c>
    </row>
    <row r="38" spans="2:64">
      <c r="B38" s="2" t="s">
        <v>193</v>
      </c>
      <c r="C38" s="3">
        <v>27</v>
      </c>
      <c r="D38" s="38">
        <v>5.2</v>
      </c>
      <c r="E38" s="38">
        <v>0.7</v>
      </c>
      <c r="F38" s="38">
        <v>3.9</v>
      </c>
      <c r="G38" s="38">
        <v>3.9</v>
      </c>
      <c r="H38" s="38">
        <v>5.0999999999999996</v>
      </c>
      <c r="I38" s="38">
        <v>6.2</v>
      </c>
      <c r="J38" s="38">
        <v>7</v>
      </c>
      <c r="L38" s="3">
        <v>45</v>
      </c>
      <c r="M38" s="38">
        <v>5.9</v>
      </c>
      <c r="N38" s="38">
        <v>0.9</v>
      </c>
      <c r="O38" s="38">
        <v>4.3</v>
      </c>
      <c r="P38" s="38">
        <v>4.3</v>
      </c>
      <c r="Q38" s="38">
        <v>5.8</v>
      </c>
      <c r="R38" s="38">
        <v>7.4</v>
      </c>
      <c r="S38" s="38">
        <v>8.5</v>
      </c>
      <c r="U38" s="3">
        <v>31</v>
      </c>
      <c r="V38" s="38">
        <v>6.2</v>
      </c>
      <c r="W38" s="38">
        <v>0.9</v>
      </c>
      <c r="X38" s="38">
        <v>4.7</v>
      </c>
      <c r="Y38" s="38">
        <v>4.9000000000000004</v>
      </c>
      <c r="Z38" s="38">
        <v>5.9</v>
      </c>
      <c r="AA38" s="38">
        <v>7.3</v>
      </c>
      <c r="AB38" s="38">
        <v>9.3000000000000007</v>
      </c>
      <c r="AD38" s="3">
        <v>27</v>
      </c>
      <c r="AE38" s="38">
        <v>6.9</v>
      </c>
      <c r="AF38" s="38">
        <v>0.9</v>
      </c>
      <c r="AG38" s="38">
        <v>4.4000000000000004</v>
      </c>
      <c r="AH38" s="38">
        <v>4.7</v>
      </c>
      <c r="AI38" s="38">
        <v>6.9</v>
      </c>
      <c r="AJ38" s="38">
        <v>8.1999999999999993</v>
      </c>
      <c r="AK38" s="38">
        <v>8.6999999999999993</v>
      </c>
      <c r="AM38" s="3">
        <v>32</v>
      </c>
      <c r="AN38" s="38">
        <v>7</v>
      </c>
      <c r="AO38" s="38">
        <v>1</v>
      </c>
      <c r="AP38" s="38">
        <v>5</v>
      </c>
      <c r="AQ38" s="38">
        <v>5.2</v>
      </c>
      <c r="AR38" s="38">
        <v>6.9</v>
      </c>
      <c r="AS38" s="38">
        <v>8.4</v>
      </c>
      <c r="AT38" s="38">
        <v>8.8000000000000007</v>
      </c>
      <c r="AV38" s="3">
        <v>29</v>
      </c>
      <c r="AW38" s="38">
        <v>7</v>
      </c>
      <c r="AX38" s="38">
        <v>0.9</v>
      </c>
      <c r="AY38" s="38">
        <v>5.0999999999999996</v>
      </c>
      <c r="AZ38" s="38">
        <v>5.4</v>
      </c>
      <c r="BA38" s="38">
        <v>6.9</v>
      </c>
      <c r="BB38" s="38">
        <v>8.5</v>
      </c>
      <c r="BC38" s="38">
        <v>8.8000000000000007</v>
      </c>
      <c r="BE38" s="3">
        <v>30</v>
      </c>
      <c r="BF38" s="38">
        <v>7.2</v>
      </c>
      <c r="BG38" s="38">
        <v>1</v>
      </c>
      <c r="BH38" s="38">
        <v>4.9000000000000004</v>
      </c>
      <c r="BI38" s="38">
        <v>4.9000000000000004</v>
      </c>
      <c r="BJ38" s="38">
        <v>7.1</v>
      </c>
      <c r="BK38" s="38">
        <v>8.6</v>
      </c>
      <c r="BL38" s="38">
        <v>8.8000000000000007</v>
      </c>
    </row>
    <row r="39" spans="2:64">
      <c r="B39" s="2" t="s">
        <v>194</v>
      </c>
      <c r="C39" s="3">
        <v>30</v>
      </c>
      <c r="D39" s="38">
        <v>14.9</v>
      </c>
      <c r="E39" s="38">
        <v>1.1000000000000001</v>
      </c>
      <c r="F39" s="38">
        <v>12.8</v>
      </c>
      <c r="G39" s="38">
        <v>13</v>
      </c>
      <c r="H39" s="38">
        <v>14.7</v>
      </c>
      <c r="I39" s="38">
        <v>16.5</v>
      </c>
      <c r="J39" s="38">
        <v>17.399999999999999</v>
      </c>
      <c r="L39" s="3">
        <v>45</v>
      </c>
      <c r="M39" s="38">
        <v>16.5</v>
      </c>
      <c r="N39" s="38">
        <v>1.1000000000000001</v>
      </c>
      <c r="O39" s="38">
        <v>14</v>
      </c>
      <c r="P39" s="38">
        <v>14.6</v>
      </c>
      <c r="Q39" s="38">
        <v>16.3</v>
      </c>
      <c r="R39" s="38">
        <v>18.2</v>
      </c>
      <c r="S39" s="38">
        <v>19</v>
      </c>
      <c r="U39" s="3">
        <v>30</v>
      </c>
      <c r="V39" s="38">
        <v>17.899999999999999</v>
      </c>
      <c r="W39" s="38">
        <v>0.8</v>
      </c>
      <c r="X39" s="38">
        <v>16.2</v>
      </c>
      <c r="Y39" s="38">
        <v>16.5</v>
      </c>
      <c r="Z39" s="38">
        <v>17.7</v>
      </c>
      <c r="AA39" s="38">
        <v>19.3</v>
      </c>
      <c r="AB39" s="38">
        <v>19.899999999999999</v>
      </c>
      <c r="AD39" s="3">
        <v>27</v>
      </c>
      <c r="AE39" s="38">
        <v>19.8</v>
      </c>
      <c r="AF39" s="38">
        <v>1.5</v>
      </c>
      <c r="AG39" s="38">
        <v>17.100000000000001</v>
      </c>
      <c r="AH39" s="38">
        <v>17.399999999999999</v>
      </c>
      <c r="AI39" s="38">
        <v>19.5</v>
      </c>
      <c r="AJ39" s="38">
        <v>21.8</v>
      </c>
      <c r="AK39" s="38">
        <v>24.2</v>
      </c>
      <c r="AM39" s="3">
        <v>31</v>
      </c>
      <c r="AN39" s="38">
        <v>20.8</v>
      </c>
      <c r="AO39" s="38">
        <v>1</v>
      </c>
      <c r="AP39" s="38">
        <v>19.3</v>
      </c>
      <c r="AQ39" s="38">
        <v>19.399999999999999</v>
      </c>
      <c r="AR39" s="38">
        <v>20.5</v>
      </c>
      <c r="AS39" s="38">
        <v>22.6</v>
      </c>
      <c r="AT39" s="38">
        <v>23.1</v>
      </c>
      <c r="AV39" s="3">
        <v>29</v>
      </c>
      <c r="AW39" s="38">
        <v>21.6</v>
      </c>
      <c r="AX39" s="38">
        <v>1.3</v>
      </c>
      <c r="AY39" s="38">
        <v>18.8</v>
      </c>
      <c r="AZ39" s="38">
        <v>19</v>
      </c>
      <c r="BA39" s="38">
        <v>21.7</v>
      </c>
      <c r="BB39" s="38">
        <v>23.3</v>
      </c>
      <c r="BC39" s="38">
        <v>23.4</v>
      </c>
      <c r="BE39" s="3">
        <v>31</v>
      </c>
      <c r="BF39" s="38">
        <v>23</v>
      </c>
      <c r="BG39" s="38">
        <v>1.6</v>
      </c>
      <c r="BH39" s="38">
        <v>18.8</v>
      </c>
      <c r="BI39" s="38">
        <v>19.8</v>
      </c>
      <c r="BJ39" s="38">
        <v>22.9</v>
      </c>
      <c r="BK39" s="38">
        <v>25.3</v>
      </c>
      <c r="BL39" s="38">
        <v>26.4</v>
      </c>
    </row>
    <row r="40" spans="2:64">
      <c r="B40" s="2" t="s">
        <v>195</v>
      </c>
      <c r="C40" s="3">
        <v>31</v>
      </c>
      <c r="D40" s="38">
        <v>13.7</v>
      </c>
      <c r="E40" s="38">
        <v>2.1</v>
      </c>
      <c r="F40" s="38">
        <v>10.4</v>
      </c>
      <c r="G40" s="38">
        <v>10.4</v>
      </c>
      <c r="H40" s="38">
        <v>13.1</v>
      </c>
      <c r="I40" s="38">
        <v>17.399999999999999</v>
      </c>
      <c r="J40" s="38">
        <v>19</v>
      </c>
      <c r="L40" s="3">
        <v>44</v>
      </c>
      <c r="M40" s="38">
        <v>15.6</v>
      </c>
      <c r="N40" s="38">
        <v>1.5</v>
      </c>
      <c r="O40" s="38">
        <v>12.4</v>
      </c>
      <c r="P40" s="38">
        <v>13.5</v>
      </c>
      <c r="Q40" s="38">
        <v>15.3</v>
      </c>
      <c r="R40" s="38">
        <v>17.5</v>
      </c>
      <c r="S40" s="38">
        <v>20.2</v>
      </c>
      <c r="U40" s="3">
        <v>31</v>
      </c>
      <c r="V40" s="38">
        <v>16.899999999999999</v>
      </c>
      <c r="W40" s="38">
        <v>1.3</v>
      </c>
      <c r="X40" s="38">
        <v>14.2</v>
      </c>
      <c r="Y40" s="38">
        <v>14.3</v>
      </c>
      <c r="Z40" s="38">
        <v>16.8</v>
      </c>
      <c r="AA40" s="38">
        <v>19.100000000000001</v>
      </c>
      <c r="AB40" s="38">
        <v>19.5</v>
      </c>
      <c r="AD40" s="3">
        <v>27</v>
      </c>
      <c r="AE40" s="38">
        <v>18.100000000000001</v>
      </c>
      <c r="AF40" s="38">
        <v>1.2</v>
      </c>
      <c r="AG40" s="38">
        <v>16.399999999999999</v>
      </c>
      <c r="AH40" s="38">
        <v>16.399999999999999</v>
      </c>
      <c r="AI40" s="38">
        <v>17.8</v>
      </c>
      <c r="AJ40" s="38">
        <v>20.3</v>
      </c>
      <c r="AK40" s="38">
        <v>21.2</v>
      </c>
      <c r="AM40" s="3">
        <v>32</v>
      </c>
      <c r="AN40" s="38">
        <v>18.100000000000001</v>
      </c>
      <c r="AO40" s="38">
        <v>1.3</v>
      </c>
      <c r="AP40" s="38">
        <v>15.8</v>
      </c>
      <c r="AQ40" s="38">
        <v>15.9</v>
      </c>
      <c r="AR40" s="38">
        <v>18.100000000000001</v>
      </c>
      <c r="AS40" s="38">
        <v>20.3</v>
      </c>
      <c r="AT40" s="38">
        <v>21.9</v>
      </c>
      <c r="AV40" s="3">
        <v>29</v>
      </c>
      <c r="AW40" s="38">
        <v>18.399999999999999</v>
      </c>
      <c r="AX40" s="38">
        <v>1.2</v>
      </c>
      <c r="AY40" s="38">
        <v>16.100000000000001</v>
      </c>
      <c r="AZ40" s="38">
        <v>16.3</v>
      </c>
      <c r="BA40" s="38">
        <v>18.100000000000001</v>
      </c>
      <c r="BB40" s="38">
        <v>20.399999999999999</v>
      </c>
      <c r="BC40" s="38">
        <v>21.1</v>
      </c>
      <c r="BE40" s="3">
        <v>31</v>
      </c>
      <c r="BF40" s="38">
        <v>19</v>
      </c>
      <c r="BG40" s="38">
        <v>1.3</v>
      </c>
      <c r="BH40" s="38">
        <v>15.8</v>
      </c>
      <c r="BI40" s="38">
        <v>16</v>
      </c>
      <c r="BJ40" s="38">
        <v>18.899999999999999</v>
      </c>
      <c r="BK40" s="38">
        <v>20.7</v>
      </c>
      <c r="BL40" s="38">
        <v>22.9</v>
      </c>
    </row>
    <row r="41" spans="2:64">
      <c r="B41" s="2" t="s">
        <v>196</v>
      </c>
      <c r="C41" s="3">
        <v>31</v>
      </c>
      <c r="D41" s="38">
        <v>10.199999999999999</v>
      </c>
      <c r="E41" s="38">
        <v>1.5</v>
      </c>
      <c r="F41" s="38">
        <v>6.2</v>
      </c>
      <c r="G41" s="38">
        <v>7.3</v>
      </c>
      <c r="H41" s="38">
        <v>10</v>
      </c>
      <c r="I41" s="38">
        <v>12.9</v>
      </c>
      <c r="J41" s="38">
        <v>13.6</v>
      </c>
      <c r="L41" s="3">
        <v>44</v>
      </c>
      <c r="M41" s="38">
        <v>11.6</v>
      </c>
      <c r="N41" s="38">
        <v>1</v>
      </c>
      <c r="O41" s="38">
        <v>9.6999999999999993</v>
      </c>
      <c r="P41" s="38">
        <v>9.8000000000000007</v>
      </c>
      <c r="Q41" s="38">
        <v>11.5</v>
      </c>
      <c r="R41" s="38">
        <v>13</v>
      </c>
      <c r="S41" s="38">
        <v>14.4</v>
      </c>
      <c r="U41" s="3">
        <v>31</v>
      </c>
      <c r="V41" s="38">
        <v>12.3</v>
      </c>
      <c r="W41" s="38">
        <v>0.9</v>
      </c>
      <c r="X41" s="38">
        <v>10.8</v>
      </c>
      <c r="Y41" s="38">
        <v>10.9</v>
      </c>
      <c r="Z41" s="38">
        <v>12.2</v>
      </c>
      <c r="AA41" s="38">
        <v>13.7</v>
      </c>
      <c r="AB41" s="38">
        <v>14</v>
      </c>
      <c r="AD41" s="3">
        <v>27</v>
      </c>
      <c r="AE41" s="38">
        <v>12.9</v>
      </c>
      <c r="AF41" s="38">
        <v>1</v>
      </c>
      <c r="AG41" s="38">
        <v>11.2</v>
      </c>
      <c r="AH41" s="38">
        <v>11.3</v>
      </c>
      <c r="AI41" s="38">
        <v>12.8</v>
      </c>
      <c r="AJ41" s="38">
        <v>14.5</v>
      </c>
      <c r="AK41" s="38">
        <v>14.7</v>
      </c>
      <c r="AM41" s="3">
        <v>32</v>
      </c>
      <c r="AN41" s="38">
        <v>13.2</v>
      </c>
      <c r="AO41" s="38">
        <v>1</v>
      </c>
      <c r="AP41" s="38">
        <v>11.5</v>
      </c>
      <c r="AQ41" s="38">
        <v>11.6</v>
      </c>
      <c r="AR41" s="38">
        <v>13.1</v>
      </c>
      <c r="AS41" s="38">
        <v>14.9</v>
      </c>
      <c r="AT41" s="38">
        <v>16</v>
      </c>
      <c r="AV41" s="3">
        <v>29</v>
      </c>
      <c r="AW41" s="38">
        <v>13.3</v>
      </c>
      <c r="AX41" s="38">
        <v>1.1000000000000001</v>
      </c>
      <c r="AY41" s="38">
        <v>11</v>
      </c>
      <c r="AZ41" s="38">
        <v>11.2</v>
      </c>
      <c r="BA41" s="38">
        <v>13.1</v>
      </c>
      <c r="BB41" s="38">
        <v>15</v>
      </c>
      <c r="BC41" s="38">
        <v>15.9</v>
      </c>
      <c r="BE41" s="3">
        <v>31</v>
      </c>
      <c r="BF41" s="38">
        <v>13.6</v>
      </c>
      <c r="BG41" s="38">
        <v>0.9</v>
      </c>
      <c r="BH41" s="38">
        <v>11.8</v>
      </c>
      <c r="BI41" s="38">
        <v>11.8</v>
      </c>
      <c r="BJ41" s="38">
        <v>13.5</v>
      </c>
      <c r="BK41" s="38">
        <v>14.8</v>
      </c>
      <c r="BL41" s="38">
        <v>15</v>
      </c>
    </row>
    <row r="42" spans="2:64">
      <c r="B42" s="2" t="s">
        <v>197</v>
      </c>
      <c r="C42" s="3">
        <v>31</v>
      </c>
      <c r="D42" s="38">
        <v>3</v>
      </c>
      <c r="E42" s="38">
        <v>0.4</v>
      </c>
      <c r="F42" s="38">
        <v>2.2999999999999998</v>
      </c>
      <c r="G42" s="38">
        <v>2.2999999999999998</v>
      </c>
      <c r="H42" s="38">
        <v>2.9</v>
      </c>
      <c r="I42" s="38">
        <v>3.8</v>
      </c>
      <c r="J42" s="38">
        <v>4.0999999999999996</v>
      </c>
      <c r="L42" s="3">
        <v>44</v>
      </c>
      <c r="M42" s="38">
        <v>3.4</v>
      </c>
      <c r="N42" s="38">
        <v>0.3</v>
      </c>
      <c r="O42" s="38">
        <v>2.7</v>
      </c>
      <c r="P42" s="38">
        <v>2.8</v>
      </c>
      <c r="Q42" s="38">
        <v>3.4</v>
      </c>
      <c r="R42" s="38">
        <v>3.8</v>
      </c>
      <c r="S42" s="38">
        <v>4</v>
      </c>
      <c r="U42" s="3">
        <v>31</v>
      </c>
      <c r="V42" s="38">
        <v>3.6</v>
      </c>
      <c r="W42" s="38">
        <v>0.3</v>
      </c>
      <c r="X42" s="38">
        <v>3</v>
      </c>
      <c r="Y42" s="38">
        <v>3.1</v>
      </c>
      <c r="Z42" s="38">
        <v>3.6</v>
      </c>
      <c r="AA42" s="38">
        <v>4.0999999999999996</v>
      </c>
      <c r="AB42" s="38">
        <v>4.5</v>
      </c>
      <c r="AD42" s="3">
        <v>27</v>
      </c>
      <c r="AE42" s="38">
        <v>3.8</v>
      </c>
      <c r="AF42" s="38">
        <v>0.4</v>
      </c>
      <c r="AG42" s="38">
        <v>3.2</v>
      </c>
      <c r="AH42" s="38">
        <v>3.2</v>
      </c>
      <c r="AI42" s="38">
        <v>3.7</v>
      </c>
      <c r="AJ42" s="38">
        <v>4.4000000000000004</v>
      </c>
      <c r="AK42" s="38">
        <v>5</v>
      </c>
      <c r="AM42" s="3">
        <v>32</v>
      </c>
      <c r="AN42" s="38">
        <v>3.9</v>
      </c>
      <c r="AO42" s="38">
        <v>0.4</v>
      </c>
      <c r="AP42" s="38">
        <v>3.3</v>
      </c>
      <c r="AQ42" s="38">
        <v>3.4</v>
      </c>
      <c r="AR42" s="38">
        <v>3.8</v>
      </c>
      <c r="AS42" s="38">
        <v>4.5999999999999996</v>
      </c>
      <c r="AT42" s="38">
        <v>4.7</v>
      </c>
      <c r="AV42" s="3">
        <v>29</v>
      </c>
      <c r="AW42" s="38">
        <v>3.9</v>
      </c>
      <c r="AX42" s="38">
        <v>0.3</v>
      </c>
      <c r="AY42" s="38">
        <v>3.1</v>
      </c>
      <c r="AZ42" s="38">
        <v>3.2</v>
      </c>
      <c r="BA42" s="38">
        <v>3.8</v>
      </c>
      <c r="BB42" s="38">
        <v>4.3</v>
      </c>
      <c r="BC42" s="38">
        <v>4.5</v>
      </c>
      <c r="BE42" s="3">
        <v>31</v>
      </c>
      <c r="BF42" s="38">
        <v>4</v>
      </c>
      <c r="BG42" s="38">
        <v>0.3</v>
      </c>
      <c r="BH42" s="38">
        <v>3.4</v>
      </c>
      <c r="BI42" s="38">
        <v>3.4</v>
      </c>
      <c r="BJ42" s="38">
        <v>4</v>
      </c>
      <c r="BK42" s="38">
        <v>4.4000000000000004</v>
      </c>
      <c r="BL42" s="38">
        <v>4.8</v>
      </c>
    </row>
    <row r="43" spans="2:64">
      <c r="B43" s="2" t="s">
        <v>198</v>
      </c>
      <c r="C43" s="3">
        <v>31</v>
      </c>
      <c r="D43" s="38">
        <v>8.1999999999999993</v>
      </c>
      <c r="E43" s="38">
        <v>0.5</v>
      </c>
      <c r="F43" s="38">
        <v>7.4</v>
      </c>
      <c r="G43" s="38">
        <v>7.4</v>
      </c>
      <c r="H43" s="38">
        <v>8.1</v>
      </c>
      <c r="I43" s="38">
        <v>9</v>
      </c>
      <c r="J43" s="38">
        <v>9.5</v>
      </c>
      <c r="L43" s="3">
        <v>44</v>
      </c>
      <c r="M43" s="38">
        <v>9.1</v>
      </c>
      <c r="N43" s="38">
        <v>0.6</v>
      </c>
      <c r="O43" s="38">
        <v>8.1999999999999993</v>
      </c>
      <c r="P43" s="38">
        <v>8.1999999999999993</v>
      </c>
      <c r="Q43" s="38">
        <v>9</v>
      </c>
      <c r="R43" s="38">
        <v>10.199999999999999</v>
      </c>
      <c r="S43" s="38">
        <v>10.3</v>
      </c>
      <c r="U43" s="3">
        <v>31</v>
      </c>
      <c r="V43" s="38">
        <v>10</v>
      </c>
      <c r="W43" s="38">
        <v>0.7</v>
      </c>
      <c r="X43" s="38">
        <v>8.9</v>
      </c>
      <c r="Y43" s="38">
        <v>9</v>
      </c>
      <c r="Z43" s="38">
        <v>9.9</v>
      </c>
      <c r="AA43" s="38">
        <v>11</v>
      </c>
      <c r="AB43" s="38">
        <v>11.4</v>
      </c>
      <c r="AD43" s="3">
        <v>27</v>
      </c>
      <c r="AE43" s="38">
        <v>10.9</v>
      </c>
      <c r="AF43" s="38">
        <v>0.6</v>
      </c>
      <c r="AG43" s="38">
        <v>9.6999999999999993</v>
      </c>
      <c r="AH43" s="38">
        <v>9.8000000000000007</v>
      </c>
      <c r="AI43" s="38">
        <v>10.7</v>
      </c>
      <c r="AJ43" s="38">
        <v>12.1</v>
      </c>
      <c r="AK43" s="38">
        <v>12.3</v>
      </c>
      <c r="AM43" s="3">
        <v>32</v>
      </c>
      <c r="AN43" s="38">
        <v>11.7</v>
      </c>
      <c r="AO43" s="38">
        <v>0.8</v>
      </c>
      <c r="AP43" s="38">
        <v>10.199999999999999</v>
      </c>
      <c r="AQ43" s="38">
        <v>10.199999999999999</v>
      </c>
      <c r="AR43" s="38">
        <v>11.6</v>
      </c>
      <c r="AS43" s="38">
        <v>13.1</v>
      </c>
      <c r="AT43" s="38">
        <v>14</v>
      </c>
      <c r="AV43" s="3">
        <v>29</v>
      </c>
      <c r="AW43" s="38">
        <v>11.9</v>
      </c>
      <c r="AX43" s="38">
        <v>1</v>
      </c>
      <c r="AY43" s="38">
        <v>9.8000000000000007</v>
      </c>
      <c r="AZ43" s="38">
        <v>9.8000000000000007</v>
      </c>
      <c r="BA43" s="38">
        <v>12</v>
      </c>
      <c r="BB43" s="38">
        <v>13.3</v>
      </c>
      <c r="BC43" s="38">
        <v>13.5</v>
      </c>
      <c r="BE43" s="3">
        <v>31</v>
      </c>
      <c r="BF43" s="38">
        <v>12.5</v>
      </c>
      <c r="BG43" s="38">
        <v>0.9</v>
      </c>
      <c r="BH43" s="38">
        <v>10.5</v>
      </c>
      <c r="BI43" s="38">
        <v>10.8</v>
      </c>
      <c r="BJ43" s="38">
        <v>12.5</v>
      </c>
      <c r="BK43" s="38">
        <v>14</v>
      </c>
      <c r="BL43" s="38">
        <v>14.2</v>
      </c>
    </row>
    <row r="44" spans="2:64">
      <c r="B44" s="2" t="s">
        <v>199</v>
      </c>
      <c r="C44" s="3">
        <v>31</v>
      </c>
      <c r="D44" s="38">
        <v>3.6</v>
      </c>
      <c r="E44" s="38">
        <v>0.4</v>
      </c>
      <c r="F44" s="38">
        <v>2.9</v>
      </c>
      <c r="G44" s="38">
        <v>3</v>
      </c>
      <c r="H44" s="38">
        <v>3.5</v>
      </c>
      <c r="I44" s="38">
        <v>4.3</v>
      </c>
      <c r="J44" s="38">
        <v>4.5</v>
      </c>
      <c r="L44" s="3">
        <v>44</v>
      </c>
      <c r="M44" s="38">
        <v>4</v>
      </c>
      <c r="N44" s="38">
        <v>0.3</v>
      </c>
      <c r="O44" s="38">
        <v>3.2</v>
      </c>
      <c r="P44" s="38">
        <v>3.4</v>
      </c>
      <c r="Q44" s="38">
        <v>3.9</v>
      </c>
      <c r="R44" s="38">
        <v>4.5999999999999996</v>
      </c>
      <c r="S44" s="38">
        <v>4.8</v>
      </c>
      <c r="U44" s="3">
        <v>31</v>
      </c>
      <c r="V44" s="38">
        <v>4.2</v>
      </c>
      <c r="W44" s="38">
        <v>0.3</v>
      </c>
      <c r="X44" s="38">
        <v>3.6</v>
      </c>
      <c r="Y44" s="38">
        <v>3.7</v>
      </c>
      <c r="Z44" s="38">
        <v>4.0999999999999996</v>
      </c>
      <c r="AA44" s="38">
        <v>4.8</v>
      </c>
      <c r="AB44" s="38">
        <v>5</v>
      </c>
      <c r="AD44" s="3">
        <v>27</v>
      </c>
      <c r="AE44" s="38">
        <v>4.7</v>
      </c>
      <c r="AF44" s="38">
        <v>0.4</v>
      </c>
      <c r="AG44" s="38">
        <v>4.0999999999999996</v>
      </c>
      <c r="AH44" s="38">
        <v>4.0999999999999996</v>
      </c>
      <c r="AI44" s="38">
        <v>4.7</v>
      </c>
      <c r="AJ44" s="38">
        <v>5.3</v>
      </c>
      <c r="AK44" s="38">
        <v>5.4</v>
      </c>
      <c r="AM44" s="3">
        <v>32</v>
      </c>
      <c r="AN44" s="38">
        <v>4.9000000000000004</v>
      </c>
      <c r="AO44" s="38">
        <v>0.3</v>
      </c>
      <c r="AP44" s="38">
        <v>4.4000000000000004</v>
      </c>
      <c r="AQ44" s="38">
        <v>4.4000000000000004</v>
      </c>
      <c r="AR44" s="38">
        <v>4.9000000000000004</v>
      </c>
      <c r="AS44" s="38">
        <v>5.5</v>
      </c>
      <c r="AT44" s="38">
        <v>5.9</v>
      </c>
      <c r="AV44" s="3">
        <v>29</v>
      </c>
      <c r="AW44" s="38">
        <v>5</v>
      </c>
      <c r="AX44" s="38">
        <v>0.4</v>
      </c>
      <c r="AY44" s="38">
        <v>4</v>
      </c>
      <c r="AZ44" s="38">
        <v>4.0999999999999996</v>
      </c>
      <c r="BA44" s="38">
        <v>4.9000000000000004</v>
      </c>
      <c r="BB44" s="38">
        <v>5.7</v>
      </c>
      <c r="BC44" s="38">
        <v>5.9</v>
      </c>
      <c r="BE44" s="3">
        <v>31</v>
      </c>
      <c r="BF44" s="38">
        <v>5.2</v>
      </c>
      <c r="BG44" s="38">
        <v>0.4</v>
      </c>
      <c r="BH44" s="38">
        <v>4.0999999999999996</v>
      </c>
      <c r="BI44" s="38">
        <v>4.2</v>
      </c>
      <c r="BJ44" s="38">
        <v>5.2</v>
      </c>
      <c r="BK44" s="38">
        <v>5.8</v>
      </c>
      <c r="BL44" s="38">
        <v>5.9</v>
      </c>
    </row>
  </sheetData>
  <phoneticPr fontId="104"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pageSetUpPr fitToPage="1"/>
  </sheetPr>
  <dimension ref="A1:AD214"/>
  <sheetViews>
    <sheetView topLeftCell="A20" zoomScaleNormal="100" workbookViewId="0">
      <selection activeCell="A53" sqref="A53"/>
    </sheetView>
  </sheetViews>
  <sheetFormatPr defaultColWidth="8.85546875" defaultRowHeight="12.75"/>
  <cols>
    <col min="1" max="1" width="28" style="82" customWidth="1"/>
    <col min="2" max="2" width="7.7109375" style="551" customWidth="1"/>
    <col min="3" max="3" width="10.7109375" style="171" customWidth="1"/>
    <col min="4" max="6" width="8.85546875" style="171" customWidth="1"/>
    <col min="7" max="7" width="3.7109375" style="171" customWidth="1"/>
    <col min="8" max="10" width="8.85546875" style="82" customWidth="1"/>
    <col min="11" max="11" width="2.7109375" style="82" customWidth="1"/>
    <col min="12" max="14" width="8.85546875" style="82" customWidth="1"/>
    <col min="15" max="15" width="2.7109375" style="82" customWidth="1"/>
    <col min="16" max="16" width="8.85546875" style="82" customWidth="1"/>
    <col min="17" max="17" width="13.42578125" style="82" customWidth="1"/>
    <col min="18" max="18" width="7.28515625" style="82" hidden="1" customWidth="1"/>
    <col min="19" max="28" width="7.7109375" style="551" hidden="1" customWidth="1"/>
    <col min="29" max="29" width="8.85546875" style="82" hidden="1" customWidth="1"/>
    <col min="30" max="30" width="6.85546875" style="544" customWidth="1"/>
    <col min="31" max="35" width="8.85546875" style="82" customWidth="1"/>
    <col min="36" max="16384" width="8.85546875" style="82"/>
  </cols>
  <sheetData>
    <row r="1" spans="1:30" ht="37.5" customHeight="1">
      <c r="A1" s="700" t="s">
        <v>4323</v>
      </c>
      <c r="B1" s="546" t="s">
        <v>3570</v>
      </c>
      <c r="C1" s="504" t="str">
        <f>IF($B$93=1,"CAUTION Tool Settings Changed","")</f>
        <v>CAUTION Tool Settings Changed</v>
      </c>
      <c r="S1" s="545" t="s">
        <v>3487</v>
      </c>
      <c r="T1" s="545" t="s">
        <v>3486</v>
      </c>
      <c r="U1" s="545" t="s">
        <v>3487</v>
      </c>
      <c r="V1" s="612" t="s">
        <v>3561</v>
      </c>
      <c r="W1" s="545" t="s">
        <v>3479</v>
      </c>
      <c r="X1" s="545" t="s">
        <v>3567</v>
      </c>
      <c r="Y1" s="545" t="s">
        <v>3568</v>
      </c>
      <c r="Z1" s="545" t="s">
        <v>3511</v>
      </c>
      <c r="AA1" s="545" t="s">
        <v>3569</v>
      </c>
      <c r="AB1" s="546" t="s">
        <v>3570</v>
      </c>
      <c r="AD1" s="689"/>
    </row>
    <row r="2" spans="1:30" ht="12.95" customHeight="1">
      <c r="A2" s="543" t="s">
        <v>3562</v>
      </c>
      <c r="B2" s="545">
        <v>1</v>
      </c>
      <c r="C2" s="504"/>
      <c r="Q2" s="619"/>
      <c r="S2" s="545">
        <v>8</v>
      </c>
      <c r="T2" s="545">
        <v>9</v>
      </c>
      <c r="U2" s="545">
        <v>8</v>
      </c>
      <c r="V2" s="545">
        <v>7</v>
      </c>
      <c r="W2" s="545">
        <v>6</v>
      </c>
      <c r="X2" s="545">
        <v>5</v>
      </c>
      <c r="Y2" s="545">
        <v>4</v>
      </c>
      <c r="Z2" s="545">
        <v>3</v>
      </c>
      <c r="AA2" s="545">
        <v>2</v>
      </c>
      <c r="AB2" s="545">
        <v>1</v>
      </c>
      <c r="AD2" s="689" t="s">
        <v>2031</v>
      </c>
    </row>
    <row r="3" spans="1:30" ht="18.75">
      <c r="A3" s="478" t="s">
        <v>498</v>
      </c>
      <c r="B3" s="547"/>
      <c r="R3"/>
      <c r="S3" s="547"/>
      <c r="T3" s="547"/>
      <c r="U3" s="547"/>
      <c r="V3" s="547"/>
      <c r="W3" s="547"/>
      <c r="X3" s="547"/>
      <c r="Y3" s="547"/>
      <c r="Z3" s="547"/>
      <c r="AA3" s="547"/>
      <c r="AB3" s="547"/>
      <c r="AD3" s="689" t="s">
        <v>2031</v>
      </c>
    </row>
    <row r="4" spans="1:30">
      <c r="A4" s="184" t="s">
        <v>494</v>
      </c>
      <c r="B4" s="548">
        <v>1</v>
      </c>
      <c r="C4" s="453" t="str">
        <f>IF(B4=1,"ON","OFF")</f>
        <v>ON</v>
      </c>
      <c r="S4" s="548">
        <v>1</v>
      </c>
      <c r="T4" s="548">
        <v>0</v>
      </c>
      <c r="U4" s="548">
        <v>1</v>
      </c>
      <c r="V4" s="548">
        <v>1</v>
      </c>
      <c r="W4" s="548">
        <v>0</v>
      </c>
      <c r="X4" s="548">
        <v>1</v>
      </c>
      <c r="Y4" s="548">
        <v>1</v>
      </c>
      <c r="Z4" s="548">
        <v>1</v>
      </c>
      <c r="AA4" s="548">
        <v>1</v>
      </c>
      <c r="AB4" s="548">
        <v>1</v>
      </c>
      <c r="AD4" s="689" t="s">
        <v>2031</v>
      </c>
    </row>
    <row r="5" spans="1:30">
      <c r="A5" s="184" t="s">
        <v>495</v>
      </c>
      <c r="B5" s="548">
        <v>0</v>
      </c>
      <c r="C5" s="453" t="str">
        <f>IF(B5=1,"ON","OFF")</f>
        <v>OFF</v>
      </c>
      <c r="S5" s="548">
        <v>1</v>
      </c>
      <c r="T5" s="548">
        <v>0</v>
      </c>
      <c r="U5" s="548">
        <v>1</v>
      </c>
      <c r="V5" s="548">
        <v>1</v>
      </c>
      <c r="W5" s="548">
        <v>1</v>
      </c>
      <c r="X5" s="548">
        <v>1</v>
      </c>
      <c r="Y5" s="548">
        <v>1</v>
      </c>
      <c r="Z5" s="548">
        <v>1</v>
      </c>
      <c r="AA5" s="548">
        <v>1</v>
      </c>
      <c r="AB5" s="548">
        <v>1</v>
      </c>
      <c r="AD5" s="689" t="s">
        <v>2031</v>
      </c>
    </row>
    <row r="6" spans="1:30">
      <c r="A6" s="184" t="s">
        <v>496</v>
      </c>
      <c r="B6" s="549">
        <v>0</v>
      </c>
      <c r="C6" s="453" t="str">
        <f>IF(B6=1,"ON","OFF")</f>
        <v>OFF</v>
      </c>
      <c r="S6" s="549">
        <v>0</v>
      </c>
      <c r="T6" s="549">
        <v>0</v>
      </c>
      <c r="U6" s="549">
        <v>1</v>
      </c>
      <c r="V6" s="549">
        <v>0</v>
      </c>
      <c r="W6" s="549">
        <v>0</v>
      </c>
      <c r="X6" s="549">
        <v>0</v>
      </c>
      <c r="Y6" s="549">
        <v>0</v>
      </c>
      <c r="Z6" s="549">
        <v>0</v>
      </c>
      <c r="AA6" s="549">
        <v>0</v>
      </c>
      <c r="AB6" s="549">
        <v>0</v>
      </c>
      <c r="AD6" s="689" t="s">
        <v>2031</v>
      </c>
    </row>
    <row r="7" spans="1:30">
      <c r="B7" s="634" t="str">
        <f t="shared" ref="B7" si="0">$B$4&amp;$B$5&amp;$B$6</f>
        <v>100</v>
      </c>
      <c r="C7" s="633"/>
      <c r="D7" s="82"/>
      <c r="E7" s="82"/>
      <c r="F7" s="82"/>
      <c r="G7" s="82"/>
      <c r="S7" s="634" t="str">
        <f t="shared" ref="S7:AB7" si="1">$B$4&amp;$B$5&amp;$B$6</f>
        <v>100</v>
      </c>
      <c r="T7" s="634" t="str">
        <f t="shared" si="1"/>
        <v>100</v>
      </c>
      <c r="U7" s="634" t="str">
        <f t="shared" si="1"/>
        <v>100</v>
      </c>
      <c r="V7" s="634" t="str">
        <f t="shared" si="1"/>
        <v>100</v>
      </c>
      <c r="W7" s="634" t="str">
        <f t="shared" si="1"/>
        <v>100</v>
      </c>
      <c r="X7" s="634" t="str">
        <f t="shared" si="1"/>
        <v>100</v>
      </c>
      <c r="Y7" s="634" t="str">
        <f t="shared" si="1"/>
        <v>100</v>
      </c>
      <c r="Z7" s="634" t="str">
        <f t="shared" si="1"/>
        <v>100</v>
      </c>
      <c r="AA7" s="634" t="str">
        <f t="shared" si="1"/>
        <v>100</v>
      </c>
      <c r="AB7" s="634" t="str">
        <f t="shared" si="1"/>
        <v>100</v>
      </c>
      <c r="AC7" s="505"/>
      <c r="AD7" s="689" t="s">
        <v>2031</v>
      </c>
    </row>
    <row r="8" spans="1:30" ht="18.75">
      <c r="A8" s="478" t="s">
        <v>525</v>
      </c>
      <c r="B8" s="550" t="s">
        <v>375</v>
      </c>
      <c r="S8" s="550" t="s">
        <v>375</v>
      </c>
      <c r="T8" s="550" t="s">
        <v>375</v>
      </c>
      <c r="U8" s="550" t="s">
        <v>375</v>
      </c>
      <c r="V8" s="550" t="s">
        <v>375</v>
      </c>
      <c r="W8" s="550" t="s">
        <v>375</v>
      </c>
      <c r="X8" s="550" t="s">
        <v>375</v>
      </c>
      <c r="Y8" s="550" t="s">
        <v>375</v>
      </c>
      <c r="Z8" s="550" t="s">
        <v>375</v>
      </c>
      <c r="AA8" s="550" t="s">
        <v>375</v>
      </c>
      <c r="AB8" s="550" t="s">
        <v>375</v>
      </c>
      <c r="AD8" s="689" t="s">
        <v>2031</v>
      </c>
    </row>
    <row r="9" spans="1:30" ht="12.95" customHeight="1">
      <c r="A9" s="184" t="s">
        <v>309</v>
      </c>
      <c r="B9" s="548">
        <v>1</v>
      </c>
      <c r="C9" s="453" t="str">
        <f t="shared" ref="C9:C11" si="2">IF(B9=1,"ON","OFF")</f>
        <v>ON</v>
      </c>
      <c r="S9" s="548">
        <v>1</v>
      </c>
      <c r="T9" s="548">
        <v>0</v>
      </c>
      <c r="U9" s="548">
        <v>1</v>
      </c>
      <c r="V9" s="548">
        <v>1</v>
      </c>
      <c r="W9" s="548">
        <v>1</v>
      </c>
      <c r="X9" s="548">
        <v>1</v>
      </c>
      <c r="Y9" s="548">
        <v>1</v>
      </c>
      <c r="Z9" s="548">
        <v>1</v>
      </c>
      <c r="AA9" s="548">
        <v>1</v>
      </c>
      <c r="AB9" s="548">
        <v>1</v>
      </c>
      <c r="AD9" s="689" t="s">
        <v>2031</v>
      </c>
    </row>
    <row r="10" spans="1:30">
      <c r="A10" s="184" t="s">
        <v>398</v>
      </c>
      <c r="B10" s="548">
        <v>1</v>
      </c>
      <c r="C10" s="453" t="str">
        <f t="shared" si="2"/>
        <v>ON</v>
      </c>
      <c r="S10" s="548">
        <v>1</v>
      </c>
      <c r="T10" s="548">
        <v>0</v>
      </c>
      <c r="U10" s="548">
        <v>1</v>
      </c>
      <c r="V10" s="548">
        <v>1</v>
      </c>
      <c r="W10" s="548">
        <v>1</v>
      </c>
      <c r="X10" s="548">
        <v>1</v>
      </c>
      <c r="Y10" s="548">
        <v>1</v>
      </c>
      <c r="Z10" s="548">
        <v>1</v>
      </c>
      <c r="AA10" s="548">
        <v>1</v>
      </c>
      <c r="AB10" s="548">
        <v>1</v>
      </c>
      <c r="AD10" s="689" t="s">
        <v>2031</v>
      </c>
    </row>
    <row r="11" spans="1:30">
      <c r="A11" s="184" t="s">
        <v>308</v>
      </c>
      <c r="B11" s="548">
        <v>1</v>
      </c>
      <c r="C11" s="453" t="str">
        <f t="shared" si="2"/>
        <v>ON</v>
      </c>
      <c r="S11" s="548">
        <v>1</v>
      </c>
      <c r="T11" s="548">
        <v>0</v>
      </c>
      <c r="U11" s="548">
        <v>1</v>
      </c>
      <c r="V11" s="548">
        <v>1</v>
      </c>
      <c r="W11" s="548">
        <v>1</v>
      </c>
      <c r="X11" s="548">
        <v>1</v>
      </c>
      <c r="Y11" s="548">
        <v>1</v>
      </c>
      <c r="Z11" s="548">
        <v>1</v>
      </c>
      <c r="AA11" s="548">
        <v>1</v>
      </c>
      <c r="AB11" s="548">
        <v>1</v>
      </c>
      <c r="AD11" s="689" t="s">
        <v>2031</v>
      </c>
    </row>
    <row r="12" spans="1:30" ht="12.95" customHeight="1">
      <c r="AD12" s="689" t="s">
        <v>2031</v>
      </c>
    </row>
    <row r="13" spans="1:30" ht="18.75">
      <c r="A13" s="479" t="s">
        <v>3460</v>
      </c>
      <c r="B13" s="552" t="s">
        <v>3466</v>
      </c>
      <c r="C13" s="486" t="s">
        <v>3467</v>
      </c>
      <c r="S13" s="552" t="s">
        <v>3466</v>
      </c>
      <c r="T13" s="552" t="s">
        <v>3466</v>
      </c>
      <c r="U13" s="552" t="s">
        <v>3466</v>
      </c>
      <c r="V13" s="552" t="s">
        <v>3466</v>
      </c>
      <c r="W13" s="552" t="s">
        <v>3466</v>
      </c>
      <c r="X13" s="552" t="s">
        <v>3466</v>
      </c>
      <c r="Y13" s="552" t="s">
        <v>3466</v>
      </c>
      <c r="Z13" s="552" t="s">
        <v>3466</v>
      </c>
      <c r="AA13" s="552" t="s">
        <v>3466</v>
      </c>
      <c r="AB13" s="552" t="s">
        <v>3466</v>
      </c>
      <c r="AD13" s="689" t="s">
        <v>2031</v>
      </c>
    </row>
    <row r="14" spans="1:30">
      <c r="A14" s="481" t="s">
        <v>318</v>
      </c>
      <c r="B14" s="553">
        <v>75</v>
      </c>
      <c r="C14" s="167">
        <f>B14/2.54</f>
        <v>29.527559055118111</v>
      </c>
      <c r="R14"/>
      <c r="S14" s="553">
        <v>300</v>
      </c>
      <c r="T14" s="553">
        <v>0</v>
      </c>
      <c r="U14" s="553">
        <v>300</v>
      </c>
      <c r="V14" s="553">
        <v>125.1</v>
      </c>
      <c r="W14" s="553">
        <v>125</v>
      </c>
      <c r="X14" s="553">
        <v>125.1</v>
      </c>
      <c r="Y14" s="553">
        <v>125.1</v>
      </c>
      <c r="Z14" s="553">
        <v>126</v>
      </c>
      <c r="AA14" s="553">
        <v>105</v>
      </c>
      <c r="AB14" s="553">
        <v>75</v>
      </c>
      <c r="AD14" s="689" t="s">
        <v>2031</v>
      </c>
    </row>
    <row r="15" spans="1:30">
      <c r="A15" s="481" t="s">
        <v>319</v>
      </c>
      <c r="B15" s="553">
        <v>0</v>
      </c>
      <c r="C15" s="167">
        <f>B15/2.54</f>
        <v>0</v>
      </c>
      <c r="S15" s="553">
        <v>0</v>
      </c>
      <c r="T15" s="553">
        <v>0</v>
      </c>
      <c r="U15" s="553">
        <v>0</v>
      </c>
      <c r="V15" s="553">
        <v>75</v>
      </c>
      <c r="W15" s="553">
        <v>75</v>
      </c>
      <c r="X15" s="553">
        <v>85</v>
      </c>
      <c r="Y15" s="553">
        <v>76</v>
      </c>
      <c r="Z15" s="553">
        <v>0</v>
      </c>
      <c r="AA15" s="553">
        <v>0</v>
      </c>
      <c r="AB15" s="553">
        <v>0</v>
      </c>
      <c r="AD15" s="689" t="s">
        <v>2031</v>
      </c>
    </row>
    <row r="16" spans="1:30">
      <c r="A16" s="481" t="s">
        <v>364</v>
      </c>
      <c r="B16" s="553">
        <v>10</v>
      </c>
      <c r="C16" s="186">
        <f>B16*2.20462</f>
        <v>22.046199999999999</v>
      </c>
      <c r="S16" s="553">
        <v>100</v>
      </c>
      <c r="T16" s="553">
        <v>0</v>
      </c>
      <c r="U16" s="553">
        <v>100</v>
      </c>
      <c r="V16" s="553">
        <v>55</v>
      </c>
      <c r="W16" s="553">
        <v>100</v>
      </c>
      <c r="X16" s="553">
        <v>55</v>
      </c>
      <c r="Y16" s="553">
        <v>55</v>
      </c>
      <c r="Z16" s="553">
        <v>36.5</v>
      </c>
      <c r="AA16" s="553">
        <v>18</v>
      </c>
      <c r="AB16" s="553">
        <v>10</v>
      </c>
      <c r="AD16" s="689" t="s">
        <v>2031</v>
      </c>
    </row>
    <row r="17" spans="1:30">
      <c r="A17" s="481" t="s">
        <v>365</v>
      </c>
      <c r="B17" s="553">
        <v>0</v>
      </c>
      <c r="C17" s="186">
        <f>B17*2.20462</f>
        <v>0</v>
      </c>
      <c r="S17" s="553">
        <v>0</v>
      </c>
      <c r="T17" s="553">
        <v>0</v>
      </c>
      <c r="U17" s="553">
        <v>0</v>
      </c>
      <c r="V17" s="553">
        <v>10</v>
      </c>
      <c r="W17" s="553">
        <v>0</v>
      </c>
      <c r="X17" s="553">
        <v>18</v>
      </c>
      <c r="Y17" s="553">
        <v>18</v>
      </c>
      <c r="Z17" s="553">
        <v>0</v>
      </c>
      <c r="AA17" s="553">
        <v>0</v>
      </c>
      <c r="AB17" s="553">
        <v>0</v>
      </c>
      <c r="AD17" s="689" t="s">
        <v>2031</v>
      </c>
    </row>
    <row r="18" spans="1:30">
      <c r="AD18" s="689" t="s">
        <v>2031</v>
      </c>
    </row>
    <row r="19" spans="1:30" ht="18.75">
      <c r="A19" s="478" t="s">
        <v>3457</v>
      </c>
      <c r="AD19" s="689" t="s">
        <v>2031</v>
      </c>
    </row>
    <row r="20" spans="1:30" ht="25.5" customHeight="1">
      <c r="A20" s="289" t="s">
        <v>476</v>
      </c>
      <c r="B20" s="554">
        <v>1</v>
      </c>
      <c r="C20" s="452" t="str">
        <f>IF(B20=1,"Large","Small") &amp; " " &amp;" Child"</f>
        <v>Large  Child</v>
      </c>
      <c r="S20" s="554">
        <v>1</v>
      </c>
      <c r="T20" s="554">
        <v>0</v>
      </c>
      <c r="U20" s="554">
        <v>1</v>
      </c>
      <c r="V20" s="554">
        <v>1</v>
      </c>
      <c r="W20" s="554">
        <v>1</v>
      </c>
      <c r="X20" s="554">
        <v>1</v>
      </c>
      <c r="Y20" s="554">
        <v>1</v>
      </c>
      <c r="Z20" s="554">
        <v>1</v>
      </c>
      <c r="AA20" s="554">
        <v>1</v>
      </c>
      <c r="AB20" s="554">
        <v>1</v>
      </c>
      <c r="AD20" s="689" t="s">
        <v>2031</v>
      </c>
    </row>
    <row r="21" spans="1:30" ht="12.95" customHeight="1">
      <c r="A21" s="280" t="s">
        <v>453</v>
      </c>
      <c r="B21" s="548">
        <v>1</v>
      </c>
      <c r="C21" s="453" t="str">
        <f>IF(B21=1,1,2) &amp; " " &amp;" pc."</f>
        <v>1  pc.</v>
      </c>
      <c r="S21" s="548">
        <v>1</v>
      </c>
      <c r="T21" s="548">
        <v>0</v>
      </c>
      <c r="U21" s="548">
        <v>1</v>
      </c>
      <c r="V21" s="548">
        <v>1</v>
      </c>
      <c r="W21" s="548">
        <v>1</v>
      </c>
      <c r="X21" s="548">
        <v>1</v>
      </c>
      <c r="Y21" s="548">
        <v>1</v>
      </c>
      <c r="Z21" s="548">
        <v>1</v>
      </c>
      <c r="AA21" s="548">
        <v>1</v>
      </c>
      <c r="AB21" s="548">
        <v>1</v>
      </c>
      <c r="AD21" s="689" t="s">
        <v>2031</v>
      </c>
    </row>
    <row r="22" spans="1:30" ht="36.950000000000003" customHeight="1">
      <c r="A22" s="477" t="str">
        <f>IF($B$34=1,"SHIELD",IF($B$25=0,"Show Harness Slots",IF($B$27=0,"Show Harness Strap",IF(B22&gt;1,"Distance Between CFA and Splitter Plate Clearances Appears Good!","CAUTION…CFA and SPLITTER PLATE INTERFEARANCE"))))</f>
        <v>Distance Between CFA and Splitter Plate Clearances Appears Good!</v>
      </c>
      <c r="B22" s="555">
        <f>IF($B$34=1,"X",IF($B$27=0,"X",IF($B$25=0,"X",Solution!CD63+ABS(Solution!CD70))))</f>
        <v>47.168559999999999</v>
      </c>
      <c r="C22" s="476">
        <f>IF($B$34=1,"SHIELD",IF($B$25=0,"Show Harness Slots",IF($B$27=0,"Show Harness Strap",(B22/2.54))))</f>
        <v>18.570299212598425</v>
      </c>
      <c r="S22" s="555">
        <f>IF($B$34=1,"X",IF($B$27=0,"X",IF($B$25=0,"X",Solution!CU63+ABS(Solution!CU70))))</f>
        <v>0</v>
      </c>
      <c r="T22" s="555">
        <f>IF($B$34=1,"X",IF($B$27=0,"X",IF($B$25=0,"X",Solution!CV63+ABS(Solution!CV70))))</f>
        <v>0</v>
      </c>
      <c r="U22" s="555">
        <f>IF($B$34=1,"X",IF($B$27=0,"X",IF($B$25=0,"X",Solution!CW63+ABS(Solution!CW70))))</f>
        <v>0</v>
      </c>
      <c r="V22" s="555">
        <f>IF($B$34=1,"X",IF($B$27=0,"X",IF($B$25=0,"X",Solution!CX63+ABS(Solution!CX70))))</f>
        <v>0</v>
      </c>
      <c r="W22" s="555">
        <f>IF($B$34=1,"X",IF($B$27=0,"X",IF($B$25=0,"X",Solution!CY63+ABS(Solution!CY70))))</f>
        <v>0</v>
      </c>
      <c r="X22" s="555">
        <f>IF($B$34=1,"X",IF($B$27=0,"X",IF($B$25=0,"X",Solution!CZ63+ABS(Solution!CZ70))))</f>
        <v>0</v>
      </c>
      <c r="Y22" s="555">
        <f>IF($B$34=1,"X",IF($B$27=0,"X",IF($B$25=0,"X",Solution!DA63+ABS(Solution!DA70))))</f>
        <v>0</v>
      </c>
      <c r="Z22" s="555">
        <f>IF($B$34=1,"X",IF($B$27=0,"X",IF($B$25=0,"X",Solution!DB63+ABS(Solution!DB70))))</f>
        <v>0</v>
      </c>
      <c r="AA22" s="555">
        <f>IF($B$34=1,"X",IF($B$27=0,"X",IF($B$25=0,"X",Solution!DC63+ABS(Solution!DC70))))</f>
        <v>0</v>
      </c>
      <c r="AB22" s="555">
        <f>IF($B$34=1,"X",IF($B$27=0,"X",IF($B$25=0,"X",Solution!DD63+ABS(Solution!DD70))))</f>
        <v>0</v>
      </c>
      <c r="AD22" s="689" t="s">
        <v>2031</v>
      </c>
    </row>
    <row r="23" spans="1:30">
      <c r="A23" s="276" t="s">
        <v>474</v>
      </c>
      <c r="B23" s="556">
        <f>IF(B22="X", "-na-",IF($B$21=1,SUM(Solution!$CK$30:$CQ$30)*2,SUM(Solution!$CL$31:$CQ$31)))</f>
        <v>125.6803445719586</v>
      </c>
      <c r="C23" s="167">
        <f>IF(B22="X", "-na-",(B23/2.54))</f>
        <v>49.480450618881335</v>
      </c>
      <c r="S23" s="556">
        <f>IF(S22="X", "-na-",IF($B$21=1,SUM(Solution!$CK$30:$CQ$30)*2,SUM(Solution!$CL$31:$CQ$31)))</f>
        <v>125.6803445719586</v>
      </c>
      <c r="T23" s="556">
        <f>IF(T22="X", "-na-",IF($B$21=1,SUM(Solution!$CK$30:$CQ$30)*2,SUM(Solution!$CL$31:$CQ$31)))</f>
        <v>125.6803445719586</v>
      </c>
      <c r="U23" s="556">
        <f>IF(U22="X", "-na-",IF($B$21=1,SUM(Solution!$CK$30:$CQ$30)*2,SUM(Solution!$CL$31:$CQ$31)))</f>
        <v>125.6803445719586</v>
      </c>
      <c r="V23" s="556">
        <f>IF(V22="X", "-na-",IF($B$21=1,SUM(Solution!$CK$30:$CQ$30)*2,SUM(Solution!$CL$31:$CQ$31)))</f>
        <v>125.6803445719586</v>
      </c>
      <c r="W23" s="556">
        <f>IF(W22="X", "-na-",IF($B$21=1,SUM(Solution!$CK$30:$CQ$30)*2,SUM(Solution!$CL$31:$CQ$31)))</f>
        <v>125.6803445719586</v>
      </c>
      <c r="X23" s="556">
        <f>IF(X22="X", "-na-",IF($B$21=1,SUM(Solution!$CK$30:$CQ$30)*2,SUM(Solution!$CL$31:$CQ$31)))</f>
        <v>125.6803445719586</v>
      </c>
      <c r="Y23" s="556">
        <f>IF(Y22="X", "-na-",IF($B$21=1,SUM(Solution!$CK$30:$CQ$30)*2,SUM(Solution!$CL$31:$CQ$31)))</f>
        <v>125.6803445719586</v>
      </c>
      <c r="Z23" s="556">
        <f>IF(Z22="X", "-na-",IF($B$21=1,SUM(Solution!$CK$30:$CQ$30)*2,SUM(Solution!$CL$31:$CQ$31)))</f>
        <v>125.6803445719586</v>
      </c>
      <c r="AA23" s="556">
        <f>IF(AA22="X", "-na-",IF($B$21=1,SUM(Solution!$CK$30:$CQ$30)*2,SUM(Solution!$CL$31:$CQ$31)))</f>
        <v>125.6803445719586</v>
      </c>
      <c r="AB23" s="556">
        <f>IF(AB22="X", "-na-",IF($B$21=1,SUM(Solution!$CK$30:$CQ$30)*2,SUM(Solution!$CL$31:$CQ$31)))</f>
        <v>125.6803445719586</v>
      </c>
      <c r="AD23" s="689" t="s">
        <v>2031</v>
      </c>
    </row>
    <row r="24" spans="1:30">
      <c r="A24" s="701" t="s">
        <v>4324</v>
      </c>
      <c r="B24" s="548">
        <v>3</v>
      </c>
      <c r="C24" s="453" t="str">
        <f>IF($B$2&lt;=3,IF($B$24=1,"WARNING",""),"")</f>
        <v/>
      </c>
      <c r="S24" s="548">
        <v>11</v>
      </c>
      <c r="T24" s="548">
        <v>4</v>
      </c>
      <c r="U24" s="548">
        <v>11</v>
      </c>
      <c r="V24" s="548">
        <v>11</v>
      </c>
      <c r="W24" s="548">
        <v>11</v>
      </c>
      <c r="X24" s="548">
        <v>11</v>
      </c>
      <c r="Y24" s="548">
        <v>6</v>
      </c>
      <c r="Z24" s="548">
        <v>4</v>
      </c>
      <c r="AA24" s="548">
        <v>4</v>
      </c>
      <c r="AB24" s="548">
        <v>3</v>
      </c>
      <c r="AD24" s="689" t="s">
        <v>2031</v>
      </c>
    </row>
    <row r="25" spans="1:30">
      <c r="A25" s="300" t="s">
        <v>524</v>
      </c>
      <c r="B25" s="548">
        <v>1</v>
      </c>
      <c r="C25" s="453" t="str">
        <f>IF(B25=1,"ON","OFF")</f>
        <v>ON</v>
      </c>
      <c r="S25" s="548">
        <v>1</v>
      </c>
      <c r="T25" s="548">
        <v>0</v>
      </c>
      <c r="U25" s="548">
        <v>1</v>
      </c>
      <c r="V25" s="548">
        <v>0</v>
      </c>
      <c r="W25" s="548">
        <v>0</v>
      </c>
      <c r="X25" s="548">
        <v>0</v>
      </c>
      <c r="Y25" s="548">
        <v>1</v>
      </c>
      <c r="Z25" s="548">
        <v>1</v>
      </c>
      <c r="AA25" s="548">
        <v>1</v>
      </c>
      <c r="AB25" s="548">
        <v>1</v>
      </c>
      <c r="AD25" s="689" t="s">
        <v>2031</v>
      </c>
    </row>
    <row r="26" spans="1:30">
      <c r="A26" s="155" t="s">
        <v>415</v>
      </c>
      <c r="B26" s="557">
        <v>0</v>
      </c>
      <c r="S26" s="557">
        <v>0</v>
      </c>
      <c r="T26" s="557">
        <v>0</v>
      </c>
      <c r="U26" s="557">
        <v>0</v>
      </c>
      <c r="V26" s="557">
        <v>0</v>
      </c>
      <c r="W26" s="557">
        <v>0</v>
      </c>
      <c r="X26" s="557">
        <v>0</v>
      </c>
      <c r="Y26" s="557">
        <v>0</v>
      </c>
      <c r="Z26" s="557">
        <v>0</v>
      </c>
      <c r="AA26" s="557">
        <v>0</v>
      </c>
      <c r="AB26" s="557">
        <v>0</v>
      </c>
      <c r="AD26" s="689" t="s">
        <v>2031</v>
      </c>
    </row>
    <row r="27" spans="1:30">
      <c r="A27" s="464" t="s">
        <v>3456</v>
      </c>
      <c r="B27" s="554">
        <v>1</v>
      </c>
      <c r="C27" s="452" t="str">
        <f>IF(B27=1,IF(B25=0,"NO SLOTS","ON"),"OFF")</f>
        <v>ON</v>
      </c>
      <c r="S27" s="554">
        <v>1</v>
      </c>
      <c r="T27" s="554">
        <v>0</v>
      </c>
      <c r="U27" s="554">
        <v>1</v>
      </c>
      <c r="V27" s="554">
        <v>0</v>
      </c>
      <c r="W27" s="554">
        <v>0</v>
      </c>
      <c r="X27" s="554">
        <v>0</v>
      </c>
      <c r="Y27" s="554">
        <v>1</v>
      </c>
      <c r="Z27" s="554">
        <v>1</v>
      </c>
      <c r="AA27" s="554">
        <v>1</v>
      </c>
      <c r="AB27" s="554">
        <v>1</v>
      </c>
      <c r="AD27" s="689" t="s">
        <v>2031</v>
      </c>
    </row>
    <row r="28" spans="1:30">
      <c r="A28" s="155" t="s">
        <v>412</v>
      </c>
      <c r="B28" s="548">
        <v>1</v>
      </c>
      <c r="S28" s="548">
        <v>3</v>
      </c>
      <c r="T28" s="548">
        <v>1</v>
      </c>
      <c r="U28" s="548">
        <v>3</v>
      </c>
      <c r="V28" s="548">
        <v>1</v>
      </c>
      <c r="W28" s="548">
        <v>3</v>
      </c>
      <c r="X28" s="548">
        <v>1</v>
      </c>
      <c r="Y28" s="548">
        <v>1</v>
      </c>
      <c r="Z28" s="548">
        <v>3</v>
      </c>
      <c r="AA28" s="548">
        <v>3</v>
      </c>
      <c r="AB28" s="548">
        <v>1</v>
      </c>
      <c r="AD28" s="689" t="s">
        <v>2031</v>
      </c>
    </row>
    <row r="29" spans="1:30" s="501" customFormat="1" ht="25.5">
      <c r="A29" s="499" t="s">
        <v>400</v>
      </c>
      <c r="B29" s="554" t="s">
        <v>436</v>
      </c>
      <c r="C29" s="452" t="str">
        <f>IF(B29="V","Improved Hip Control","Straight Line")</f>
        <v>Improved Hip Control</v>
      </c>
      <c r="D29" s="500"/>
      <c r="E29" s="500"/>
      <c r="F29" s="500"/>
      <c r="G29" s="500"/>
      <c r="S29" s="554" t="s">
        <v>436</v>
      </c>
      <c r="T29" s="554">
        <v>1</v>
      </c>
      <c r="U29" s="554" t="s">
        <v>436</v>
      </c>
      <c r="V29" s="554" t="s">
        <v>436</v>
      </c>
      <c r="W29" s="554" t="s">
        <v>436</v>
      </c>
      <c r="X29" s="554" t="s">
        <v>436</v>
      </c>
      <c r="Y29" s="554" t="s">
        <v>436</v>
      </c>
      <c r="Z29" s="554" t="s">
        <v>436</v>
      </c>
      <c r="AA29" s="554" t="s">
        <v>436</v>
      </c>
      <c r="AB29" s="554" t="s">
        <v>436</v>
      </c>
      <c r="AD29" s="689" t="s">
        <v>2031</v>
      </c>
    </row>
    <row r="30" spans="1:30">
      <c r="A30" s="155" t="s">
        <v>413</v>
      </c>
      <c r="B30" s="548">
        <v>0</v>
      </c>
      <c r="S30" s="548">
        <v>0</v>
      </c>
      <c r="T30" s="548">
        <v>0</v>
      </c>
      <c r="U30" s="548">
        <v>0</v>
      </c>
      <c r="V30" s="548">
        <v>0</v>
      </c>
      <c r="W30" s="548">
        <v>0</v>
      </c>
      <c r="X30" s="548">
        <v>0</v>
      </c>
      <c r="Y30" s="548">
        <v>0</v>
      </c>
      <c r="Z30" s="548">
        <v>0</v>
      </c>
      <c r="AA30" s="548">
        <v>0</v>
      </c>
      <c r="AB30" s="548">
        <v>0</v>
      </c>
      <c r="AD30" s="689" t="s">
        <v>2031</v>
      </c>
    </row>
    <row r="31" spans="1:30">
      <c r="A31" s="300" t="s">
        <v>418</v>
      </c>
      <c r="B31" s="548">
        <v>1</v>
      </c>
      <c r="C31" s="453" t="str">
        <f>IF(B31=1,"ON","OFF")</f>
        <v>ON</v>
      </c>
      <c r="S31" s="548">
        <v>1</v>
      </c>
      <c r="T31" s="548">
        <v>0</v>
      </c>
      <c r="U31" s="548">
        <v>1</v>
      </c>
      <c r="V31" s="548">
        <v>1</v>
      </c>
      <c r="W31" s="548">
        <v>1</v>
      </c>
      <c r="X31" s="548">
        <v>1</v>
      </c>
      <c r="Y31" s="548">
        <v>1</v>
      </c>
      <c r="Z31" s="548">
        <v>1</v>
      </c>
      <c r="AA31" s="548">
        <v>1</v>
      </c>
      <c r="AB31" s="548">
        <v>1</v>
      </c>
      <c r="AD31" s="689" t="s">
        <v>2031</v>
      </c>
    </row>
    <row r="32" spans="1:30">
      <c r="A32" s="155" t="s">
        <v>414</v>
      </c>
      <c r="B32" s="548">
        <v>1</v>
      </c>
      <c r="S32" s="548">
        <v>3</v>
      </c>
      <c r="T32" s="548">
        <v>1</v>
      </c>
      <c r="U32" s="548">
        <v>3</v>
      </c>
      <c r="V32" s="548">
        <v>1</v>
      </c>
      <c r="W32" s="548">
        <v>3</v>
      </c>
      <c r="X32" s="548">
        <v>1</v>
      </c>
      <c r="Y32" s="548">
        <v>1</v>
      </c>
      <c r="Z32" s="548">
        <v>3</v>
      </c>
      <c r="AA32" s="548">
        <v>3</v>
      </c>
      <c r="AB32" s="548">
        <v>1</v>
      </c>
      <c r="AD32" s="689" t="s">
        <v>2031</v>
      </c>
    </row>
    <row r="33" spans="1:30" ht="26.45" customHeight="1">
      <c r="A33" s="716" t="s">
        <v>478</v>
      </c>
      <c r="B33" s="554">
        <v>1</v>
      </c>
      <c r="C33" s="715" t="str">
        <f>IF($B$33=1,"Children","Dummies")</f>
        <v>Children</v>
      </c>
      <c r="S33" s="554">
        <v>1</v>
      </c>
      <c r="T33" s="554">
        <v>0</v>
      </c>
      <c r="U33" s="554">
        <v>1</v>
      </c>
      <c r="V33" s="554">
        <v>1</v>
      </c>
      <c r="W33" s="554">
        <v>1</v>
      </c>
      <c r="X33" s="554">
        <v>1</v>
      </c>
      <c r="Y33" s="554">
        <v>1</v>
      </c>
      <c r="Z33" s="554">
        <v>1</v>
      </c>
      <c r="AA33" s="554">
        <v>1</v>
      </c>
      <c r="AB33" s="554">
        <v>1</v>
      </c>
      <c r="AD33" s="689" t="s">
        <v>2031</v>
      </c>
    </row>
    <row r="34" spans="1:30" ht="41.1" customHeight="1">
      <c r="A34" s="487" t="s">
        <v>3444</v>
      </c>
      <c r="B34" s="558">
        <v>0</v>
      </c>
      <c r="C34" s="452" t="str">
        <f>IF($B$34=0,"OFF",IF($B$4=1,"Turn Off US Child Data",IF($B$34=1,IF($B$34=1,IF($B$14&gt;125,"Set Stature Upper to &lt;=125",IF($B$15&lt;75,"Set Stature Lower to &gt;=75","ON"))),"OFF")))</f>
        <v>OFF</v>
      </c>
      <c r="S34" s="558">
        <v>0</v>
      </c>
      <c r="T34" s="558">
        <v>0</v>
      </c>
      <c r="U34" s="558">
        <v>0</v>
      </c>
      <c r="V34" s="558">
        <v>0</v>
      </c>
      <c r="W34" s="558">
        <v>1</v>
      </c>
      <c r="X34" s="558">
        <v>0</v>
      </c>
      <c r="Y34" s="558">
        <v>0</v>
      </c>
      <c r="Z34" s="558">
        <v>0</v>
      </c>
      <c r="AA34" s="558">
        <v>0</v>
      </c>
      <c r="AB34" s="558">
        <v>0</v>
      </c>
      <c r="AD34" s="689" t="s">
        <v>2031</v>
      </c>
    </row>
    <row r="35" spans="1:30">
      <c r="A35" s="184" t="s">
        <v>3449</v>
      </c>
      <c r="B35" s="548">
        <v>0</v>
      </c>
      <c r="C35" s="453" t="str">
        <f>IF(B35=1,"ON","OFF")</f>
        <v>OFF</v>
      </c>
      <c r="S35" s="548">
        <v>0</v>
      </c>
      <c r="T35" s="548">
        <v>0</v>
      </c>
      <c r="U35" s="548">
        <v>0</v>
      </c>
      <c r="V35" s="548">
        <v>0</v>
      </c>
      <c r="W35" s="548">
        <v>0</v>
      </c>
      <c r="X35" s="548">
        <v>0</v>
      </c>
      <c r="Y35" s="548">
        <v>0</v>
      </c>
      <c r="Z35" s="548">
        <v>0</v>
      </c>
      <c r="AA35" s="548">
        <v>0</v>
      </c>
      <c r="AB35" s="548">
        <v>0</v>
      </c>
      <c r="AD35" s="689" t="s">
        <v>2031</v>
      </c>
    </row>
    <row r="36" spans="1:30">
      <c r="AD36" s="689" t="s">
        <v>2031</v>
      </c>
    </row>
    <row r="37" spans="1:30" ht="18.75">
      <c r="A37" s="480" t="s">
        <v>3458</v>
      </c>
      <c r="AD37" s="689" t="s">
        <v>2031</v>
      </c>
    </row>
    <row r="38" spans="1:30" ht="25.5">
      <c r="A38" s="439" t="s">
        <v>3462</v>
      </c>
      <c r="B38" s="554">
        <v>1</v>
      </c>
      <c r="C38" s="454" t="str">
        <f>IF(B38=1,"ON","OFF")</f>
        <v>ON</v>
      </c>
      <c r="S38" s="554">
        <v>1</v>
      </c>
      <c r="T38" s="554">
        <v>0</v>
      </c>
      <c r="U38" s="554">
        <v>1</v>
      </c>
      <c r="V38" s="554">
        <v>1</v>
      </c>
      <c r="W38" s="554">
        <v>1</v>
      </c>
      <c r="X38" s="554">
        <v>1</v>
      </c>
      <c r="Y38" s="554">
        <v>1</v>
      </c>
      <c r="Z38" s="554">
        <v>1</v>
      </c>
      <c r="AA38" s="554">
        <v>1</v>
      </c>
      <c r="AB38" s="554">
        <v>1</v>
      </c>
      <c r="AD38" s="689" t="s">
        <v>2031</v>
      </c>
    </row>
    <row r="39" spans="1:30">
      <c r="A39" s="300" t="s">
        <v>577</v>
      </c>
      <c r="B39" s="548">
        <v>0</v>
      </c>
      <c r="C39" s="275">
        <f>(B39/2.54)</f>
        <v>0</v>
      </c>
      <c r="S39" s="548">
        <v>0</v>
      </c>
      <c r="T39" s="548">
        <v>0</v>
      </c>
      <c r="U39" s="548">
        <v>0</v>
      </c>
      <c r="V39" s="548">
        <v>0</v>
      </c>
      <c r="W39" s="548">
        <v>0</v>
      </c>
      <c r="X39" s="548">
        <v>0</v>
      </c>
      <c r="Y39" s="548">
        <v>0</v>
      </c>
      <c r="Z39" s="548">
        <v>0</v>
      </c>
      <c r="AA39" s="548">
        <v>0</v>
      </c>
      <c r="AB39" s="548">
        <v>0</v>
      </c>
      <c r="AD39" s="689" t="s">
        <v>2031</v>
      </c>
    </row>
    <row r="40" spans="1:30" ht="12.95" customHeight="1">
      <c r="A40" s="455" t="s">
        <v>3463</v>
      </c>
      <c r="B40" s="554">
        <v>2</v>
      </c>
      <c r="C40" s="482">
        <f>(B40/2.54)</f>
        <v>0.78740157480314954</v>
      </c>
      <c r="S40" s="554">
        <v>2</v>
      </c>
      <c r="T40" s="554">
        <v>0</v>
      </c>
      <c r="U40" s="554">
        <v>2</v>
      </c>
      <c r="V40" s="554">
        <v>2</v>
      </c>
      <c r="W40" s="554">
        <v>2</v>
      </c>
      <c r="X40" s="554">
        <v>2</v>
      </c>
      <c r="Y40" s="554">
        <v>2</v>
      </c>
      <c r="Z40" s="554">
        <v>2</v>
      </c>
      <c r="AA40" s="554">
        <v>2</v>
      </c>
      <c r="AB40" s="554">
        <v>2</v>
      </c>
      <c r="AD40" s="689" t="s">
        <v>2031</v>
      </c>
    </row>
    <row r="41" spans="1:30" ht="12.95" customHeight="1">
      <c r="A41" s="455" t="s">
        <v>3465</v>
      </c>
      <c r="B41" s="554">
        <v>2</v>
      </c>
      <c r="C41" s="482">
        <f>(B41/2.54)</f>
        <v>0.78740157480314954</v>
      </c>
      <c r="S41" s="554">
        <v>2</v>
      </c>
      <c r="T41" s="554">
        <v>0</v>
      </c>
      <c r="U41" s="554">
        <v>2</v>
      </c>
      <c r="V41" s="554">
        <v>2</v>
      </c>
      <c r="W41" s="554">
        <v>2</v>
      </c>
      <c r="X41" s="554">
        <v>2</v>
      </c>
      <c r="Y41" s="554">
        <v>2</v>
      </c>
      <c r="Z41" s="554">
        <v>2</v>
      </c>
      <c r="AA41" s="554">
        <v>2</v>
      </c>
      <c r="AB41" s="554">
        <v>2</v>
      </c>
      <c r="AD41" s="689" t="s">
        <v>2031</v>
      </c>
    </row>
    <row r="42" spans="1:30" ht="12.95" customHeight="1">
      <c r="A42" s="455" t="s">
        <v>3464</v>
      </c>
      <c r="B42" s="554">
        <v>2</v>
      </c>
      <c r="C42" s="482">
        <f>(B42/2.54)</f>
        <v>0.78740157480314954</v>
      </c>
      <c r="S42" s="554">
        <v>2</v>
      </c>
      <c r="T42" s="554">
        <v>0</v>
      </c>
      <c r="U42" s="554">
        <v>2</v>
      </c>
      <c r="V42" s="554">
        <v>2</v>
      </c>
      <c r="W42" s="554">
        <v>2</v>
      </c>
      <c r="X42" s="554">
        <v>2</v>
      </c>
      <c r="Y42" s="554">
        <v>2</v>
      </c>
      <c r="Z42" s="554">
        <v>2</v>
      </c>
      <c r="AA42" s="554">
        <v>2</v>
      </c>
      <c r="AB42" s="554">
        <v>2</v>
      </c>
      <c r="AD42" s="689" t="s">
        <v>2031</v>
      </c>
    </row>
    <row r="43" spans="1:30" ht="26.1" customHeight="1">
      <c r="A43" s="480" t="s">
        <v>3459</v>
      </c>
      <c r="B43" s="559"/>
      <c r="C43" s="495"/>
      <c r="S43" s="559"/>
      <c r="T43" s="559"/>
      <c r="U43" s="559"/>
      <c r="V43" s="559"/>
      <c r="W43" s="559"/>
      <c r="X43" s="559"/>
      <c r="Y43" s="559"/>
      <c r="Z43" s="559"/>
      <c r="AA43" s="559"/>
      <c r="AB43" s="559"/>
      <c r="AD43" s="689" t="s">
        <v>2031</v>
      </c>
    </row>
    <row r="44" spans="1:30" ht="12.95" customHeight="1">
      <c r="A44" s="184" t="s">
        <v>374</v>
      </c>
      <c r="B44" s="548">
        <v>1</v>
      </c>
      <c r="C44" s="454" t="str">
        <f>IF(B44=1,"ON","OFF")</f>
        <v>ON</v>
      </c>
      <c r="S44" s="548">
        <v>1</v>
      </c>
      <c r="T44" s="548">
        <v>0</v>
      </c>
      <c r="U44" s="548">
        <v>0</v>
      </c>
      <c r="V44" s="548">
        <v>1</v>
      </c>
      <c r="W44" s="548">
        <v>1</v>
      </c>
      <c r="X44" s="548">
        <v>1</v>
      </c>
      <c r="Y44" s="548">
        <v>1</v>
      </c>
      <c r="Z44" s="548">
        <v>1</v>
      </c>
      <c r="AA44" s="548">
        <v>1</v>
      </c>
      <c r="AB44" s="548">
        <v>1</v>
      </c>
      <c r="AD44" s="689" t="s">
        <v>2031</v>
      </c>
    </row>
    <row r="45" spans="1:30">
      <c r="A45" s="698" t="str">
        <f>IF(Solution!$AF$57=1,"US 5th Female","")</f>
        <v/>
      </c>
      <c r="B45" s="548">
        <v>1</v>
      </c>
      <c r="S45" s="548">
        <v>1</v>
      </c>
      <c r="T45" s="548">
        <v>0</v>
      </c>
      <c r="U45" s="548">
        <v>1</v>
      </c>
      <c r="V45" s="548">
        <v>1</v>
      </c>
      <c r="W45" s="548">
        <v>1</v>
      </c>
      <c r="X45" s="548">
        <v>1</v>
      </c>
      <c r="Y45" s="548">
        <v>1</v>
      </c>
      <c r="Z45" s="548">
        <v>1</v>
      </c>
      <c r="AA45" s="548">
        <v>1</v>
      </c>
      <c r="AB45" s="548">
        <v>1</v>
      </c>
      <c r="AD45" s="689" t="s">
        <v>2031</v>
      </c>
    </row>
    <row r="46" spans="1:30">
      <c r="A46" s="699" t="str">
        <f>IF(Solution!AF56=1,"EU Q10","")</f>
        <v/>
      </c>
      <c r="B46" s="548">
        <v>1</v>
      </c>
      <c r="S46" s="548">
        <v>1</v>
      </c>
      <c r="T46" s="548">
        <v>0</v>
      </c>
      <c r="U46" s="548">
        <v>1</v>
      </c>
      <c r="V46" s="548">
        <v>1</v>
      </c>
      <c r="W46" s="548">
        <v>1</v>
      </c>
      <c r="X46" s="548">
        <v>1</v>
      </c>
      <c r="Y46" s="548">
        <v>1</v>
      </c>
      <c r="Z46" s="548">
        <v>1</v>
      </c>
      <c r="AA46" s="548">
        <v>1</v>
      </c>
      <c r="AB46" s="548">
        <v>1</v>
      </c>
      <c r="AD46" s="689" t="s">
        <v>2031</v>
      </c>
    </row>
    <row r="47" spans="1:30">
      <c r="A47" s="698" t="str">
        <f>IF(Solution!AF55=1,"US HIII-10yr","")</f>
        <v/>
      </c>
      <c r="B47" s="548">
        <v>1</v>
      </c>
      <c r="S47" s="548">
        <v>1</v>
      </c>
      <c r="T47" s="548">
        <v>0</v>
      </c>
      <c r="U47" s="548">
        <v>1</v>
      </c>
      <c r="V47" s="548">
        <v>1</v>
      </c>
      <c r="W47" s="548">
        <v>1</v>
      </c>
      <c r="X47" s="548">
        <v>1</v>
      </c>
      <c r="Y47" s="548">
        <v>1</v>
      </c>
      <c r="Z47" s="548">
        <v>1</v>
      </c>
      <c r="AA47" s="548">
        <v>1</v>
      </c>
      <c r="AB47" s="548">
        <v>1</v>
      </c>
      <c r="AD47" s="689" t="s">
        <v>2031</v>
      </c>
    </row>
    <row r="48" spans="1:30">
      <c r="A48" s="698" t="str">
        <f>IF(Solution!AF54=1,"US HIII-6yr wtd","")</f>
        <v/>
      </c>
      <c r="B48" s="548">
        <v>1</v>
      </c>
      <c r="S48" s="548">
        <v>1</v>
      </c>
      <c r="T48" s="548">
        <v>0</v>
      </c>
      <c r="U48" s="548">
        <v>1</v>
      </c>
      <c r="V48" s="548">
        <v>1</v>
      </c>
      <c r="W48" s="548">
        <v>1</v>
      </c>
      <c r="X48" s="548">
        <v>1</v>
      </c>
      <c r="Y48" s="548">
        <v>1</v>
      </c>
      <c r="Z48" s="548">
        <v>1</v>
      </c>
      <c r="AA48" s="548">
        <v>1</v>
      </c>
      <c r="AB48" s="548">
        <v>1</v>
      </c>
      <c r="AD48" s="689" t="s">
        <v>2031</v>
      </c>
    </row>
    <row r="49" spans="1:30">
      <c r="A49" s="698" t="str">
        <f>IF(Solution!AF53=1,"US HIII-6yr","")</f>
        <v/>
      </c>
      <c r="B49" s="548">
        <v>1</v>
      </c>
      <c r="S49" s="548">
        <v>1</v>
      </c>
      <c r="T49" s="548">
        <v>0</v>
      </c>
      <c r="U49" s="548">
        <v>1</v>
      </c>
      <c r="V49" s="548">
        <v>1</v>
      </c>
      <c r="W49" s="548">
        <v>1</v>
      </c>
      <c r="X49" s="548">
        <v>1</v>
      </c>
      <c r="Y49" s="548">
        <v>1</v>
      </c>
      <c r="Z49" s="548">
        <v>1</v>
      </c>
      <c r="AA49" s="548">
        <v>1</v>
      </c>
      <c r="AB49" s="548">
        <v>1</v>
      </c>
      <c r="AD49" s="689" t="s">
        <v>2031</v>
      </c>
    </row>
    <row r="50" spans="1:30">
      <c r="A50" s="699" t="str">
        <f>IF(Solution!AF52=1,"EU Q6","")</f>
        <v/>
      </c>
      <c r="B50" s="548">
        <v>1</v>
      </c>
      <c r="S50" s="548">
        <v>1</v>
      </c>
      <c r="T50" s="548">
        <v>0</v>
      </c>
      <c r="U50" s="548">
        <v>1</v>
      </c>
      <c r="V50" s="548">
        <v>1</v>
      </c>
      <c r="W50" s="548">
        <v>1</v>
      </c>
      <c r="X50" s="548">
        <v>1</v>
      </c>
      <c r="Y50" s="548">
        <v>1</v>
      </c>
      <c r="Z50" s="548">
        <v>1</v>
      </c>
      <c r="AA50" s="548">
        <v>1</v>
      </c>
      <c r="AB50" s="548">
        <v>1</v>
      </c>
      <c r="AD50" s="689" t="s">
        <v>2031</v>
      </c>
    </row>
    <row r="51" spans="1:30">
      <c r="A51" s="698" t="str">
        <f>IF(Solution!AF51=1,"US HIII-3yr","")</f>
        <v/>
      </c>
      <c r="B51" s="548">
        <v>1</v>
      </c>
      <c r="S51" s="548">
        <v>1</v>
      </c>
      <c r="T51" s="548">
        <v>0</v>
      </c>
      <c r="U51" s="548">
        <v>1</v>
      </c>
      <c r="V51" s="548">
        <v>1</v>
      </c>
      <c r="W51" s="548">
        <v>1</v>
      </c>
      <c r="X51" s="548">
        <v>1</v>
      </c>
      <c r="Y51" s="548">
        <v>1</v>
      </c>
      <c r="Z51" s="548">
        <v>1</v>
      </c>
      <c r="AA51" s="548">
        <v>1</v>
      </c>
      <c r="AB51" s="548">
        <v>1</v>
      </c>
      <c r="AD51" s="689" t="s">
        <v>2031</v>
      </c>
    </row>
    <row r="52" spans="1:30">
      <c r="A52" s="699" t="str">
        <f>IF(Solution!AF50=1,"EU Q3","")</f>
        <v/>
      </c>
      <c r="B52" s="548">
        <v>1</v>
      </c>
      <c r="S52" s="548">
        <v>1</v>
      </c>
      <c r="T52" s="548">
        <v>0</v>
      </c>
      <c r="U52" s="548">
        <v>1</v>
      </c>
      <c r="V52" s="548">
        <v>1</v>
      </c>
      <c r="W52" s="548">
        <v>1</v>
      </c>
      <c r="X52" s="548">
        <v>1</v>
      </c>
      <c r="Y52" s="548">
        <v>1</v>
      </c>
      <c r="Z52" s="548">
        <v>1</v>
      </c>
      <c r="AA52" s="548">
        <v>1</v>
      </c>
      <c r="AB52" s="548">
        <v>1</v>
      </c>
      <c r="AD52" s="689" t="s">
        <v>2031</v>
      </c>
    </row>
    <row r="53" spans="1:30">
      <c r="A53" s="698" t="str">
        <f>IF(Solution!AF49=1,"US CRABI 18","")</f>
        <v>US CRABI 18</v>
      </c>
      <c r="B53" s="548">
        <v>1</v>
      </c>
      <c r="S53" s="548">
        <v>1</v>
      </c>
      <c r="T53" s="548">
        <v>0</v>
      </c>
      <c r="U53" s="548">
        <v>1</v>
      </c>
      <c r="V53" s="548">
        <v>1</v>
      </c>
      <c r="W53" s="548">
        <v>1</v>
      </c>
      <c r="X53" s="548">
        <v>1</v>
      </c>
      <c r="Y53" s="548">
        <v>1</v>
      </c>
      <c r="Z53" s="548">
        <v>1</v>
      </c>
      <c r="AA53" s="548">
        <v>1</v>
      </c>
      <c r="AB53" s="548">
        <v>1</v>
      </c>
      <c r="AD53" s="689" t="s">
        <v>2031</v>
      </c>
    </row>
    <row r="54" spans="1:30">
      <c r="A54" s="699" t="str">
        <f>IF(Solution!AF48=1,"EU Q1.5","")</f>
        <v/>
      </c>
      <c r="B54" s="548">
        <v>1</v>
      </c>
      <c r="S54" s="548">
        <v>1</v>
      </c>
      <c r="T54" s="548">
        <v>0</v>
      </c>
      <c r="U54" s="548">
        <v>1</v>
      </c>
      <c r="V54" s="548">
        <v>1</v>
      </c>
      <c r="W54" s="548">
        <v>1</v>
      </c>
      <c r="X54" s="548">
        <v>1</v>
      </c>
      <c r="Y54" s="548">
        <v>1</v>
      </c>
      <c r="Z54" s="548">
        <v>1</v>
      </c>
      <c r="AA54" s="548">
        <v>1</v>
      </c>
      <c r="AB54" s="548">
        <v>1</v>
      </c>
      <c r="AD54" s="689" t="s">
        <v>2031</v>
      </c>
    </row>
    <row r="55" spans="1:30">
      <c r="A55" s="698" t="str">
        <f>IF(Solution!AF47=1,"US CRABI 12","")</f>
        <v>US CRABI 12</v>
      </c>
      <c r="B55" s="548">
        <v>1</v>
      </c>
      <c r="S55" s="548">
        <v>1</v>
      </c>
      <c r="T55" s="548">
        <v>0</v>
      </c>
      <c r="U55" s="548">
        <v>1</v>
      </c>
      <c r="V55" s="548">
        <v>1</v>
      </c>
      <c r="W55" s="548">
        <v>1</v>
      </c>
      <c r="X55" s="548">
        <v>1</v>
      </c>
      <c r="Y55" s="548">
        <v>1</v>
      </c>
      <c r="Z55" s="548">
        <v>1</v>
      </c>
      <c r="AA55" s="548">
        <v>1</v>
      </c>
      <c r="AB55" s="548">
        <v>1</v>
      </c>
      <c r="AD55" s="689" t="s">
        <v>2031</v>
      </c>
    </row>
    <row r="56" spans="1:30">
      <c r="A56" s="699" t="str">
        <f>IF(Solution!AF46=1,"EU Q1","")</f>
        <v/>
      </c>
      <c r="B56" s="548">
        <v>1</v>
      </c>
      <c r="S56" s="548">
        <v>1</v>
      </c>
      <c r="T56" s="548">
        <v>0</v>
      </c>
      <c r="U56" s="548">
        <v>1</v>
      </c>
      <c r="V56" s="548">
        <v>1</v>
      </c>
      <c r="W56" s="548">
        <v>1</v>
      </c>
      <c r="X56" s="548">
        <v>1</v>
      </c>
      <c r="Y56" s="548">
        <v>1</v>
      </c>
      <c r="Z56" s="548">
        <v>1</v>
      </c>
      <c r="AA56" s="548">
        <v>1</v>
      </c>
      <c r="AB56" s="548">
        <v>1</v>
      </c>
      <c r="AD56" s="689" t="s">
        <v>2031</v>
      </c>
    </row>
    <row r="57" spans="1:30">
      <c r="A57" s="699" t="str">
        <f>IF(Solution!AF45=1,"EU Q0","")</f>
        <v/>
      </c>
      <c r="B57" s="548">
        <v>1</v>
      </c>
      <c r="S57" s="548">
        <v>1</v>
      </c>
      <c r="T57" s="548">
        <v>0</v>
      </c>
      <c r="U57" s="548">
        <v>1</v>
      </c>
      <c r="V57" s="548">
        <v>1</v>
      </c>
      <c r="W57" s="548">
        <v>1</v>
      </c>
      <c r="X57" s="548">
        <v>1</v>
      </c>
      <c r="Y57" s="548">
        <v>1</v>
      </c>
      <c r="Z57" s="548">
        <v>1</v>
      </c>
      <c r="AA57" s="548">
        <v>1</v>
      </c>
      <c r="AB57" s="548">
        <v>1</v>
      </c>
      <c r="AD57" s="689" t="s">
        <v>2031</v>
      </c>
    </row>
    <row r="58" spans="1:30">
      <c r="A58" s="698" t="str">
        <f>IF(Solution!AF44=1,"US 6mo","")</f>
        <v>US 6mo</v>
      </c>
      <c r="B58" s="548">
        <v>1</v>
      </c>
      <c r="S58" s="548">
        <v>1</v>
      </c>
      <c r="T58" s="548">
        <v>0</v>
      </c>
      <c r="U58" s="548">
        <v>1</v>
      </c>
      <c r="V58" s="548">
        <v>1</v>
      </c>
      <c r="W58" s="548">
        <v>1</v>
      </c>
      <c r="X58" s="548">
        <v>1</v>
      </c>
      <c r="Y58" s="548">
        <v>1</v>
      </c>
      <c r="Z58" s="548">
        <v>1</v>
      </c>
      <c r="AA58" s="548">
        <v>1</v>
      </c>
      <c r="AB58" s="548">
        <v>1</v>
      </c>
      <c r="AD58" s="689" t="s">
        <v>2031</v>
      </c>
    </row>
    <row r="59" spans="1:30">
      <c r="A59" s="698" t="str">
        <f>IF(Solution!AF43=1,"US Newborn","")</f>
        <v>US Newborn</v>
      </c>
      <c r="B59" s="548">
        <v>1</v>
      </c>
      <c r="S59" s="548">
        <v>1</v>
      </c>
      <c r="T59" s="548">
        <v>0</v>
      </c>
      <c r="U59" s="548">
        <v>1</v>
      </c>
      <c r="V59" s="548">
        <v>1</v>
      </c>
      <c r="W59" s="548">
        <v>1</v>
      </c>
      <c r="X59" s="548">
        <v>1</v>
      </c>
      <c r="Y59" s="548">
        <v>1</v>
      </c>
      <c r="Z59" s="548">
        <v>1</v>
      </c>
      <c r="AA59" s="548">
        <v>1</v>
      </c>
      <c r="AB59" s="548">
        <v>1</v>
      </c>
      <c r="AD59" s="689" t="s">
        <v>2031</v>
      </c>
    </row>
    <row r="60" spans="1:30">
      <c r="A60" s="698" t="str">
        <f>IF(Solution!AF42=1,"US Primi","")</f>
        <v>US Primi</v>
      </c>
      <c r="B60" s="548">
        <v>1</v>
      </c>
      <c r="S60" s="548">
        <v>1</v>
      </c>
      <c r="T60" s="548">
        <v>0</v>
      </c>
      <c r="U60" s="548">
        <v>1</v>
      </c>
      <c r="V60" s="548">
        <v>1</v>
      </c>
      <c r="W60" s="548">
        <v>1</v>
      </c>
      <c r="X60" s="548">
        <v>1</v>
      </c>
      <c r="Y60" s="548">
        <v>1</v>
      </c>
      <c r="Z60" s="548">
        <v>1</v>
      </c>
      <c r="AA60" s="548">
        <v>1</v>
      </c>
      <c r="AB60" s="548">
        <v>1</v>
      </c>
      <c r="AD60" s="689" t="s">
        <v>2031</v>
      </c>
    </row>
    <row r="61" spans="1:30">
      <c r="AD61" s="689" t="s">
        <v>2031</v>
      </c>
    </row>
    <row r="62" spans="1:30" ht="21">
      <c r="A62" s="496" t="s">
        <v>3471</v>
      </c>
      <c r="B62" s="559"/>
      <c r="S62" s="559"/>
      <c r="T62" s="559"/>
      <c r="U62" s="559"/>
      <c r="V62" s="559"/>
      <c r="W62" s="559"/>
      <c r="X62" s="559"/>
      <c r="Y62" s="559"/>
      <c r="Z62" s="559"/>
      <c r="AA62" s="559"/>
      <c r="AB62" s="559"/>
      <c r="AD62" s="689" t="s">
        <v>2031</v>
      </c>
    </row>
    <row r="63" spans="1:30" ht="12.95" customHeight="1">
      <c r="A63" s="491" t="str">
        <f>IF(B63=1,"RF Infant RF (Group 0)","")</f>
        <v>RF Infant RF (Group 0)</v>
      </c>
      <c r="B63" s="560">
        <v>1</v>
      </c>
      <c r="C63" s="492">
        <v>1</v>
      </c>
      <c r="S63" s="560">
        <v>0</v>
      </c>
      <c r="T63" s="560">
        <v>0</v>
      </c>
      <c r="U63" s="560">
        <v>0</v>
      </c>
      <c r="V63" s="560">
        <v>0</v>
      </c>
      <c r="W63" s="560">
        <v>0</v>
      </c>
      <c r="X63" s="560">
        <v>0</v>
      </c>
      <c r="Y63" s="560">
        <v>0</v>
      </c>
      <c r="Z63" s="560">
        <v>0</v>
      </c>
      <c r="AA63" s="560">
        <v>0</v>
      </c>
      <c r="AB63" s="560">
        <v>1</v>
      </c>
      <c r="AD63" s="689" t="s">
        <v>2031</v>
      </c>
    </row>
    <row r="64" spans="1:30" ht="12.95" customHeight="1">
      <c r="A64" s="491" t="str">
        <f>IF(B64=1,"RF Infant RF Plus (Group 0, 0+)","")</f>
        <v/>
      </c>
      <c r="B64" s="560">
        <v>0</v>
      </c>
      <c r="C64" s="492">
        <v>2</v>
      </c>
      <c r="S64" s="560">
        <v>0</v>
      </c>
      <c r="T64" s="560">
        <v>0</v>
      </c>
      <c r="U64" s="560">
        <v>0</v>
      </c>
      <c r="V64" s="560">
        <v>0</v>
      </c>
      <c r="W64" s="560">
        <v>0</v>
      </c>
      <c r="X64" s="560">
        <v>0</v>
      </c>
      <c r="Y64" s="560">
        <v>0</v>
      </c>
      <c r="Z64" s="560">
        <v>0</v>
      </c>
      <c r="AA64" s="560">
        <v>1</v>
      </c>
      <c r="AB64" s="560">
        <v>0</v>
      </c>
      <c r="AD64" s="689" t="s">
        <v>2031</v>
      </c>
    </row>
    <row r="65" spans="1:30" ht="12.95" customHeight="1">
      <c r="A65" s="491" t="str">
        <f>IF(B65=1,"Convertible FF/RF (Group 0, 0+,I, II, III)","")</f>
        <v/>
      </c>
      <c r="B65" s="560">
        <v>0</v>
      </c>
      <c r="C65" s="492">
        <v>3</v>
      </c>
      <c r="D65" s="490"/>
      <c r="S65" s="560">
        <v>0</v>
      </c>
      <c r="T65" s="560">
        <v>0</v>
      </c>
      <c r="U65" s="560">
        <v>0</v>
      </c>
      <c r="V65" s="560">
        <v>0</v>
      </c>
      <c r="W65" s="560">
        <v>0</v>
      </c>
      <c r="X65" s="560">
        <v>0</v>
      </c>
      <c r="Y65" s="560">
        <v>0</v>
      </c>
      <c r="Z65" s="560">
        <v>1</v>
      </c>
      <c r="AA65" s="560">
        <v>0</v>
      </c>
      <c r="AB65" s="560">
        <v>0</v>
      </c>
      <c r="AD65" s="689" t="s">
        <v>2031</v>
      </c>
    </row>
    <row r="66" spans="1:30" ht="12.95" customHeight="1">
      <c r="A66" s="491" t="str">
        <f>IF(B66=1,"FF Transitional (Group I, II, III)","")</f>
        <v/>
      </c>
      <c r="B66" s="560">
        <v>0</v>
      </c>
      <c r="C66" s="492">
        <v>4</v>
      </c>
      <c r="D66" s="490"/>
      <c r="F66"/>
      <c r="S66" s="560">
        <v>0</v>
      </c>
      <c r="T66" s="560">
        <v>0</v>
      </c>
      <c r="U66" s="560">
        <v>0</v>
      </c>
      <c r="V66" s="560">
        <v>0</v>
      </c>
      <c r="W66" s="560">
        <v>0</v>
      </c>
      <c r="X66" s="560">
        <v>0</v>
      </c>
      <c r="Y66" s="560">
        <v>1</v>
      </c>
      <c r="Z66" s="560">
        <v>0</v>
      </c>
      <c r="AA66" s="560">
        <v>0</v>
      </c>
      <c r="AB66" s="560">
        <v>0</v>
      </c>
      <c r="AD66" s="689" t="s">
        <v>2031</v>
      </c>
    </row>
    <row r="67" spans="1:30" ht="12.95" customHeight="1">
      <c r="A67" s="491" t="str">
        <f>IF(B67=1,"FF Booster (Group II, III)","")</f>
        <v/>
      </c>
      <c r="B67" s="560">
        <v>0</v>
      </c>
      <c r="C67" s="493">
        <v>5</v>
      </c>
      <c r="D67" s="490"/>
      <c r="F67"/>
      <c r="S67" s="560">
        <v>0</v>
      </c>
      <c r="T67" s="560">
        <v>0</v>
      </c>
      <c r="U67" s="560">
        <v>0</v>
      </c>
      <c r="V67" s="560">
        <v>0</v>
      </c>
      <c r="W67" s="560">
        <v>0</v>
      </c>
      <c r="X67" s="560">
        <v>1</v>
      </c>
      <c r="Y67" s="560">
        <v>0</v>
      </c>
      <c r="Z67" s="560">
        <v>0</v>
      </c>
      <c r="AA67" s="560">
        <v>0</v>
      </c>
      <c r="AB67" s="560">
        <v>0</v>
      </c>
      <c r="AD67" s="689" t="s">
        <v>2031</v>
      </c>
    </row>
    <row r="68" spans="1:30" ht="12.95" customHeight="1">
      <c r="A68" s="491" t="str">
        <f>IF(B68=1,"EU Shield CRS (Group II,III)","")</f>
        <v/>
      </c>
      <c r="B68" s="560">
        <v>0</v>
      </c>
      <c r="C68" s="493">
        <v>6</v>
      </c>
      <c r="D68" s="490"/>
      <c r="F68"/>
      <c r="H68"/>
      <c r="S68" s="560">
        <v>0</v>
      </c>
      <c r="T68" s="560">
        <v>0</v>
      </c>
      <c r="U68" s="560">
        <v>0</v>
      </c>
      <c r="V68" s="560">
        <v>0</v>
      </c>
      <c r="W68" s="560">
        <v>1</v>
      </c>
      <c r="X68" s="560">
        <v>0</v>
      </c>
      <c r="Y68" s="560">
        <v>0</v>
      </c>
      <c r="Z68" s="560">
        <v>0</v>
      </c>
      <c r="AA68" s="560">
        <v>0</v>
      </c>
      <c r="AB68" s="560">
        <v>0</v>
      </c>
      <c r="AD68" s="689" t="s">
        <v>2031</v>
      </c>
    </row>
    <row r="69" spans="1:30" ht="12.95" customHeight="1">
      <c r="A69" s="491" t="str">
        <f>IF(B69=1,"Harness Hybrid Restraint","")</f>
        <v/>
      </c>
      <c r="B69" s="560">
        <v>0</v>
      </c>
      <c r="C69" s="493">
        <v>7</v>
      </c>
      <c r="D69" s="490"/>
      <c r="J69"/>
      <c r="S69" s="560">
        <v>0</v>
      </c>
      <c r="T69" s="560">
        <v>0</v>
      </c>
      <c r="U69" s="560">
        <v>0</v>
      </c>
      <c r="V69" s="560">
        <v>1</v>
      </c>
      <c r="W69" s="560">
        <v>0</v>
      </c>
      <c r="X69" s="560">
        <v>0</v>
      </c>
      <c r="Y69" s="560">
        <v>0</v>
      </c>
      <c r="Z69" s="560">
        <v>0</v>
      </c>
      <c r="AA69" s="560">
        <v>0</v>
      </c>
      <c r="AB69" s="560">
        <v>0</v>
      </c>
      <c r="AD69" s="689" t="s">
        <v>2031</v>
      </c>
    </row>
    <row r="70" spans="1:30" ht="12.95" customHeight="1">
      <c r="A70" s="491" t="str">
        <f>IF(B70=1,"Tool is Reset to Everything ON","")</f>
        <v/>
      </c>
      <c r="B70" s="560">
        <v>0</v>
      </c>
      <c r="C70" s="493">
        <v>8</v>
      </c>
      <c r="D70" s="490"/>
      <c r="S70" s="560">
        <v>1</v>
      </c>
      <c r="T70" s="560">
        <v>0</v>
      </c>
      <c r="U70" s="560">
        <v>1</v>
      </c>
      <c r="V70" s="560">
        <v>0</v>
      </c>
      <c r="W70" s="560">
        <v>0</v>
      </c>
      <c r="X70" s="560">
        <v>0</v>
      </c>
      <c r="Y70" s="560">
        <v>0</v>
      </c>
      <c r="Z70" s="560">
        <v>0</v>
      </c>
      <c r="AA70" s="560">
        <v>0</v>
      </c>
      <c r="AB70" s="560">
        <v>0</v>
      </c>
      <c r="AD70" s="689" t="s">
        <v>2031</v>
      </c>
    </row>
    <row r="71" spans="1:30" ht="12.95" customHeight="1">
      <c r="A71" s="491" t="str">
        <f>IF(B71=1,"Tool is Reset to Everything OFF","")</f>
        <v/>
      </c>
      <c r="B71" s="560">
        <v>0</v>
      </c>
      <c r="C71" s="493">
        <v>9</v>
      </c>
      <c r="D71" s="490"/>
      <c r="S71" s="560">
        <v>0</v>
      </c>
      <c r="T71" s="560">
        <v>1</v>
      </c>
      <c r="U71" s="560">
        <v>0</v>
      </c>
      <c r="V71" s="560">
        <v>0</v>
      </c>
      <c r="W71" s="560">
        <v>0</v>
      </c>
      <c r="X71" s="560">
        <v>0</v>
      </c>
      <c r="Y71" s="560">
        <v>0</v>
      </c>
      <c r="Z71" s="560">
        <v>0</v>
      </c>
      <c r="AA71" s="560">
        <v>0</v>
      </c>
      <c r="AB71" s="560">
        <v>0</v>
      </c>
      <c r="AD71" s="689" t="s">
        <v>2031</v>
      </c>
    </row>
    <row r="72" spans="1:30" ht="12.95" customHeight="1">
      <c r="A72" s="491" t="str">
        <f>IF(B72=1,"Custom Tool Setting ON","")</f>
        <v/>
      </c>
      <c r="B72" s="560">
        <v>0</v>
      </c>
      <c r="C72" s="493">
        <v>10</v>
      </c>
      <c r="D72" s="490"/>
      <c r="S72" s="560">
        <v>0</v>
      </c>
      <c r="T72" s="560">
        <v>0</v>
      </c>
      <c r="U72" s="560">
        <v>0</v>
      </c>
      <c r="V72" s="560">
        <v>0</v>
      </c>
      <c r="W72" s="560">
        <v>0</v>
      </c>
      <c r="X72" s="560">
        <v>0</v>
      </c>
      <c r="Y72" s="560">
        <v>0</v>
      </c>
      <c r="Z72" s="560">
        <v>0</v>
      </c>
      <c r="AA72" s="560">
        <v>0</v>
      </c>
      <c r="AB72" s="560">
        <v>0</v>
      </c>
      <c r="AD72" s="689" t="s">
        <v>2031</v>
      </c>
    </row>
    <row r="73" spans="1:30" ht="12.95" customHeight="1">
      <c r="A73" s="490"/>
      <c r="B73" s="561"/>
      <c r="C73" s="493"/>
      <c r="D73" s="490"/>
      <c r="S73" s="561"/>
      <c r="T73" s="561"/>
      <c r="U73" s="561"/>
      <c r="V73" s="561"/>
      <c r="W73" s="561"/>
      <c r="X73" s="561"/>
      <c r="Y73" s="561"/>
      <c r="Z73" s="561"/>
      <c r="AA73" s="561"/>
      <c r="AB73" s="561"/>
      <c r="AD73" s="689" t="s">
        <v>2031</v>
      </c>
    </row>
    <row r="74" spans="1:30">
      <c r="A74" s="154" t="s">
        <v>403</v>
      </c>
      <c r="B74" s="551" t="s">
        <v>448</v>
      </c>
      <c r="C74" s="171" t="s">
        <v>449</v>
      </c>
      <c r="S74" s="551" t="s">
        <v>448</v>
      </c>
      <c r="T74" s="551" t="s">
        <v>448</v>
      </c>
      <c r="U74" s="551" t="s">
        <v>448</v>
      </c>
      <c r="V74" s="551" t="s">
        <v>448</v>
      </c>
      <c r="W74" s="551" t="s">
        <v>448</v>
      </c>
      <c r="X74" s="551" t="s">
        <v>448</v>
      </c>
      <c r="Y74" s="551" t="s">
        <v>448</v>
      </c>
      <c r="Z74" s="551" t="s">
        <v>448</v>
      </c>
      <c r="AA74" s="551" t="s">
        <v>448</v>
      </c>
      <c r="AB74" s="551" t="s">
        <v>448</v>
      </c>
      <c r="AD74" s="689" t="s">
        <v>2031</v>
      </c>
    </row>
    <row r="75" spans="1:30">
      <c r="A75" s="277" t="s">
        <v>371</v>
      </c>
      <c r="B75" s="562">
        <f>IF('GPS Anthro Tool'!$B$33=1,SMALL('Big Data'!$O$3:$Q$45,COUNTIF('Big Data'!$O$3:$Q$45,0)+1),21.6)</f>
        <v>23.59</v>
      </c>
      <c r="C75" s="167">
        <f t="shared" ref="C75:C85" si="3">B75/2.54</f>
        <v>9.28740157480315</v>
      </c>
      <c r="S75" s="562">
        <f>IF('GPS Anthro Tool'!$B$33=1,SMALL('Big Data'!$O$3:$Q$45,COUNTIF('Big Data'!$O$3:$Q$45,0)+1),21.6)</f>
        <v>23.59</v>
      </c>
      <c r="T75" s="562">
        <f>IF('GPS Anthro Tool'!$B$33=1,SMALL('Big Data'!$O$3:$Q$45,COUNTIF('Big Data'!$O$3:$Q$45,0)+1),21.6)</f>
        <v>23.59</v>
      </c>
      <c r="U75" s="562">
        <f>IF('GPS Anthro Tool'!$B$33=1,SMALL('Big Data'!$O$3:$Q$45,COUNTIF('Big Data'!$O$3:$Q$45,0)+1),21.6)</f>
        <v>23.59</v>
      </c>
      <c r="V75" s="562">
        <f>IF('GPS Anthro Tool'!$B$33=1,SMALL('Big Data'!$O$3:$Q$45,COUNTIF('Big Data'!$O$3:$Q$45,0)+1),21.6)</f>
        <v>23.59</v>
      </c>
      <c r="W75" s="562">
        <f>IF('GPS Anthro Tool'!$B$33=1,SMALL('Big Data'!$O$3:$Q$45,COUNTIF('Big Data'!$O$3:$Q$45,0)+1),21.6)</f>
        <v>23.59</v>
      </c>
      <c r="X75" s="562">
        <f>IF('GPS Anthro Tool'!$B$33=1,SMALL('Big Data'!$O$3:$Q$45,COUNTIF('Big Data'!$O$3:$Q$45,0)+1),21.6)</f>
        <v>23.59</v>
      </c>
      <c r="Y75" s="562">
        <f>IF('GPS Anthro Tool'!$B$33=1,SMALL('Big Data'!$O$3:$Q$45,COUNTIF('Big Data'!$O$3:$Q$45,0)+1),21.6)</f>
        <v>23.59</v>
      </c>
      <c r="Z75" s="562">
        <f>IF('GPS Anthro Tool'!$B$33=1,SMALL('Big Data'!$O$3:$Q$45,COUNTIF('Big Data'!$O$3:$Q$45,0)+1),21.6)</f>
        <v>23.59</v>
      </c>
      <c r="AA75" s="562">
        <f>IF('GPS Anthro Tool'!$B$33=1,SMALL('Big Data'!$O$3:$Q$45,COUNTIF('Big Data'!$O$3:$Q$45,0)+1),21.6)</f>
        <v>23.59</v>
      </c>
      <c r="AB75" s="562">
        <f>IF('GPS Anthro Tool'!$B$33=1,SMALL('Big Data'!$O$3:$Q$45,COUNTIF('Big Data'!$O$3:$Q$45,0)+1),21.6)</f>
        <v>23.59</v>
      </c>
      <c r="AD75" s="689" t="s">
        <v>2031</v>
      </c>
    </row>
    <row r="76" spans="1:30">
      <c r="A76" s="278" t="s">
        <v>370</v>
      </c>
      <c r="B76" s="562">
        <f>IF('GPS Anthro Tool'!$B$33=1,MAX('Big Data'!$O$3:$Q$45),52.3)</f>
        <v>32.733999999999995</v>
      </c>
      <c r="C76" s="167">
        <f t="shared" si="3"/>
        <v>12.887401574803148</v>
      </c>
      <c r="S76" s="562">
        <f>IF('GPS Anthro Tool'!$B$33=1,MAX('Big Data'!$O$3:$Q$45),52.3)</f>
        <v>32.733999999999995</v>
      </c>
      <c r="T76" s="562">
        <f>IF('GPS Anthro Tool'!$B$33=1,MAX('Big Data'!$O$3:$Q$45),52.3)</f>
        <v>32.733999999999995</v>
      </c>
      <c r="U76" s="562">
        <f>IF('GPS Anthro Tool'!$B$33=1,MAX('Big Data'!$O$3:$Q$45),52.3)</f>
        <v>32.733999999999995</v>
      </c>
      <c r="V76" s="562">
        <f>IF('GPS Anthro Tool'!$B$33=1,MAX('Big Data'!$O$3:$Q$45),52.3)</f>
        <v>32.733999999999995</v>
      </c>
      <c r="W76" s="562">
        <f>IF('GPS Anthro Tool'!$B$33=1,MAX('Big Data'!$O$3:$Q$45),52.3)</f>
        <v>32.733999999999995</v>
      </c>
      <c r="X76" s="562">
        <f>IF('GPS Anthro Tool'!$B$33=1,MAX('Big Data'!$O$3:$Q$45),52.3)</f>
        <v>32.733999999999995</v>
      </c>
      <c r="Y76" s="562">
        <f>IF('GPS Anthro Tool'!$B$33=1,MAX('Big Data'!$O$3:$Q$45),52.3)</f>
        <v>32.733999999999995</v>
      </c>
      <c r="Z76" s="562">
        <f>IF('GPS Anthro Tool'!$B$33=1,MAX('Big Data'!$O$3:$Q$45),52.3)</f>
        <v>32.733999999999995</v>
      </c>
      <c r="AA76" s="562">
        <f>IF('GPS Anthro Tool'!$B$33=1,MAX('Big Data'!$O$3:$Q$45),52.3)</f>
        <v>32.733999999999995</v>
      </c>
      <c r="AB76" s="562">
        <f>IF('GPS Anthro Tool'!$B$33=1,MAX('Big Data'!$O$3:$Q$45),52.3)</f>
        <v>32.733999999999995</v>
      </c>
      <c r="AD76" s="689" t="s">
        <v>2031</v>
      </c>
    </row>
    <row r="77" spans="1:30">
      <c r="A77" s="277" t="s">
        <v>367</v>
      </c>
      <c r="B77" s="562">
        <f>IF('GPS Anthro Tool'!$B$33=1,SMALL('Big Data'!$AE$3:$AG$45,COUNTIF('Big Data'!$AE$3:$AG$45,0)+1),21.6)</f>
        <v>4.8259999999999996</v>
      </c>
      <c r="C77" s="167">
        <f t="shared" si="3"/>
        <v>1.9</v>
      </c>
      <c r="S77" s="562">
        <f>IF('GPS Anthro Tool'!$B$33=1,SMALL('Big Data'!$AE$3:$AG$45,COUNTIF('Big Data'!$AE$3:$AG$45,0)+1),21.6)</f>
        <v>4.8259999999999996</v>
      </c>
      <c r="T77" s="562">
        <f>IF('GPS Anthro Tool'!$B$33=1,SMALL('Big Data'!$AE$3:$AG$45,COUNTIF('Big Data'!$AE$3:$AG$45,0)+1),21.6)</f>
        <v>4.8259999999999996</v>
      </c>
      <c r="U77" s="562">
        <f>IF('GPS Anthro Tool'!$B$33=1,SMALL('Big Data'!$AE$3:$AG$45,COUNTIF('Big Data'!$AE$3:$AG$45,0)+1),21.6)</f>
        <v>4.8259999999999996</v>
      </c>
      <c r="V77" s="562">
        <f>IF('GPS Anthro Tool'!$B$33=1,SMALL('Big Data'!$AE$3:$AG$45,COUNTIF('Big Data'!$AE$3:$AG$45,0)+1),21.6)</f>
        <v>4.8259999999999996</v>
      </c>
      <c r="W77" s="562">
        <f>IF('GPS Anthro Tool'!$B$33=1,SMALL('Big Data'!$AE$3:$AG$45,COUNTIF('Big Data'!$AE$3:$AG$45,0)+1),21.6)</f>
        <v>4.8259999999999996</v>
      </c>
      <c r="X77" s="562">
        <f>IF('GPS Anthro Tool'!$B$33=1,SMALL('Big Data'!$AE$3:$AG$45,COUNTIF('Big Data'!$AE$3:$AG$45,0)+1),21.6)</f>
        <v>4.8259999999999996</v>
      </c>
      <c r="Y77" s="562">
        <f>IF('GPS Anthro Tool'!$B$33=1,SMALL('Big Data'!$AE$3:$AG$45,COUNTIF('Big Data'!$AE$3:$AG$45,0)+1),21.6)</f>
        <v>4.8259999999999996</v>
      </c>
      <c r="Z77" s="562">
        <f>IF('GPS Anthro Tool'!$B$33=1,SMALL('Big Data'!$AE$3:$AG$45,COUNTIF('Big Data'!$AE$3:$AG$45,0)+1),21.6)</f>
        <v>4.8259999999999996</v>
      </c>
      <c r="AA77" s="562">
        <f>IF('GPS Anthro Tool'!$B$33=1,SMALL('Big Data'!$AE$3:$AG$45,COUNTIF('Big Data'!$AE$3:$AG$45,0)+1),21.6)</f>
        <v>4.8259999999999996</v>
      </c>
      <c r="AB77" s="562">
        <f>IF('GPS Anthro Tool'!$B$33=1,SMALL('Big Data'!$AE$3:$AG$45,COUNTIF('Big Data'!$AE$3:$AG$45,0)+1),21.6)</f>
        <v>4.8259999999999996</v>
      </c>
      <c r="AD77" s="689" t="s">
        <v>2031</v>
      </c>
    </row>
    <row r="78" spans="1:30">
      <c r="A78" s="277" t="s">
        <v>366</v>
      </c>
      <c r="B78" s="562">
        <f>IF('GPS Anthro Tool'!$B$33=1,MAX('Big Data'!$AE$3:$AG$45),9.9)</f>
        <v>6.8579999999999997</v>
      </c>
      <c r="C78" s="167">
        <f t="shared" si="3"/>
        <v>2.6999999999999997</v>
      </c>
      <c r="S78" s="562">
        <f>IF('GPS Anthro Tool'!$B$33=1,MAX('Big Data'!$AE$3:$AG$45),9.9)</f>
        <v>6.8579999999999997</v>
      </c>
      <c r="T78" s="562">
        <f>IF('GPS Anthro Tool'!$B$33=1,MAX('Big Data'!$AE$3:$AG$45),9.9)</f>
        <v>6.8579999999999997</v>
      </c>
      <c r="U78" s="562">
        <f>IF('GPS Anthro Tool'!$B$33=1,MAX('Big Data'!$AE$3:$AG$45),9.9)</f>
        <v>6.8579999999999997</v>
      </c>
      <c r="V78" s="562">
        <f>IF('GPS Anthro Tool'!$B$33=1,MAX('Big Data'!$AE$3:$AG$45),9.9)</f>
        <v>6.8579999999999997</v>
      </c>
      <c r="W78" s="562">
        <f>IF('GPS Anthro Tool'!$B$33=1,MAX('Big Data'!$AE$3:$AG$45),9.9)</f>
        <v>6.8579999999999997</v>
      </c>
      <c r="X78" s="562">
        <f>IF('GPS Anthro Tool'!$B$33=1,MAX('Big Data'!$AE$3:$AG$45),9.9)</f>
        <v>6.8579999999999997</v>
      </c>
      <c r="Y78" s="562">
        <f>IF('GPS Anthro Tool'!$B$33=1,MAX('Big Data'!$AE$3:$AG$45),9.9)</f>
        <v>6.8579999999999997</v>
      </c>
      <c r="Z78" s="562">
        <f>IF('GPS Anthro Tool'!$B$33=1,MAX('Big Data'!$AE$3:$AG$45),9.9)</f>
        <v>6.8579999999999997</v>
      </c>
      <c r="AA78" s="562">
        <f>IF('GPS Anthro Tool'!$B$33=1,MAX('Big Data'!$AE$3:$AG$45),9.9)</f>
        <v>6.8579999999999997</v>
      </c>
      <c r="AB78" s="562">
        <f>IF('GPS Anthro Tool'!$B$33=1,MAX('Big Data'!$AE$3:$AG$45),9.9)</f>
        <v>6.8579999999999997</v>
      </c>
      <c r="AD78" s="689" t="s">
        <v>2031</v>
      </c>
    </row>
    <row r="79" spans="1:30">
      <c r="A79" s="277" t="s">
        <v>369</v>
      </c>
      <c r="B79" s="562">
        <f>IF('GPS Anthro Tool'!$B$33=1,SMALL('Big Data'!$S$3:$U$45,COUNTIF('Big Data'!$S$3:$U$45,0)+1),9.4)</f>
        <v>9.3979999999999997</v>
      </c>
      <c r="C79" s="167">
        <f t="shared" si="3"/>
        <v>3.6999999999999997</v>
      </c>
      <c r="S79" s="562">
        <f>IF('GPS Anthro Tool'!$B$33=1,SMALL('Big Data'!$S$3:$U$45,COUNTIF('Big Data'!$S$3:$U$45,0)+1),9.4)</f>
        <v>9.3979999999999997</v>
      </c>
      <c r="T79" s="562">
        <f>IF('GPS Anthro Tool'!$B$33=1,SMALL('Big Data'!$S$3:$U$45,COUNTIF('Big Data'!$S$3:$U$45,0)+1),9.4)</f>
        <v>9.3979999999999997</v>
      </c>
      <c r="U79" s="562">
        <f>IF('GPS Anthro Tool'!$B$33=1,SMALL('Big Data'!$S$3:$U$45,COUNTIF('Big Data'!$S$3:$U$45,0)+1),9.4)</f>
        <v>9.3979999999999997</v>
      </c>
      <c r="V79" s="562">
        <f>IF('GPS Anthro Tool'!$B$33=1,SMALL('Big Data'!$S$3:$U$45,COUNTIF('Big Data'!$S$3:$U$45,0)+1),9.4)</f>
        <v>9.3979999999999997</v>
      </c>
      <c r="W79" s="562">
        <f>IF('GPS Anthro Tool'!$B$33=1,SMALL('Big Data'!$S$3:$U$45,COUNTIF('Big Data'!$S$3:$U$45,0)+1),9.4)</f>
        <v>9.3979999999999997</v>
      </c>
      <c r="X79" s="562">
        <f>IF('GPS Anthro Tool'!$B$33=1,SMALL('Big Data'!$S$3:$U$45,COUNTIF('Big Data'!$S$3:$U$45,0)+1),9.4)</f>
        <v>9.3979999999999997</v>
      </c>
      <c r="Y79" s="562">
        <f>IF('GPS Anthro Tool'!$B$33=1,SMALL('Big Data'!$S$3:$U$45,COUNTIF('Big Data'!$S$3:$U$45,0)+1),9.4)</f>
        <v>9.3979999999999997</v>
      </c>
      <c r="Z79" s="562">
        <f>IF('GPS Anthro Tool'!$B$33=1,SMALL('Big Data'!$S$3:$U$45,COUNTIF('Big Data'!$S$3:$U$45,0)+1),9.4)</f>
        <v>9.3979999999999997</v>
      </c>
      <c r="AA79" s="562">
        <f>IF('GPS Anthro Tool'!$B$33=1,SMALL('Big Data'!$S$3:$U$45,COUNTIF('Big Data'!$S$3:$U$45,0)+1),9.4)</f>
        <v>9.3979999999999997</v>
      </c>
      <c r="AB79" s="562">
        <f>IF('GPS Anthro Tool'!$B$33=1,SMALL('Big Data'!$S$3:$U$45,COUNTIF('Big Data'!$S$3:$U$45,0)+1),9.4)</f>
        <v>9.3979999999999997</v>
      </c>
      <c r="AD79" s="689" t="s">
        <v>2031</v>
      </c>
    </row>
    <row r="80" spans="1:30">
      <c r="A80" s="277" t="s">
        <v>368</v>
      </c>
      <c r="B80" s="562">
        <f>IF('GPS Anthro Tool'!$B$33=1,MAX('Big Data'!$S$3:$U$45),26.6)</f>
        <v>17.526</v>
      </c>
      <c r="C80" s="167">
        <f t="shared" si="3"/>
        <v>6.8999999999999995</v>
      </c>
      <c r="S80" s="562">
        <f>IF('GPS Anthro Tool'!$B$33=1,MAX('Big Data'!$S$3:$U$45),26.6)</f>
        <v>17.526</v>
      </c>
      <c r="T80" s="562">
        <f>IF('GPS Anthro Tool'!$B$33=1,MAX('Big Data'!$S$3:$U$45),26.6)</f>
        <v>17.526</v>
      </c>
      <c r="U80" s="562">
        <f>IF('GPS Anthro Tool'!$B$33=1,MAX('Big Data'!$S$3:$U$45),26.6)</f>
        <v>17.526</v>
      </c>
      <c r="V80" s="562">
        <f>IF('GPS Anthro Tool'!$B$33=1,MAX('Big Data'!$S$3:$U$45),26.6)</f>
        <v>17.526</v>
      </c>
      <c r="W80" s="562">
        <f>IF('GPS Anthro Tool'!$B$33=1,MAX('Big Data'!$S$3:$U$45),26.6)</f>
        <v>17.526</v>
      </c>
      <c r="X80" s="562">
        <f>IF('GPS Anthro Tool'!$B$33=1,MAX('Big Data'!$S$3:$U$45),26.6)</f>
        <v>17.526</v>
      </c>
      <c r="Y80" s="562">
        <f>IF('GPS Anthro Tool'!$B$33=1,MAX('Big Data'!$S$3:$U$45),26.6)</f>
        <v>17.526</v>
      </c>
      <c r="Z80" s="562">
        <f>IF('GPS Anthro Tool'!$B$33=1,MAX('Big Data'!$S$3:$U$45),26.6)</f>
        <v>17.526</v>
      </c>
      <c r="AA80" s="562">
        <f>IF('GPS Anthro Tool'!$B$33=1,MAX('Big Data'!$S$3:$U$45),26.6)</f>
        <v>17.526</v>
      </c>
      <c r="AB80" s="562">
        <f>IF('GPS Anthro Tool'!$B$33=1,MAX('Big Data'!$S$3:$U$45),26.6)</f>
        <v>17.526</v>
      </c>
      <c r="AD80" s="689" t="s">
        <v>2031</v>
      </c>
    </row>
    <row r="81" spans="1:30">
      <c r="A81" s="277" t="s">
        <v>3482</v>
      </c>
      <c r="B81" s="562">
        <f>IF('GPS Anthro Tool'!$B$33=1,SMALL('Big Data'!$AQ$3:$AS$45,COUNTIF('Big Data'!$AQ$3:$AS$45,0)+1),1.1)</f>
        <v>3.0480000000000005</v>
      </c>
      <c r="C81" s="167">
        <f t="shared" ref="C81:C82" si="4">B81/2.54</f>
        <v>1.2000000000000002</v>
      </c>
      <c r="S81" s="562">
        <f>IF('GPS Anthro Tool'!$B$33=1,SMALL('Big Data'!$AQ$3:$AS$45,COUNTIF('Big Data'!$AQ$3:$AS$45,0)+1),1.1)</f>
        <v>3.0480000000000005</v>
      </c>
      <c r="T81" s="562">
        <f>IF('GPS Anthro Tool'!$B$33=1,SMALL('Big Data'!$AQ$3:$AS$45,COUNTIF('Big Data'!$AQ$3:$AS$45,0)+1),1.1)</f>
        <v>3.0480000000000005</v>
      </c>
      <c r="U81" s="562">
        <f>IF('GPS Anthro Tool'!$B$33=1,SMALL('Big Data'!$AQ$3:$AS$45,COUNTIF('Big Data'!$AQ$3:$AS$45,0)+1),1.1)</f>
        <v>3.0480000000000005</v>
      </c>
      <c r="V81" s="562">
        <f>IF('GPS Anthro Tool'!$B$33=1,SMALL('Big Data'!$AQ$3:$AS$45,COUNTIF('Big Data'!$AQ$3:$AS$45,0)+1),1.1)</f>
        <v>3.0480000000000005</v>
      </c>
      <c r="W81" s="562">
        <f>IF('GPS Anthro Tool'!$B$33=1,SMALL('Big Data'!$AQ$3:$AS$45,COUNTIF('Big Data'!$AQ$3:$AS$45,0)+1),1.1)</f>
        <v>3.0480000000000005</v>
      </c>
      <c r="X81" s="562">
        <f>IF('GPS Anthro Tool'!$B$33=1,SMALL('Big Data'!$AQ$3:$AS$45,COUNTIF('Big Data'!$AQ$3:$AS$45,0)+1),1.1)</f>
        <v>3.0480000000000005</v>
      </c>
      <c r="Y81" s="562">
        <f>IF('GPS Anthro Tool'!$B$33=1,SMALL('Big Data'!$AQ$3:$AS$45,COUNTIF('Big Data'!$AQ$3:$AS$45,0)+1),1.1)</f>
        <v>3.0480000000000005</v>
      </c>
      <c r="Z81" s="562">
        <f>IF('GPS Anthro Tool'!$B$33=1,SMALL('Big Data'!$AQ$3:$AS$45,COUNTIF('Big Data'!$AQ$3:$AS$45,0)+1),1.1)</f>
        <v>3.0480000000000005</v>
      </c>
      <c r="AA81" s="562">
        <f>IF('GPS Anthro Tool'!$B$33=1,SMALL('Big Data'!$AQ$3:$AS$45,COUNTIF('Big Data'!$AQ$3:$AS$45,0)+1),1.1)</f>
        <v>3.0480000000000005</v>
      </c>
      <c r="AB81" s="562">
        <f>IF('GPS Anthro Tool'!$B$33=1,SMALL('Big Data'!$AQ$3:$AS$45,COUNTIF('Big Data'!$AQ$3:$AS$45,0)+1),1.1)</f>
        <v>3.0480000000000005</v>
      </c>
      <c r="AD81" s="689" t="s">
        <v>2031</v>
      </c>
    </row>
    <row r="82" spans="1:30">
      <c r="A82" s="277" t="s">
        <v>3483</v>
      </c>
      <c r="B82" s="562">
        <f>IF('GPS Anthro Tool'!$B$33=1,MAX('Big Data'!$S$3:$U$45),31.7)</f>
        <v>17.526</v>
      </c>
      <c r="C82" s="167">
        <f t="shared" si="4"/>
        <v>6.8999999999999995</v>
      </c>
      <c r="S82" s="562">
        <f>IF('GPS Anthro Tool'!$B$33=1,MAX('Big Data'!$S$3:$U$45),31.7)</f>
        <v>17.526</v>
      </c>
      <c r="T82" s="562">
        <f>IF('GPS Anthro Tool'!$B$33=1,MAX('Big Data'!$S$3:$U$45),31.7)</f>
        <v>17.526</v>
      </c>
      <c r="U82" s="562">
        <f>IF('GPS Anthro Tool'!$B$33=1,MAX('Big Data'!$S$3:$U$45),31.7)</f>
        <v>17.526</v>
      </c>
      <c r="V82" s="562">
        <f>IF('GPS Anthro Tool'!$B$33=1,MAX('Big Data'!$S$3:$U$45),31.7)</f>
        <v>17.526</v>
      </c>
      <c r="W82" s="562">
        <f>IF('GPS Anthro Tool'!$B$33=1,MAX('Big Data'!$S$3:$U$45),31.7)</f>
        <v>17.526</v>
      </c>
      <c r="X82" s="562">
        <f>IF('GPS Anthro Tool'!$B$33=1,MAX('Big Data'!$S$3:$U$45),31.7)</f>
        <v>17.526</v>
      </c>
      <c r="Y82" s="562">
        <f>IF('GPS Anthro Tool'!$B$33=1,MAX('Big Data'!$S$3:$U$45),31.7)</f>
        <v>17.526</v>
      </c>
      <c r="Z82" s="562">
        <f>IF('GPS Anthro Tool'!$B$33=1,MAX('Big Data'!$S$3:$U$45),31.7)</f>
        <v>17.526</v>
      </c>
      <c r="AA82" s="562">
        <f>IF('GPS Anthro Tool'!$B$33=1,MAX('Big Data'!$S$3:$U$45),31.7)</f>
        <v>17.526</v>
      </c>
      <c r="AB82" s="562">
        <f>IF('GPS Anthro Tool'!$B$33=1,MAX('Big Data'!$S$3:$U$45),31.7)</f>
        <v>17.526</v>
      </c>
      <c r="AD82" s="689" t="s">
        <v>2031</v>
      </c>
    </row>
    <row r="83" spans="1:30">
      <c r="A83" s="277" t="s">
        <v>372</v>
      </c>
      <c r="B83" s="562">
        <f>IF('GPS Anthro Tool'!$B$33=1,MAX('Big Data'!$AA$3:$AC$45),-8.241)</f>
        <v>11.162284</v>
      </c>
      <c r="C83" s="167">
        <f t="shared" si="3"/>
        <v>4.3945999999999996</v>
      </c>
      <c r="S83" s="562">
        <f>IF('GPS Anthro Tool'!$B$33=1,MAX('Big Data'!$AA$3:$AC$45),-8.241)</f>
        <v>11.162284</v>
      </c>
      <c r="T83" s="562">
        <f>IF('GPS Anthro Tool'!$B$33=1,MAX('Big Data'!$AA$3:$AC$45),-8.241)</f>
        <v>11.162284</v>
      </c>
      <c r="U83" s="562">
        <f>IF('GPS Anthro Tool'!$B$33=1,MAX('Big Data'!$AA$3:$AC$45),-8.241)</f>
        <v>11.162284</v>
      </c>
      <c r="V83" s="562">
        <f>IF('GPS Anthro Tool'!$B$33=1,MAX('Big Data'!$AA$3:$AC$45),-8.241)</f>
        <v>11.162284</v>
      </c>
      <c r="W83" s="562">
        <f>IF('GPS Anthro Tool'!$B$33=1,MAX('Big Data'!$AA$3:$AC$45),-8.241)</f>
        <v>11.162284</v>
      </c>
      <c r="X83" s="562">
        <f>IF('GPS Anthro Tool'!$B$33=1,MAX('Big Data'!$AA$3:$AC$45),-8.241)</f>
        <v>11.162284</v>
      </c>
      <c r="Y83" s="562">
        <f>IF('GPS Anthro Tool'!$B$33=1,MAX('Big Data'!$AA$3:$AC$45),-8.241)</f>
        <v>11.162284</v>
      </c>
      <c r="Z83" s="562">
        <f>IF('GPS Anthro Tool'!$B$33=1,MAX('Big Data'!$AA$3:$AC$45),-8.241)</f>
        <v>11.162284</v>
      </c>
      <c r="AA83" s="562">
        <f>IF('GPS Anthro Tool'!$B$33=1,MAX('Big Data'!$AA$3:$AC$45),-8.241)</f>
        <v>11.162284</v>
      </c>
      <c r="AB83" s="562">
        <f>IF('GPS Anthro Tool'!$B$33=1,MAX('Big Data'!$AA$3:$AC$45),-8.241)</f>
        <v>11.162284</v>
      </c>
      <c r="AD83" s="689" t="s">
        <v>2031</v>
      </c>
    </row>
    <row r="84" spans="1:30">
      <c r="A84" s="277" t="s">
        <v>373</v>
      </c>
      <c r="B84" s="562">
        <f>IF('GPS Anthro Tool'!$B$33=1,SMALL('Big Data'!$AA$3:$AC$45,COUNTIF('Big Data'!$AA$3:$AC$45,0)+1),-18.6)</f>
        <v>8.1213959999999989</v>
      </c>
      <c r="C84" s="167">
        <f t="shared" si="3"/>
        <v>3.1973999999999996</v>
      </c>
      <c r="S84" s="562">
        <f>IF('GPS Anthro Tool'!$B$33=1,SMALL('Big Data'!$AA$3:$AC$45,COUNTIF('Big Data'!$AA$3:$AC$45,0)+1),-18.6)</f>
        <v>8.1213959999999989</v>
      </c>
      <c r="T84" s="562">
        <f>IF('GPS Anthro Tool'!$B$33=1,SMALL('Big Data'!$AA$3:$AC$45,COUNTIF('Big Data'!$AA$3:$AC$45,0)+1),-18.6)</f>
        <v>8.1213959999999989</v>
      </c>
      <c r="U84" s="562">
        <f>IF('GPS Anthro Tool'!$B$33=1,SMALL('Big Data'!$AA$3:$AC$45,COUNTIF('Big Data'!$AA$3:$AC$45,0)+1),-18.6)</f>
        <v>8.1213959999999989</v>
      </c>
      <c r="V84" s="562">
        <f>IF('GPS Anthro Tool'!$B$33=1,SMALL('Big Data'!$AA$3:$AC$45,COUNTIF('Big Data'!$AA$3:$AC$45,0)+1),-18.6)</f>
        <v>8.1213959999999989</v>
      </c>
      <c r="W84" s="562">
        <f>IF('GPS Anthro Tool'!$B$33=1,SMALL('Big Data'!$AA$3:$AC$45,COUNTIF('Big Data'!$AA$3:$AC$45,0)+1),-18.6)</f>
        <v>8.1213959999999989</v>
      </c>
      <c r="X84" s="562">
        <f>IF('GPS Anthro Tool'!$B$33=1,SMALL('Big Data'!$AA$3:$AC$45,COUNTIF('Big Data'!$AA$3:$AC$45,0)+1),-18.6)</f>
        <v>8.1213959999999989</v>
      </c>
      <c r="Y84" s="562">
        <f>IF('GPS Anthro Tool'!$B$33=1,SMALL('Big Data'!$AA$3:$AC$45,COUNTIF('Big Data'!$AA$3:$AC$45,0)+1),-18.6)</f>
        <v>8.1213959999999989</v>
      </c>
      <c r="Z84" s="562">
        <f>IF('GPS Anthro Tool'!$B$33=1,SMALL('Big Data'!$AA$3:$AC$45,COUNTIF('Big Data'!$AA$3:$AC$45,0)+1),-18.6)</f>
        <v>8.1213959999999989</v>
      </c>
      <c r="AA84" s="562">
        <f>IF('GPS Anthro Tool'!$B$33=1,SMALL('Big Data'!$AA$3:$AC$45,COUNTIF('Big Data'!$AA$3:$AC$45,0)+1),-18.6)</f>
        <v>8.1213959999999989</v>
      </c>
      <c r="AB84" s="562">
        <f>IF('GPS Anthro Tool'!$B$33=1,SMALL('Big Data'!$AA$3:$AC$45,COUNTIF('Big Data'!$AA$3:$AC$45,0)+1),-18.6)</f>
        <v>8.1213959999999989</v>
      </c>
      <c r="AD84" s="689" t="s">
        <v>2031</v>
      </c>
    </row>
    <row r="85" spans="1:30">
      <c r="A85" s="277" t="s">
        <v>474</v>
      </c>
      <c r="B85" s="556">
        <f>IF($B$21=1,SUM(Solution!$CK$30:$CQ$30)*2,SUM(Solution!$CL$31:$CQ$31))</f>
        <v>125.6803445719586</v>
      </c>
      <c r="C85" s="167">
        <f t="shared" si="3"/>
        <v>49.480450618881335</v>
      </c>
      <c r="S85" s="556">
        <f>IF($B$21=1,SUM(Solution!$CK$30:$CQ$30)*2,SUM(Solution!$CL$31:$CQ$31))</f>
        <v>125.6803445719586</v>
      </c>
      <c r="T85" s="556">
        <f>IF($B$21=1,SUM(Solution!$CK$30:$CQ$30)*2,SUM(Solution!$CL$31:$CQ$31))</f>
        <v>125.6803445719586</v>
      </c>
      <c r="U85" s="556">
        <f>IF($B$21=1,SUM(Solution!$CK$30:$CQ$30)*2,SUM(Solution!$CL$31:$CQ$31))</f>
        <v>125.6803445719586</v>
      </c>
      <c r="V85" s="562">
        <f>IF($B$21=1,SUM(Solution!$CK$30:$CQ$30)*2,SUM(Solution!$CL$31:$CQ$31))</f>
        <v>125.6803445719586</v>
      </c>
      <c r="W85" s="556">
        <f>IF($B$21=1,SUM(Solution!$CK$30:$CQ$30)*2,SUM(Solution!$CL$31:$CQ$31))</f>
        <v>125.6803445719586</v>
      </c>
      <c r="X85" s="556">
        <f>IF($B$21=1,SUM(Solution!$CK$30:$CQ$30)*2,SUM(Solution!$CL$31:$CQ$31))</f>
        <v>125.6803445719586</v>
      </c>
      <c r="Y85" s="556">
        <f>IF($B$21=1,SUM(Solution!$CK$30:$CQ$30)*2,SUM(Solution!$CL$31:$CQ$31))</f>
        <v>125.6803445719586</v>
      </c>
      <c r="Z85" s="556">
        <f>IF($B$21=1,SUM(Solution!$CK$30:$CQ$30)*2,SUM(Solution!$CL$31:$CQ$31))</f>
        <v>125.6803445719586</v>
      </c>
      <c r="AA85" s="556">
        <f>IF($B$21=1,SUM(Solution!$CK$30:$CQ$30)*2,SUM(Solution!$CL$31:$CQ$31))</f>
        <v>125.6803445719586</v>
      </c>
      <c r="AB85" s="556">
        <f>IF($B$21=1,SUM(Solution!$CK$30:$CQ$30)*2,SUM(Solution!$CL$31:$CQ$31))</f>
        <v>125.6803445719586</v>
      </c>
      <c r="AD85" s="689" t="s">
        <v>2031</v>
      </c>
    </row>
    <row r="86" spans="1:30">
      <c r="AD86" s="689" t="s">
        <v>2031</v>
      </c>
    </row>
    <row r="87" spans="1:30">
      <c r="A87" s="154" t="s">
        <v>475</v>
      </c>
      <c r="AD87" s="689" t="s">
        <v>2031</v>
      </c>
    </row>
    <row r="88" spans="1:30">
      <c r="A88" s="279" t="s">
        <v>402</v>
      </c>
      <c r="B88" s="563">
        <f t="shared" ref="B88" si="5">(B24*2)+(B28*2)+B32</f>
        <v>9</v>
      </c>
      <c r="C88" s="216">
        <f>0.25*B88</f>
        <v>2.25</v>
      </c>
      <c r="S88" s="563">
        <f t="shared" ref="S88:AB88" si="6">(S24*2)+(S28*2)+S32</f>
        <v>31</v>
      </c>
      <c r="T88" s="563">
        <f t="shared" si="6"/>
        <v>11</v>
      </c>
      <c r="U88" s="563">
        <f t="shared" si="6"/>
        <v>31</v>
      </c>
      <c r="V88" s="563">
        <f t="shared" si="6"/>
        <v>25</v>
      </c>
      <c r="W88" s="563">
        <f t="shared" si="6"/>
        <v>31</v>
      </c>
      <c r="X88" s="563">
        <f t="shared" si="6"/>
        <v>25</v>
      </c>
      <c r="Y88" s="563">
        <f t="shared" si="6"/>
        <v>15</v>
      </c>
      <c r="Z88" s="563">
        <f t="shared" si="6"/>
        <v>17</v>
      </c>
      <c r="AA88" s="563">
        <f t="shared" si="6"/>
        <v>17</v>
      </c>
      <c r="AB88" s="563">
        <f t="shared" si="6"/>
        <v>9</v>
      </c>
      <c r="AD88" s="689" t="s">
        <v>2031</v>
      </c>
    </row>
    <row r="89" spans="1:30">
      <c r="A89" s="279" t="s">
        <v>477</v>
      </c>
      <c r="B89" s="564" t="str">
        <f>IF($B$21=1,1,2) &amp; " " &amp;" pc."</f>
        <v>1  pc.</v>
      </c>
      <c r="C89" s="216">
        <f>IF($B$21=1,C23*0.02,2*((C23*0.02)+0.3))</f>
        <v>0.98960901237762677</v>
      </c>
      <c r="S89" s="564" t="str">
        <f t="shared" ref="S89" si="7">IF($B$21=1,1,2) &amp; " " &amp;" pc."</f>
        <v>1  pc.</v>
      </c>
      <c r="T89" s="564" t="str">
        <f t="shared" ref="T89:Z89" si="8">IF($B$21=1,1,2) &amp; " " &amp;" pc."</f>
        <v>1  pc.</v>
      </c>
      <c r="U89" s="564" t="str">
        <f t="shared" si="8"/>
        <v>1  pc.</v>
      </c>
      <c r="V89" s="564" t="str">
        <f t="shared" si="8"/>
        <v>1  pc.</v>
      </c>
      <c r="W89" s="564" t="str">
        <f t="shared" si="8"/>
        <v>1  pc.</v>
      </c>
      <c r="X89" s="564" t="str">
        <f t="shared" si="8"/>
        <v>1  pc.</v>
      </c>
      <c r="Y89" s="564" t="str">
        <f t="shared" si="8"/>
        <v>1  pc.</v>
      </c>
      <c r="Z89" s="564" t="str">
        <f t="shared" si="8"/>
        <v>1  pc.</v>
      </c>
      <c r="AA89" s="564" t="str">
        <f>IF($B$21=1,1,2) &amp; " " &amp;" pc."</f>
        <v>1  pc.</v>
      </c>
      <c r="AB89" s="564" t="str">
        <f>IF($B$21=1,1,2) &amp; " " &amp;" pc."</f>
        <v>1  pc.</v>
      </c>
      <c r="AD89" s="689" t="s">
        <v>2031</v>
      </c>
    </row>
    <row r="90" spans="1:30">
      <c r="AD90" s="689" t="s">
        <v>2031</v>
      </c>
    </row>
    <row r="91" spans="1:30">
      <c r="A91" s="502" t="s">
        <v>3484</v>
      </c>
      <c r="B91" s="565">
        <f t="shared" ref="B91" si="9">INT(SUM(B4:B6,B9:B11,B14:B17,B20:B21,B24:B35,B38:B42,B44:B60,B63:B72)*1000)/1000</f>
        <v>125</v>
      </c>
      <c r="C91" s="503"/>
      <c r="S91" s="565">
        <f t="shared" ref="S91:AB91" si="10">INT(SUM(S4:S6,S9:S11,S14:S17,S20:S21,S24:S35,S38:S42,S44:S60,S63:S72)*1000)/1000</f>
        <v>453</v>
      </c>
      <c r="T91" s="565">
        <f t="shared" si="10"/>
        <v>8</v>
      </c>
      <c r="U91" s="565">
        <f t="shared" si="10"/>
        <v>453</v>
      </c>
      <c r="V91" s="565">
        <f t="shared" si="10"/>
        <v>312.10000000000002</v>
      </c>
      <c r="W91" s="565">
        <f t="shared" si="10"/>
        <v>351</v>
      </c>
      <c r="X91" s="565">
        <f t="shared" si="10"/>
        <v>330.1</v>
      </c>
      <c r="Y91" s="565">
        <f t="shared" si="10"/>
        <v>318.10000000000002</v>
      </c>
      <c r="Z91" s="565">
        <f t="shared" si="10"/>
        <v>208.5</v>
      </c>
      <c r="AA91" s="565">
        <f t="shared" si="10"/>
        <v>169</v>
      </c>
      <c r="AB91" s="565">
        <f t="shared" si="10"/>
        <v>126</v>
      </c>
      <c r="AD91" s="689" t="s">
        <v>2031</v>
      </c>
    </row>
    <row r="92" spans="1:30">
      <c r="B92" s="565">
        <v>126</v>
      </c>
      <c r="S92" s="565">
        <v>453</v>
      </c>
      <c r="T92" s="565">
        <v>8</v>
      </c>
      <c r="U92" s="565">
        <v>453</v>
      </c>
      <c r="V92" s="565">
        <v>312.10000000000002</v>
      </c>
      <c r="W92" s="565">
        <v>351</v>
      </c>
      <c r="X92" s="565">
        <v>330.1</v>
      </c>
      <c r="Y92" s="565">
        <v>318.10000000000002</v>
      </c>
      <c r="Z92" s="565">
        <v>208.5</v>
      </c>
      <c r="AA92" s="565">
        <v>169</v>
      </c>
      <c r="AB92" s="565">
        <v>126</v>
      </c>
      <c r="AD92" s="689" t="s">
        <v>2031</v>
      </c>
    </row>
    <row r="93" spans="1:30">
      <c r="B93" s="551">
        <f t="shared" ref="B93" si="11">IF(B91=B92,0,1)</f>
        <v>1</v>
      </c>
      <c r="S93" s="551">
        <f t="shared" ref="S93" si="12">IF(S91=S92,0,1)</f>
        <v>0</v>
      </c>
      <c r="T93" s="551">
        <f t="shared" ref="T93:U93" si="13">IF(T91=T92,0,1)</f>
        <v>0</v>
      </c>
      <c r="U93" s="551">
        <f t="shared" si="13"/>
        <v>0</v>
      </c>
      <c r="V93" s="551">
        <f t="shared" ref="V93" si="14">IF(V91=V92,0,1)</f>
        <v>0</v>
      </c>
      <c r="W93" s="551">
        <f t="shared" ref="W93:Y93" si="15">IF(W91=W92,0,1)</f>
        <v>0</v>
      </c>
      <c r="X93" s="551">
        <f t="shared" si="15"/>
        <v>0</v>
      </c>
      <c r="Y93" s="551">
        <f t="shared" si="15"/>
        <v>0</v>
      </c>
      <c r="Z93" s="551">
        <f t="shared" ref="Z93" si="16">IF(Z91=Z92,0,1)</f>
        <v>0</v>
      </c>
      <c r="AA93" s="551">
        <f t="shared" ref="AA93:AB93" si="17">IF(AA91=AA92,0,1)</f>
        <v>0</v>
      </c>
      <c r="AB93" s="551">
        <f t="shared" si="17"/>
        <v>0</v>
      </c>
      <c r="AD93" s="689" t="s">
        <v>2031</v>
      </c>
    </row>
    <row r="94" spans="1:30">
      <c r="AD94" s="689" t="s">
        <v>2031</v>
      </c>
    </row>
    <row r="95" spans="1:30">
      <c r="B95" s="545">
        <v>1</v>
      </c>
      <c r="S95" s="545">
        <v>8</v>
      </c>
      <c r="T95" s="545">
        <v>9</v>
      </c>
      <c r="U95" s="545">
        <v>8</v>
      </c>
      <c r="V95" s="545">
        <v>7</v>
      </c>
      <c r="W95" s="545">
        <v>6</v>
      </c>
      <c r="X95" s="545">
        <v>5</v>
      </c>
      <c r="Y95" s="545">
        <v>4</v>
      </c>
      <c r="Z95" s="545">
        <v>3</v>
      </c>
      <c r="AA95" s="545">
        <v>2</v>
      </c>
      <c r="AB95" s="545">
        <v>1</v>
      </c>
      <c r="AD95" s="689" t="s">
        <v>2031</v>
      </c>
    </row>
    <row r="96" spans="1:30">
      <c r="AD96" s="689" t="s">
        <v>2031</v>
      </c>
    </row>
    <row r="97" spans="30:30">
      <c r="AD97" s="689" t="s">
        <v>2031</v>
      </c>
    </row>
    <row r="98" spans="30:30">
      <c r="AD98" s="689" t="s">
        <v>2031</v>
      </c>
    </row>
    <row r="99" spans="30:30">
      <c r="AD99" s="689" t="s">
        <v>2031</v>
      </c>
    </row>
    <row r="100" spans="30:30">
      <c r="AD100" s="689" t="s">
        <v>2031</v>
      </c>
    </row>
    <row r="101" spans="30:30">
      <c r="AD101" s="689" t="s">
        <v>2031</v>
      </c>
    </row>
    <row r="102" spans="30:30">
      <c r="AD102" s="689" t="s">
        <v>2031</v>
      </c>
    </row>
    <row r="103" spans="30:30">
      <c r="AD103" s="689" t="s">
        <v>2031</v>
      </c>
    </row>
    <row r="104" spans="30:30">
      <c r="AD104" s="689" t="s">
        <v>2031</v>
      </c>
    </row>
    <row r="105" spans="30:30">
      <c r="AD105" s="689" t="s">
        <v>2031</v>
      </c>
    </row>
    <row r="106" spans="30:30">
      <c r="AD106" s="689" t="s">
        <v>2031</v>
      </c>
    </row>
    <row r="107" spans="30:30">
      <c r="AD107" s="689" t="s">
        <v>2031</v>
      </c>
    </row>
    <row r="108" spans="30:30">
      <c r="AD108" s="689" t="s">
        <v>2031</v>
      </c>
    </row>
    <row r="109" spans="30:30">
      <c r="AD109" s="689" t="s">
        <v>2031</v>
      </c>
    </row>
    <row r="110" spans="30:30">
      <c r="AD110" s="689" t="s">
        <v>2031</v>
      </c>
    </row>
    <row r="111" spans="30:30">
      <c r="AD111" s="689" t="s">
        <v>2031</v>
      </c>
    </row>
    <row r="112" spans="30:30">
      <c r="AD112" s="689" t="s">
        <v>2031</v>
      </c>
    </row>
    <row r="113" spans="30:30">
      <c r="AD113" s="689" t="s">
        <v>2031</v>
      </c>
    </row>
    <row r="114" spans="30:30">
      <c r="AD114" s="689" t="s">
        <v>2031</v>
      </c>
    </row>
    <row r="115" spans="30:30">
      <c r="AD115" s="689" t="s">
        <v>2031</v>
      </c>
    </row>
    <row r="116" spans="30:30">
      <c r="AD116" s="689" t="s">
        <v>2031</v>
      </c>
    </row>
    <row r="211" spans="1:1">
      <c r="A211" s="182" t="s">
        <v>385</v>
      </c>
    </row>
    <row r="212" spans="1:1">
      <c r="A212" s="152" t="s">
        <v>386</v>
      </c>
    </row>
    <row r="213" spans="1:1">
      <c r="A213" s="152" t="s">
        <v>387</v>
      </c>
    </row>
    <row r="214" spans="1:1">
      <c r="A214" s="181">
        <v>43374</v>
      </c>
    </row>
  </sheetData>
  <sheetProtection selectLockedCells="1" selectUnlockedCells="1"/>
  <phoneticPr fontId="104" type="noConversion"/>
  <conditionalFormatting sqref="A45">
    <cfRule type="colorScale" priority="986">
      <colorScale>
        <cfvo type="num" val="0"/>
        <cfvo type="max"/>
        <color theme="1" tint="0.499984740745262"/>
        <color rgb="FF00B050"/>
      </colorScale>
    </cfRule>
  </conditionalFormatting>
  <conditionalFormatting sqref="A45:A60">
    <cfRule type="colorScale" priority="985">
      <colorScale>
        <cfvo type="formula" val="&quot;&quot;"/>
        <cfvo type="formula" val="&quot;&gt;&quot;&quot;&quot;&quot;&quot;"/>
        <color theme="1" tint="0.499984740745262"/>
        <color rgb="FF92D050"/>
      </colorScale>
    </cfRule>
  </conditionalFormatting>
  <conditionalFormatting sqref="T22">
    <cfRule type="colorScale" priority="980">
      <colorScale>
        <cfvo type="num" val="1"/>
        <cfvo type="num" val="2"/>
        <color rgb="FFFF0000"/>
        <color rgb="FF00B050"/>
      </colorScale>
    </cfRule>
  </conditionalFormatting>
  <conditionalFormatting sqref="W22">
    <cfRule type="colorScale" priority="972">
      <colorScale>
        <cfvo type="num" val="1"/>
        <cfvo type="num" val="2"/>
        <color rgb="FFFF0000"/>
        <color rgb="FF00B050"/>
      </colorScale>
    </cfRule>
  </conditionalFormatting>
  <conditionalFormatting sqref="C1:C2">
    <cfRule type="containsText" dxfId="291" priority="877" operator="containsText" text="CHANGED">
      <formula>NOT(ISERROR(SEARCH("CHANGED",C1)))</formula>
    </cfRule>
  </conditionalFormatting>
  <conditionalFormatting sqref="AA22">
    <cfRule type="colorScale" priority="800">
      <colorScale>
        <cfvo type="num" val="1"/>
        <cfvo type="num" val="2"/>
        <color rgb="FFFF0000"/>
        <color rgb="FF00B050"/>
      </colorScale>
    </cfRule>
  </conditionalFormatting>
  <conditionalFormatting sqref="Z22">
    <cfRule type="colorScale" priority="622">
      <colorScale>
        <cfvo type="num" val="1"/>
        <cfvo type="num" val="2"/>
        <color rgb="FFFF0000"/>
        <color rgb="FF00B050"/>
      </colorScale>
    </cfRule>
  </conditionalFormatting>
  <conditionalFormatting sqref="Y22">
    <cfRule type="colorScale" priority="353">
      <colorScale>
        <cfvo type="num" val="1"/>
        <cfvo type="num" val="2"/>
        <color rgb="FFFF0000"/>
        <color rgb="FF00B050"/>
      </colorScale>
    </cfRule>
  </conditionalFormatting>
  <conditionalFormatting sqref="X22">
    <cfRule type="colorScale" priority="351">
      <colorScale>
        <cfvo type="num" val="1"/>
        <cfvo type="num" val="2"/>
        <color rgb="FFFF0000"/>
        <color rgb="FF00B050"/>
      </colorScale>
    </cfRule>
  </conditionalFormatting>
  <conditionalFormatting sqref="V22">
    <cfRule type="colorScale" priority="306">
      <colorScale>
        <cfvo type="num" val="1"/>
        <cfvo type="num" val="2"/>
        <color rgb="FFFF0000"/>
        <color rgb="FF00B050"/>
      </colorScale>
    </cfRule>
  </conditionalFormatting>
  <conditionalFormatting sqref="U22">
    <cfRule type="colorScale" priority="303">
      <colorScale>
        <cfvo type="num" val="1"/>
        <cfvo type="num" val="2"/>
        <color rgb="FFFF0000"/>
        <color rgb="FF00B050"/>
      </colorScale>
    </cfRule>
  </conditionalFormatting>
  <conditionalFormatting sqref="S22">
    <cfRule type="colorScale" priority="299">
      <colorScale>
        <cfvo type="num" val="1"/>
        <cfvo type="num" val="2"/>
        <color rgb="FFFF0000"/>
        <color rgb="FF00B050"/>
      </colorScale>
    </cfRule>
  </conditionalFormatting>
  <conditionalFormatting sqref="C24">
    <cfRule type="containsText" dxfId="290" priority="28" operator="containsText" text="WARNING">
      <formula>NOT(ISERROR(SEARCH("WARNING",C24)))</formula>
    </cfRule>
  </conditionalFormatting>
  <conditionalFormatting sqref="AB22">
    <cfRule type="colorScale" priority="24">
      <colorScale>
        <cfvo type="num" val="1"/>
        <cfvo type="num" val="2"/>
        <color rgb="FFFF0000"/>
        <color rgb="FF00B050"/>
      </colorScale>
    </cfRule>
  </conditionalFormatting>
  <conditionalFormatting sqref="AB24">
    <cfRule type="cellIs" dxfId="289" priority="23" operator="equal">
      <formula>1</formula>
    </cfRule>
  </conditionalFormatting>
  <conditionalFormatting sqref="B22">
    <cfRule type="colorScale" priority="2">
      <colorScale>
        <cfvo type="num" val="1"/>
        <cfvo type="num" val="2"/>
        <color rgb="FFFF0000"/>
        <color rgb="FF00B050"/>
      </colorScale>
    </cfRule>
  </conditionalFormatting>
  <conditionalFormatting sqref="B24">
    <cfRule type="cellIs" dxfId="0" priority="1" operator="equal">
      <formula>1</formula>
    </cfRule>
  </conditionalFormatting>
  <pageMargins left="0.7" right="0.7" top="0.75" bottom="0.75" header="0.3" footer="0.3"/>
  <pageSetup paperSize="3" scale="80" orientation="portrait" r:id="rId1"/>
  <cellWatches>
    <cellWatch r="B33"/>
  </cellWatche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50"/>
  </sheetPr>
  <dimension ref="A1:DR129"/>
  <sheetViews>
    <sheetView zoomScaleNormal="100" workbookViewId="0">
      <selection activeCell="E3" sqref="E3"/>
    </sheetView>
  </sheetViews>
  <sheetFormatPr defaultRowHeight="12.75"/>
  <cols>
    <col min="1" max="1" width="10.42578125" customWidth="1"/>
    <col min="2" max="23" width="6.7109375" customWidth="1"/>
    <col min="24" max="24" width="12.7109375" customWidth="1"/>
    <col min="25" max="25" width="17.28515625" customWidth="1"/>
    <col min="26" max="34" width="4.42578125" customWidth="1"/>
    <col min="35" max="35" width="5.42578125" style="42" customWidth="1"/>
    <col min="36" max="36" width="5.5703125" style="42" customWidth="1"/>
    <col min="37" max="37" width="6" customWidth="1"/>
    <col min="38" max="39" width="3.7109375" customWidth="1"/>
    <col min="40" max="41" width="5" customWidth="1"/>
    <col min="42" max="45" width="3.7109375" customWidth="1"/>
    <col min="46" max="46" width="1.7109375" customWidth="1"/>
    <col min="47" max="48" width="4.7109375" customWidth="1"/>
    <col min="49" max="49" width="1.7109375" customWidth="1"/>
    <col min="50" max="51" width="4.7109375" customWidth="1"/>
    <col min="52" max="52" width="1.7109375" customWidth="1"/>
    <col min="53" max="54" width="4.7109375" customWidth="1"/>
    <col min="55" max="55" width="1.7109375" customWidth="1"/>
    <col min="56" max="59" width="4.7109375" customWidth="1"/>
    <col min="61" max="66" width="4.7109375" customWidth="1"/>
    <col min="67" max="67" width="2.7109375" style="214" customWidth="1"/>
    <col min="68" max="73" width="4.7109375" customWidth="1"/>
    <col min="76" max="122" width="4.7109375" customWidth="1"/>
  </cols>
  <sheetData>
    <row r="1" spans="1:95" ht="73.5" customHeight="1">
      <c r="A1" s="57">
        <f>'GPS Anthro Tool'!$B$24</f>
        <v>3</v>
      </c>
      <c r="B1" s="61" t="s">
        <v>4321</v>
      </c>
      <c r="C1" s="61" t="s">
        <v>4322</v>
      </c>
      <c r="D1" s="61" t="s">
        <v>4319</v>
      </c>
      <c r="E1" s="61" t="s">
        <v>4320</v>
      </c>
      <c r="F1" s="61" t="s">
        <v>269</v>
      </c>
      <c r="G1" s="61" t="s">
        <v>278</v>
      </c>
      <c r="H1" s="61" t="s">
        <v>270</v>
      </c>
      <c r="I1" s="61" t="s">
        <v>279</v>
      </c>
      <c r="J1" s="61" t="s">
        <v>271</v>
      </c>
      <c r="K1" s="61" t="s">
        <v>280</v>
      </c>
      <c r="L1" s="61" t="s">
        <v>272</v>
      </c>
      <c r="M1" s="61" t="s">
        <v>281</v>
      </c>
      <c r="N1" s="61" t="s">
        <v>273</v>
      </c>
      <c r="O1" s="61" t="s">
        <v>282</v>
      </c>
      <c r="P1" s="61" t="s">
        <v>274</v>
      </c>
      <c r="Q1" s="61" t="s">
        <v>283</v>
      </c>
      <c r="R1" s="61" t="s">
        <v>275</v>
      </c>
      <c r="S1" s="61" t="s">
        <v>284</v>
      </c>
      <c r="T1" s="61" t="s">
        <v>276</v>
      </c>
      <c r="U1" s="61" t="s">
        <v>285</v>
      </c>
      <c r="V1" s="61" t="s">
        <v>277</v>
      </c>
      <c r="W1" s="61" t="s">
        <v>286</v>
      </c>
      <c r="X1" s="1"/>
      <c r="AF1" s="1"/>
      <c r="AG1" s="1"/>
      <c r="AH1" s="1"/>
      <c r="AI1" s="70" t="s">
        <v>291</v>
      </c>
      <c r="AJ1" s="70" t="s">
        <v>292</v>
      </c>
      <c r="AM1" s="622" t="s">
        <v>296</v>
      </c>
      <c r="AN1" s="622" t="s">
        <v>297</v>
      </c>
      <c r="AO1" s="622" t="s">
        <v>301</v>
      </c>
      <c r="AP1" s="622" t="s">
        <v>298</v>
      </c>
      <c r="AQ1" s="622" t="s">
        <v>299</v>
      </c>
    </row>
    <row r="2" spans="1:95">
      <c r="A2" t="s">
        <v>268</v>
      </c>
      <c r="B2" s="1"/>
      <c r="C2" s="1"/>
      <c r="D2" s="1"/>
      <c r="E2" s="1"/>
      <c r="F2" s="1"/>
      <c r="G2" s="1"/>
      <c r="H2" s="1"/>
      <c r="I2" s="1"/>
      <c r="J2" s="1"/>
      <c r="K2" s="1"/>
      <c r="L2" s="1"/>
      <c r="M2" s="1"/>
      <c r="N2" s="1"/>
      <c r="O2" s="1"/>
      <c r="P2" s="1"/>
      <c r="Q2" s="1"/>
      <c r="R2" s="1"/>
      <c r="S2" s="1"/>
      <c r="T2" s="1"/>
      <c r="U2" s="1"/>
      <c r="V2" s="1"/>
      <c r="W2" s="1"/>
      <c r="X2" s="1"/>
      <c r="Y2" s="1"/>
      <c r="Z2" s="1"/>
      <c r="AA2" s="1"/>
      <c r="AB2" s="1"/>
      <c r="AC2" s="1"/>
      <c r="AD2" s="1"/>
      <c r="AE2" s="623"/>
      <c r="AF2" s="750" t="str">
        <f>'GPS Anthro Tool'!A25</f>
        <v>Show Harness Slots (1/0)</v>
      </c>
      <c r="AG2" s="750"/>
      <c r="AH2" s="750"/>
      <c r="AI2" s="469">
        <v>1</v>
      </c>
      <c r="AJ2" s="57" t="s">
        <v>3453</v>
      </c>
      <c r="AU2" s="736" t="s">
        <v>401</v>
      </c>
      <c r="AV2" s="736"/>
      <c r="AW2" s="736"/>
      <c r="AX2" s="736"/>
      <c r="AY2" s="736"/>
      <c r="AZ2" s="736"/>
      <c r="BA2" s="736"/>
      <c r="BB2" s="736"/>
      <c r="BC2" s="736"/>
      <c r="BD2" s="736"/>
      <c r="BE2" s="736"/>
      <c r="BF2" s="42"/>
      <c r="BX2" t="s">
        <v>426</v>
      </c>
    </row>
    <row r="3" spans="1:95" ht="12.95" customHeight="1">
      <c r="A3" t="s">
        <v>260</v>
      </c>
      <c r="B3" s="58"/>
      <c r="C3" s="58"/>
      <c r="D3" s="58"/>
      <c r="E3" s="58"/>
      <c r="F3" s="58"/>
      <c r="G3" s="58"/>
      <c r="H3" s="58"/>
      <c r="I3" s="58"/>
      <c r="J3" s="58"/>
      <c r="K3" s="58"/>
      <c r="L3" s="58"/>
      <c r="M3" s="58"/>
      <c r="N3" s="58"/>
      <c r="O3" s="58"/>
      <c r="P3" s="58"/>
      <c r="Q3" s="58"/>
      <c r="R3" s="58"/>
      <c r="S3" s="58"/>
      <c r="T3" s="58"/>
      <c r="U3" s="58"/>
      <c r="V3" s="63">
        <f>IF('GPS Anthro Tool'!$B$25=0,0,IF($A$1=12,IF('GPS Anthro Tool'!$B$33=1,MAX('Big Data'!$O$3:$Q$45),MAX($AB$19:$AB$34)),IF($A$1=11,T3,IF($A$1=10,R3,IF($A$1=9,P3,IF($A$1=8,N3,IF($A$1=7,L3,IF($A$1=6,J3,IF($A$1=5,H3,IF($A$1=4,F3,0))))))))))</f>
        <v>0</v>
      </c>
      <c r="W3" s="59">
        <f>IF('GPS Anthro Tool'!$B$25=0,0,IF($A$1=12,IF('GPS Anthro Tool'!$B$33=1,MAX('Big Data'!$AE$3:$AG$45),9.9),IF($A$1=11,U3,IF($A$1=10,S3,IF($A$1=9,Q3,IF($A$1=8,O3,IF($A$1=7,M3,IF($A$1=6,K3,IF($A$1=5,I3,IF($A$1=4,G3,0)))))))))*(1+'GPS Anthro Tool'!$B$26))</f>
        <v>0</v>
      </c>
      <c r="X3" s="107" t="s">
        <v>267</v>
      </c>
      <c r="Y3" s="1"/>
      <c r="Z3" s="227" t="s">
        <v>295</v>
      </c>
      <c r="AA3" s="227"/>
      <c r="AB3" s="227"/>
      <c r="AC3" s="227"/>
      <c r="AD3" s="227"/>
      <c r="AE3" s="750" t="str">
        <f>'GPS Anthro Tool'!A32</f>
        <v>Crotch Slots (1-4)</v>
      </c>
      <c r="AF3" s="750"/>
      <c r="AG3" s="750"/>
      <c r="AH3" s="750"/>
      <c r="AI3" s="470">
        <v>4</v>
      </c>
      <c r="AJ3" s="42" t="s">
        <v>3454</v>
      </c>
      <c r="AL3">
        <v>12</v>
      </c>
      <c r="AM3" s="84">
        <f t="shared" ref="AM3:AM13" si="0">IF(V3=0,0,AN3-3.81)</f>
        <v>0</v>
      </c>
      <c r="AN3" s="84">
        <f t="shared" ref="AN3:AN13" si="1">-(W3/2)</f>
        <v>0</v>
      </c>
      <c r="AO3" s="99">
        <f t="shared" ref="AO3:AO13" si="2">V3</f>
        <v>0</v>
      </c>
      <c r="AP3" s="84">
        <f t="shared" ref="AP3:AP13" si="3">(W3/2)</f>
        <v>0</v>
      </c>
      <c r="AQ3" s="84">
        <f t="shared" ref="AQ3:AQ13" si="4">IF(V3=0,0,AP3+3.81)</f>
        <v>0</v>
      </c>
      <c r="AS3">
        <v>12</v>
      </c>
      <c r="AU3" s="200">
        <f>AP3</f>
        <v>0</v>
      </c>
      <c r="AV3" s="201">
        <f>AO3</f>
        <v>0</v>
      </c>
      <c r="AW3" s="112"/>
      <c r="AX3" s="100">
        <f>AP9</f>
        <v>0</v>
      </c>
      <c r="AY3" s="101">
        <f>AO9</f>
        <v>0</v>
      </c>
      <c r="AZ3" s="112"/>
      <c r="BA3" s="196">
        <f>-(AU3)</f>
        <v>0</v>
      </c>
      <c r="BB3" s="197">
        <f>AV3</f>
        <v>0</v>
      </c>
      <c r="BC3" s="112"/>
      <c r="BD3" s="100">
        <f>-(AX3)</f>
        <v>0</v>
      </c>
      <c r="BE3" s="101">
        <f>AY3</f>
        <v>0</v>
      </c>
      <c r="BF3" s="50"/>
      <c r="BX3" s="117">
        <f>AU3</f>
        <v>0</v>
      </c>
      <c r="BY3" s="50"/>
      <c r="BZ3" s="117">
        <f>AV3</f>
        <v>0</v>
      </c>
    </row>
    <row r="4" spans="1:95">
      <c r="A4" t="s">
        <v>261</v>
      </c>
      <c r="B4" s="58"/>
      <c r="C4" s="58"/>
      <c r="D4" s="58"/>
      <c r="E4" s="58"/>
      <c r="F4" s="58"/>
      <c r="G4" s="58"/>
      <c r="H4" s="58"/>
      <c r="I4" s="58"/>
      <c r="J4" s="58"/>
      <c r="K4" s="58"/>
      <c r="L4" s="58"/>
      <c r="M4" s="58"/>
      <c r="N4" s="58"/>
      <c r="O4" s="58"/>
      <c r="P4" s="58"/>
      <c r="Q4" s="58"/>
      <c r="R4" s="58"/>
      <c r="S4" s="58"/>
      <c r="T4" s="63">
        <f>$F$11</f>
        <v>32.733999999999995</v>
      </c>
      <c r="U4" s="109">
        <f>$G$11</f>
        <v>6.8579999999999997</v>
      </c>
      <c r="V4" s="63">
        <f>IF('GPS Anthro Tool'!$B$25=0,0,IF($A$1=12,(($V$3-$V$14)/11)+V5,IF($A$1=11,T4,IF($A$1=10,R4,IF($A$1=9,P4,IF($A$1=8,N4,IF($A$1=7,L4,IF($A$1=6,J4,IF($A$1=5,H4,IF($A$1=4,F4,0))))))))))</f>
        <v>0</v>
      </c>
      <c r="W4" s="59">
        <f>IF('GPS Anthro Tool'!$B$25=0,0,IF($A$1=12,(($W$3-$W$14)/11)+W5,IF($A$1=11,U4,IF($A$1=10,S4,IF($A$1=9,Q4,IF($A$1=8,O4,IF($A$1=7,M4,IF($A$1=6,K4,IF($A$1=5,I4,IF($A$1=4,G4,0))))))))))</f>
        <v>0</v>
      </c>
      <c r="X4" s="111"/>
      <c r="Y4" s="1"/>
      <c r="Z4" s="1"/>
      <c r="AA4" s="1"/>
      <c r="AB4" s="1"/>
      <c r="AC4" s="1"/>
      <c r="AD4" s="1"/>
      <c r="AE4" s="1"/>
      <c r="AF4" s="751" t="str">
        <f>'GPS Anthro Tool'!C33</f>
        <v>Children</v>
      </c>
      <c r="AG4" s="751"/>
      <c r="AH4" s="751"/>
      <c r="AI4" s="471">
        <v>1</v>
      </c>
      <c r="AJ4" s="228" t="s">
        <v>3455</v>
      </c>
      <c r="AL4">
        <v>11</v>
      </c>
      <c r="AM4" s="84">
        <f t="shared" si="0"/>
        <v>0</v>
      </c>
      <c r="AN4" s="84">
        <f t="shared" si="1"/>
        <v>0</v>
      </c>
      <c r="AO4" s="99">
        <f t="shared" si="2"/>
        <v>0</v>
      </c>
      <c r="AP4" s="84">
        <f t="shared" si="3"/>
        <v>0</v>
      </c>
      <c r="AQ4" s="84">
        <f t="shared" si="4"/>
        <v>0</v>
      </c>
      <c r="AU4" s="202">
        <f>AQ3</f>
        <v>0</v>
      </c>
      <c r="AV4" s="203">
        <f>AO3</f>
        <v>0</v>
      </c>
      <c r="AW4" s="112"/>
      <c r="AX4" s="102">
        <f>AQ9</f>
        <v>0</v>
      </c>
      <c r="AY4" s="103">
        <f>AO9</f>
        <v>0</v>
      </c>
      <c r="AZ4" s="112"/>
      <c r="BA4" s="198">
        <f t="shared" ref="BA4:BA14" si="5">-(AU4)</f>
        <v>0</v>
      </c>
      <c r="BB4" s="199">
        <f t="shared" ref="BB4:BB14" si="6">AV4</f>
        <v>0</v>
      </c>
      <c r="BC4" s="112"/>
      <c r="BD4" s="102">
        <f t="shared" ref="BD4:BD14" si="7">-(AX4)</f>
        <v>0</v>
      </c>
      <c r="BE4" s="103">
        <f t="shared" ref="BE4:BE14" si="8">AY4</f>
        <v>0</v>
      </c>
      <c r="BF4" s="50"/>
      <c r="BX4" s="117">
        <f>AU5</f>
        <v>0</v>
      </c>
      <c r="BY4" s="50"/>
      <c r="BZ4" s="117">
        <f>AV5</f>
        <v>0</v>
      </c>
    </row>
    <row r="5" spans="1:95">
      <c r="A5" t="s">
        <v>262</v>
      </c>
      <c r="B5" s="58"/>
      <c r="C5" s="58"/>
      <c r="D5" s="58"/>
      <c r="E5" s="58"/>
      <c r="F5" s="58"/>
      <c r="G5" s="58"/>
      <c r="H5" s="58"/>
      <c r="I5" s="58"/>
      <c r="J5" s="58"/>
      <c r="K5" s="58"/>
      <c r="L5" s="58"/>
      <c r="M5" s="58"/>
      <c r="N5" s="58"/>
      <c r="O5" s="58"/>
      <c r="P5" s="58"/>
      <c r="Q5" s="58"/>
      <c r="R5" s="63">
        <f>$F$11</f>
        <v>32.733999999999995</v>
      </c>
      <c r="S5" s="109">
        <f>$G$11</f>
        <v>6.8579999999999997</v>
      </c>
      <c r="T5" s="63">
        <f t="shared" ref="T5:T13" si="9">(($T$4-$T$14)/10)+T6</f>
        <v>31.819600000000005</v>
      </c>
      <c r="U5" s="109">
        <f t="shared" ref="U5:U13" si="10">(($U$4-$U$14)/10)+U6</f>
        <v>6.6547999999999981</v>
      </c>
      <c r="V5" s="63">
        <f>IF('GPS Anthro Tool'!$B$25=0,0,IF($A$1=12,(($V$3-$V$14)/11)+V6,IF($A$1=11,T5,IF($A$1=10,R5,IF($A$1=9,P5,IF($A$1=8,N5,IF($A$1=7,L5,IF($A$1=6,J5,IF($A$1=5,H5,IF($A$1=4,F5,0))))))))))</f>
        <v>0</v>
      </c>
      <c r="W5" s="59">
        <f>IF('GPS Anthro Tool'!$B$25=0,0,IF($A$1=12,(($W$3-$W$14)/11)+W6,IF($A$1=11,U5,IF($A$1=10,S5,IF($A$1=9,Q5,IF($A$1=8,O5,IF($A$1=7,M5,IF($A$1=6,K5,IF($A$1=5,I5,IF($A$1=4,G5,0))))))))))</f>
        <v>0</v>
      </c>
      <c r="X5" s="111"/>
      <c r="Y5" s="1"/>
      <c r="Z5" s="1"/>
      <c r="AA5" s="1"/>
      <c r="AB5" s="1"/>
      <c r="AC5" s="1"/>
      <c r="AD5" s="1"/>
      <c r="AE5" s="1"/>
      <c r="AF5" s="1"/>
      <c r="AG5" s="749"/>
      <c r="AH5" s="749"/>
      <c r="AI5" s="749"/>
      <c r="AL5">
        <v>10</v>
      </c>
      <c r="AM5" s="114">
        <f t="shared" si="0"/>
        <v>0</v>
      </c>
      <c r="AN5" s="84">
        <f t="shared" si="1"/>
        <v>0</v>
      </c>
      <c r="AO5" s="99">
        <f t="shared" si="2"/>
        <v>0</v>
      </c>
      <c r="AP5" s="84">
        <f t="shared" si="3"/>
        <v>0</v>
      </c>
      <c r="AQ5" s="84">
        <f t="shared" si="4"/>
        <v>0</v>
      </c>
      <c r="AS5">
        <v>11</v>
      </c>
      <c r="AU5" s="100">
        <f>AP4</f>
        <v>0</v>
      </c>
      <c r="AV5" s="101">
        <f>AO4</f>
        <v>0</v>
      </c>
      <c r="AW5" s="112"/>
      <c r="AX5" s="200">
        <f>AP10</f>
        <v>0</v>
      </c>
      <c r="AY5" s="201">
        <f>AO10</f>
        <v>0</v>
      </c>
      <c r="AZ5" s="112"/>
      <c r="BA5" s="100">
        <f t="shared" si="5"/>
        <v>0</v>
      </c>
      <c r="BB5" s="101">
        <f t="shared" si="6"/>
        <v>0</v>
      </c>
      <c r="BC5" s="112"/>
      <c r="BD5" s="196">
        <f t="shared" si="7"/>
        <v>0</v>
      </c>
      <c r="BE5" s="197">
        <f t="shared" si="8"/>
        <v>0</v>
      </c>
      <c r="BF5" s="50"/>
      <c r="BX5" s="117">
        <f>AU7</f>
        <v>0</v>
      </c>
      <c r="BY5" s="50"/>
      <c r="BZ5" s="117">
        <f>AV7</f>
        <v>0</v>
      </c>
    </row>
    <row r="6" spans="1:95">
      <c r="A6" t="s">
        <v>263</v>
      </c>
      <c r="B6" s="58"/>
      <c r="C6" s="58"/>
      <c r="D6" s="58"/>
      <c r="E6" s="58"/>
      <c r="F6" s="58"/>
      <c r="G6" s="58"/>
      <c r="H6" s="58"/>
      <c r="I6" s="58"/>
      <c r="J6" s="58"/>
      <c r="K6" s="58"/>
      <c r="L6" s="58"/>
      <c r="M6" s="58"/>
      <c r="N6" s="58"/>
      <c r="O6" s="58"/>
      <c r="P6" s="63">
        <f>$F$11</f>
        <v>32.733999999999995</v>
      </c>
      <c r="Q6" s="109">
        <f>$G$11</f>
        <v>6.8579999999999997</v>
      </c>
      <c r="R6" s="63">
        <f t="shared" ref="R6:R13" si="11">(($R$5-$R$14)/9)+R7</f>
        <v>31.717999999999986</v>
      </c>
      <c r="S6" s="109">
        <f t="shared" ref="S6:S13" si="12">(($S$5-$S$14)/9)+S7</f>
        <v>6.6322222222222242</v>
      </c>
      <c r="T6" s="63">
        <f t="shared" si="9"/>
        <v>30.905200000000004</v>
      </c>
      <c r="U6" s="109">
        <f t="shared" si="10"/>
        <v>6.4515999999999982</v>
      </c>
      <c r="V6" s="63">
        <f>IF('GPS Anthro Tool'!$B$25=0,0,IF($A$1=12,(($V$3-$V$14)/11)+V7,IF($A$1=11,T6,IF($A$1=10,R6,IF($A$1=9,P6,IF($A$1=8,N6,IF($A$1=7,L6,IF($A$1=6,J6,IF($A$1=5,H6,IF($A$1=4,F6,0))))))))))</f>
        <v>0</v>
      </c>
      <c r="W6" s="59">
        <f>IF('GPS Anthro Tool'!$B$25=0,0,IF($A$1=12,(($W$3-$W$14)/11)+W7,IF($A$1=11,U6,IF($A$1=10,S6,IF($A$1=9,Q6,IF($A$1=8,O6,IF($A$1=7,M6,IF($A$1=6,K6,IF($A$1=5,I6,IF($A$1=4,G6,0))))))))))</f>
        <v>0</v>
      </c>
      <c r="X6" s="111"/>
      <c r="Y6" s="1"/>
      <c r="Z6" s="1"/>
      <c r="AA6" s="1"/>
      <c r="AB6" s="1"/>
      <c r="AC6" s="1"/>
      <c r="AD6" s="1"/>
      <c r="AE6" s="1"/>
      <c r="AF6" s="1"/>
      <c r="AG6" s="1"/>
      <c r="AH6" s="1"/>
      <c r="AI6" s="735" t="s">
        <v>310</v>
      </c>
      <c r="AJ6" s="735" t="s">
        <v>311</v>
      </c>
      <c r="AL6">
        <v>9</v>
      </c>
      <c r="AM6" s="114">
        <f t="shared" si="0"/>
        <v>0</v>
      </c>
      <c r="AN6" s="84">
        <f t="shared" si="1"/>
        <v>0</v>
      </c>
      <c r="AO6" s="99">
        <f t="shared" si="2"/>
        <v>0</v>
      </c>
      <c r="AP6" s="84">
        <f t="shared" si="3"/>
        <v>0</v>
      </c>
      <c r="AQ6" s="84">
        <f t="shared" si="4"/>
        <v>0</v>
      </c>
      <c r="AU6" s="102">
        <f>AQ4</f>
        <v>0</v>
      </c>
      <c r="AV6" s="103">
        <f>AO4</f>
        <v>0</v>
      </c>
      <c r="AW6" s="112"/>
      <c r="AX6" s="202">
        <f>AQ10</f>
        <v>0</v>
      </c>
      <c r="AY6" s="203">
        <f>AO10</f>
        <v>0</v>
      </c>
      <c r="AZ6" s="112"/>
      <c r="BA6" s="102">
        <f t="shared" si="5"/>
        <v>0</v>
      </c>
      <c r="BB6" s="103">
        <f t="shared" si="6"/>
        <v>0</v>
      </c>
      <c r="BC6" s="112"/>
      <c r="BD6" s="198">
        <f t="shared" si="7"/>
        <v>0</v>
      </c>
      <c r="BE6" s="199">
        <f t="shared" si="8"/>
        <v>0</v>
      </c>
      <c r="BF6" s="50"/>
      <c r="BX6" s="117">
        <f>AU9</f>
        <v>0</v>
      </c>
      <c r="BY6" s="50"/>
      <c r="BZ6" s="117">
        <f>AV9</f>
        <v>0</v>
      </c>
    </row>
    <row r="7" spans="1:95">
      <c r="A7" t="s">
        <v>264</v>
      </c>
      <c r="B7" s="58"/>
      <c r="C7" s="58"/>
      <c r="D7" s="58"/>
      <c r="E7" s="58"/>
      <c r="F7" s="58"/>
      <c r="G7" s="58"/>
      <c r="H7" s="58"/>
      <c r="I7" s="58"/>
      <c r="J7" s="58"/>
      <c r="K7" s="58"/>
      <c r="L7" s="58"/>
      <c r="M7" s="58"/>
      <c r="N7" s="63">
        <f>$F$11</f>
        <v>32.733999999999995</v>
      </c>
      <c r="O7" s="109">
        <f>$G$11</f>
        <v>6.8579999999999997</v>
      </c>
      <c r="P7" s="63">
        <f t="shared" ref="P7:P13" si="13">(($P$6-$P$14)/8)+P8</f>
        <v>31.591000000000005</v>
      </c>
      <c r="Q7" s="59">
        <f t="shared" ref="Q7:Q13" si="14">(($Q$6-$Q$14)/8)+Q8</f>
        <v>6.6039999999999974</v>
      </c>
      <c r="R7" s="63">
        <f t="shared" si="11"/>
        <v>30.701999999999988</v>
      </c>
      <c r="S7" s="59">
        <f t="shared" si="12"/>
        <v>6.4064444444444462</v>
      </c>
      <c r="T7" s="63">
        <f t="shared" si="9"/>
        <v>29.990800000000004</v>
      </c>
      <c r="U7" s="59">
        <f t="shared" si="10"/>
        <v>6.2483999999999984</v>
      </c>
      <c r="V7" s="63">
        <f>IF('GPS Anthro Tool'!$B$25=0,0,IF($A$1=12,(($V$3-$V$14)/11)+V8,IF($A$1=11,T7,IF($A$1=10,R7,IF($A$1=9,P7,IF($A$1=8,N7,IF($A$1=7,L7,IF($A$1=6,J7,IF($A$1=5,H7,IF($A$1=4,F7,0))))))))))</f>
        <v>0</v>
      </c>
      <c r="W7" s="59">
        <f>IF('GPS Anthro Tool'!$B$25=0,0,IF($A$1=12,(($W$3-$W$14)/11)+W8,IF($A$1=11,U7,IF($A$1=10,S7,IF($A$1=9,Q7,IF($A$1=8,O7,IF($A$1=7,M7,IF($A$1=6,K7,IF($A$1=5,I7,IF($A$1=4,G7,0))))))))))</f>
        <v>0</v>
      </c>
      <c r="X7" s="107"/>
      <c r="Y7" s="1"/>
      <c r="Z7" s="1"/>
      <c r="AA7" s="1"/>
      <c r="AB7" s="1"/>
      <c r="AC7" s="1"/>
      <c r="AD7" s="1"/>
      <c r="AE7" s="1"/>
      <c r="AF7" s="1"/>
      <c r="AG7" s="1"/>
      <c r="AH7" s="1"/>
      <c r="AI7" s="735"/>
      <c r="AJ7" s="735"/>
      <c r="AL7">
        <v>8</v>
      </c>
      <c r="AM7" s="84">
        <f t="shared" si="0"/>
        <v>0</v>
      </c>
      <c r="AN7" s="84">
        <f t="shared" si="1"/>
        <v>0</v>
      </c>
      <c r="AO7" s="99">
        <f t="shared" si="2"/>
        <v>0</v>
      </c>
      <c r="AP7" s="84">
        <f t="shared" si="3"/>
        <v>0</v>
      </c>
      <c r="AQ7" s="84">
        <f t="shared" si="4"/>
        <v>0</v>
      </c>
      <c r="AS7">
        <v>10</v>
      </c>
      <c r="AU7" s="200">
        <f>AP5</f>
        <v>0</v>
      </c>
      <c r="AV7" s="201">
        <f>AO5</f>
        <v>0</v>
      </c>
      <c r="AW7" s="112"/>
      <c r="AX7" s="100">
        <f>AP11</f>
        <v>0</v>
      </c>
      <c r="AY7" s="101">
        <f>AO11</f>
        <v>0</v>
      </c>
      <c r="AZ7" s="112"/>
      <c r="BA7" s="196">
        <f t="shared" si="5"/>
        <v>0</v>
      </c>
      <c r="BB7" s="197">
        <f t="shared" si="6"/>
        <v>0</v>
      </c>
      <c r="BC7" s="112"/>
      <c r="BD7" s="100">
        <f t="shared" si="7"/>
        <v>0</v>
      </c>
      <c r="BE7" s="101">
        <f t="shared" si="8"/>
        <v>0</v>
      </c>
      <c r="BF7" s="50"/>
      <c r="BX7" s="117">
        <f>AU11</f>
        <v>0</v>
      </c>
      <c r="BY7" s="50"/>
      <c r="BZ7" s="117">
        <f>AV11</f>
        <v>0</v>
      </c>
    </row>
    <row r="8" spans="1:95">
      <c r="A8" t="s">
        <v>265</v>
      </c>
      <c r="B8" s="58"/>
      <c r="C8" s="58"/>
      <c r="D8" s="58"/>
      <c r="E8" s="58"/>
      <c r="F8" s="58"/>
      <c r="G8" s="58"/>
      <c r="H8" s="58"/>
      <c r="I8" s="58"/>
      <c r="J8" s="58"/>
      <c r="K8" s="58"/>
      <c r="L8" s="63">
        <f>$F$11</f>
        <v>32.733999999999995</v>
      </c>
      <c r="M8" s="109">
        <f>$G$11</f>
        <v>6.8579999999999997</v>
      </c>
      <c r="N8" s="63">
        <f t="shared" ref="N8:N13" si="15">(($N$7-$N$14)/7)+N9</f>
        <v>31.427714285714284</v>
      </c>
      <c r="O8" s="59">
        <f t="shared" ref="O8:O13" si="16">(($O$7-$O$14)/7)+O9</f>
        <v>6.5677142857142838</v>
      </c>
      <c r="P8" s="63">
        <f t="shared" si="13"/>
        <v>30.448000000000004</v>
      </c>
      <c r="Q8" s="59">
        <f t="shared" si="14"/>
        <v>6.3499999999999979</v>
      </c>
      <c r="R8" s="63">
        <f t="shared" si="11"/>
        <v>29.685999999999989</v>
      </c>
      <c r="S8" s="59">
        <f t="shared" si="12"/>
        <v>6.1806666666666681</v>
      </c>
      <c r="T8" s="63">
        <f t="shared" si="9"/>
        <v>29.076400000000003</v>
      </c>
      <c r="U8" s="59">
        <f t="shared" si="10"/>
        <v>6.0451999999999986</v>
      </c>
      <c r="V8" s="63">
        <f>IF('GPS Anthro Tool'!$B$25=0,0,IF($A$1=12,(($V$3-$V$14)/11)+V9,IF($A$1=11,T8,IF($A$1=10,R8,IF($A$1=9,P8,IF($A$1=8,N8,IF($A$1=7,L8,IF($A$1=6,J8,IF($A$1=5,H8,IF($A$1=4,F8,0))))))))))</f>
        <v>0</v>
      </c>
      <c r="W8" s="59">
        <f>IF('GPS Anthro Tool'!$B$25=0,0,IF($A$1=12,(($W$3-$W$14)/11)+W9,IF($A$1=11,U8,IF($A$1=10,S8,IF($A$1=9,Q8,IF($A$1=8,O8,IF($A$1=7,M8,IF($A$1=6,K8,IF($A$1=5,I8,IF($A$1=4,G8,0))))))))))</f>
        <v>0</v>
      </c>
      <c r="X8" s="107"/>
      <c r="Y8" s="1"/>
      <c r="Z8" s="1"/>
      <c r="AA8" s="1"/>
      <c r="AB8" s="1"/>
      <c r="AC8" s="1"/>
      <c r="AD8" s="1"/>
      <c r="AE8" s="1"/>
      <c r="AF8" s="1"/>
      <c r="AG8" s="1"/>
      <c r="AH8" s="1"/>
      <c r="AI8" s="735"/>
      <c r="AJ8" s="735"/>
      <c r="AL8">
        <v>7</v>
      </c>
      <c r="AM8" s="114">
        <f t="shared" si="0"/>
        <v>0</v>
      </c>
      <c r="AN8" s="84">
        <f t="shared" si="1"/>
        <v>0</v>
      </c>
      <c r="AO8" s="99">
        <f t="shared" si="2"/>
        <v>0</v>
      </c>
      <c r="AP8" s="84">
        <f t="shared" si="3"/>
        <v>0</v>
      </c>
      <c r="AQ8" s="84">
        <f t="shared" si="4"/>
        <v>0</v>
      </c>
      <c r="AU8" s="202">
        <f>AQ5</f>
        <v>0</v>
      </c>
      <c r="AV8" s="203">
        <f>AO5</f>
        <v>0</v>
      </c>
      <c r="AW8" s="112"/>
      <c r="AX8" s="102">
        <f>AQ11</f>
        <v>0</v>
      </c>
      <c r="AY8" s="103">
        <f>AO11</f>
        <v>0</v>
      </c>
      <c r="AZ8" s="112"/>
      <c r="BA8" s="198">
        <f t="shared" si="5"/>
        <v>0</v>
      </c>
      <c r="BB8" s="199">
        <f t="shared" si="6"/>
        <v>0</v>
      </c>
      <c r="BC8" s="112"/>
      <c r="BD8" s="102">
        <f t="shared" si="7"/>
        <v>0</v>
      </c>
      <c r="BE8" s="103">
        <f t="shared" si="8"/>
        <v>0</v>
      </c>
      <c r="BF8" s="50"/>
      <c r="BX8" s="117">
        <f>AU13</f>
        <v>0</v>
      </c>
      <c r="BY8" s="50"/>
      <c r="BZ8" s="117">
        <f>AV13</f>
        <v>0</v>
      </c>
    </row>
    <row r="9" spans="1:95">
      <c r="A9" t="s">
        <v>254</v>
      </c>
      <c r="B9" s="58"/>
      <c r="C9" s="58"/>
      <c r="D9" s="58"/>
      <c r="E9" s="58"/>
      <c r="F9" s="58"/>
      <c r="G9" s="58"/>
      <c r="H9" s="58"/>
      <c r="I9" s="58"/>
      <c r="J9" s="63">
        <f>$F$11</f>
        <v>32.733999999999995</v>
      </c>
      <c r="K9" s="109">
        <f>$G$11</f>
        <v>6.8579999999999997</v>
      </c>
      <c r="L9" s="63">
        <f>(($L$8-$L$14)/6)+L10</f>
        <v>31.21</v>
      </c>
      <c r="M9" s="59">
        <f>(($M$8-$M$14)/6)+M10</f>
        <v>6.519333333333333</v>
      </c>
      <c r="N9" s="63">
        <f t="shared" si="15"/>
        <v>30.12142857142857</v>
      </c>
      <c r="O9" s="59">
        <f t="shared" si="16"/>
        <v>6.2774285714285698</v>
      </c>
      <c r="P9" s="63">
        <f t="shared" si="13"/>
        <v>29.305000000000003</v>
      </c>
      <c r="Q9" s="59">
        <f t="shared" si="14"/>
        <v>6.0959999999999983</v>
      </c>
      <c r="R9" s="63">
        <f t="shared" si="11"/>
        <v>28.669999999999991</v>
      </c>
      <c r="S9" s="59">
        <f t="shared" si="12"/>
        <v>5.95488888888889</v>
      </c>
      <c r="T9" s="63">
        <f t="shared" si="9"/>
        <v>28.162000000000003</v>
      </c>
      <c r="U9" s="59">
        <f t="shared" si="10"/>
        <v>5.8419999999999987</v>
      </c>
      <c r="V9" s="63">
        <f>IF('GPS Anthro Tool'!$B$25=0,0,IF($A$1=12,(($V$3-$V$14)/11)+V10,IF($A$1=11,T9,IF($A$1=10,R9,IF($A$1=9,P9,IF($A$1=8,N9,IF($A$1=7,L9,IF($A$1=6,J9,IF($A$1=5,H9,IF($A$1=4,F9,0))))))))))</f>
        <v>0</v>
      </c>
      <c r="W9" s="59">
        <f>IF('GPS Anthro Tool'!$B$25=0,0,IF($A$1=12,(($W$3-$W$14)/11)+W10,IF($A$1=11,U9,IF($A$1=10,S9,IF($A$1=9,Q9,IF($A$1=8,O9,IF($A$1=7,M9,IF($A$1=6,K9,IF($A$1=5,I9,IF($A$1=4,G9,0))))))))))</f>
        <v>0</v>
      </c>
      <c r="X9" s="107"/>
      <c r="Y9" s="57"/>
      <c r="Z9" s="57"/>
      <c r="AA9" s="57"/>
      <c r="AB9" s="57"/>
      <c r="AC9" s="57"/>
      <c r="AD9" s="57"/>
      <c r="AE9" s="57"/>
      <c r="AF9" s="57"/>
      <c r="AG9" s="57"/>
      <c r="AH9" s="57"/>
      <c r="AI9" s="735"/>
      <c r="AJ9" s="735"/>
      <c r="AL9">
        <v>6</v>
      </c>
      <c r="AM9" s="114">
        <f t="shared" si="0"/>
        <v>0</v>
      </c>
      <c r="AN9" s="84">
        <f t="shared" si="1"/>
        <v>0</v>
      </c>
      <c r="AO9" s="99">
        <f t="shared" si="2"/>
        <v>0</v>
      </c>
      <c r="AP9" s="84">
        <f t="shared" si="3"/>
        <v>0</v>
      </c>
      <c r="AQ9" s="84">
        <f t="shared" si="4"/>
        <v>0</v>
      </c>
      <c r="AS9">
        <v>9</v>
      </c>
      <c r="AU9" s="100">
        <f>AP6</f>
        <v>0</v>
      </c>
      <c r="AV9" s="101">
        <f>AO6</f>
        <v>0</v>
      </c>
      <c r="AW9" s="112"/>
      <c r="AX9" s="200">
        <f>AP12</f>
        <v>3.4289999999999998</v>
      </c>
      <c r="AY9" s="201">
        <f>AO12</f>
        <v>32.733999999999995</v>
      </c>
      <c r="AZ9" s="112"/>
      <c r="BA9" s="100">
        <f t="shared" si="5"/>
        <v>0</v>
      </c>
      <c r="BB9" s="101">
        <f t="shared" si="6"/>
        <v>0</v>
      </c>
      <c r="BC9" s="112"/>
      <c r="BD9" s="196">
        <f t="shared" si="7"/>
        <v>-3.4289999999999998</v>
      </c>
      <c r="BE9" s="197">
        <f t="shared" si="8"/>
        <v>32.733999999999995</v>
      </c>
      <c r="BF9" s="50"/>
      <c r="BX9" s="117">
        <f>AX3</f>
        <v>0</v>
      </c>
      <c r="BY9" s="50"/>
      <c r="BZ9" s="117">
        <f>AY3</f>
        <v>0</v>
      </c>
    </row>
    <row r="10" spans="1:95" ht="12.95" customHeight="1">
      <c r="A10" t="s">
        <v>255</v>
      </c>
      <c r="F10" s="58"/>
      <c r="G10" s="58"/>
      <c r="H10" s="63">
        <f>$F$11</f>
        <v>32.733999999999995</v>
      </c>
      <c r="I10" s="109">
        <f>$G$11</f>
        <v>6.8579999999999997</v>
      </c>
      <c r="J10" s="63">
        <f>(($J$9-$J$14)/5)+J11</f>
        <v>30.90519999999999</v>
      </c>
      <c r="K10" s="59">
        <f>(($K$9-$K$14)/5)+K11</f>
        <v>6.4515999999999982</v>
      </c>
      <c r="L10" s="63">
        <f>(($L$8-$L$14)/6)+L11</f>
        <v>29.686</v>
      </c>
      <c r="M10" s="59">
        <f>(($M$8-$M$14)/6)+M11</f>
        <v>6.1806666666666663</v>
      </c>
      <c r="N10" s="63">
        <f t="shared" si="15"/>
        <v>28.815142857142856</v>
      </c>
      <c r="O10" s="59">
        <f t="shared" si="16"/>
        <v>5.9871428571428558</v>
      </c>
      <c r="P10" s="63">
        <f t="shared" si="13"/>
        <v>28.162000000000003</v>
      </c>
      <c r="Q10" s="59">
        <f t="shared" si="14"/>
        <v>5.8419999999999987</v>
      </c>
      <c r="R10" s="63">
        <f t="shared" si="11"/>
        <v>27.653999999999993</v>
      </c>
      <c r="S10" s="59">
        <f t="shared" si="12"/>
        <v>5.7291111111111119</v>
      </c>
      <c r="T10" s="63">
        <f t="shared" si="9"/>
        <v>27.247600000000002</v>
      </c>
      <c r="U10" s="59">
        <f t="shared" si="10"/>
        <v>5.6387999999999989</v>
      </c>
      <c r="V10" s="63">
        <f>IF('GPS Anthro Tool'!$B$25=0,0,IF($A$1=12,(($V$3-$V$14)/11)+V11,IF($A$1=11,T10,IF($A$1=10,R10,IF($A$1=9,P10,IF($A$1=8,N10,IF($A$1=7,L10,IF($A$1=6,J10,IF($A$1=5,H10,IF($A$1=4,F10,0))))))))))</f>
        <v>0</v>
      </c>
      <c r="W10" s="59">
        <f>IF('GPS Anthro Tool'!$B$25=0,0,IF($A$1=12,(($W$3-$W$14)/11)+W11,IF($A$1=11,U10,IF($A$1=10,S10,IF($A$1=9,Q10,IF($A$1=8,O10,IF($A$1=7,M10,IF($A$1=6,K10,IF($A$1=5,I10,IF($A$1=4,G10,0))))))))))</f>
        <v>0</v>
      </c>
      <c r="X10" s="107"/>
      <c r="Y10" s="56"/>
      <c r="Z10" s="56"/>
      <c r="AA10" s="56"/>
      <c r="AB10" s="56"/>
      <c r="AC10" s="56"/>
      <c r="AD10" s="56"/>
      <c r="AE10" s="56"/>
      <c r="AF10" s="56"/>
      <c r="AG10" s="56"/>
      <c r="AH10" s="56"/>
      <c r="AI10" s="735"/>
      <c r="AJ10" s="735"/>
      <c r="AL10">
        <v>5</v>
      </c>
      <c r="AM10" s="84">
        <f t="shared" si="0"/>
        <v>0</v>
      </c>
      <c r="AN10" s="84">
        <f t="shared" si="1"/>
        <v>0</v>
      </c>
      <c r="AO10" s="99">
        <f t="shared" si="2"/>
        <v>0</v>
      </c>
      <c r="AP10" s="84">
        <f t="shared" si="3"/>
        <v>0</v>
      </c>
      <c r="AQ10" s="84">
        <f t="shared" si="4"/>
        <v>0</v>
      </c>
      <c r="AU10" s="102">
        <f>AQ6</f>
        <v>0</v>
      </c>
      <c r="AV10" s="103">
        <f>AO6</f>
        <v>0</v>
      </c>
      <c r="AW10" s="112"/>
      <c r="AX10" s="202">
        <f>AQ12</f>
        <v>7.2389999999999999</v>
      </c>
      <c r="AY10" s="203">
        <f>AO12</f>
        <v>32.733999999999995</v>
      </c>
      <c r="AZ10" s="112"/>
      <c r="BA10" s="102">
        <f t="shared" si="5"/>
        <v>0</v>
      </c>
      <c r="BB10" s="103">
        <f t="shared" si="6"/>
        <v>0</v>
      </c>
      <c r="BC10" s="112"/>
      <c r="BD10" s="198">
        <f t="shared" si="7"/>
        <v>-7.2389999999999999</v>
      </c>
      <c r="BE10" s="199">
        <f t="shared" si="8"/>
        <v>32.733999999999995</v>
      </c>
      <c r="BF10" s="50"/>
      <c r="BX10" s="117">
        <f>AX5</f>
        <v>0</v>
      </c>
      <c r="BY10" s="50"/>
      <c r="BZ10" s="117">
        <f>AY5</f>
        <v>0</v>
      </c>
    </row>
    <row r="11" spans="1:95" ht="12.95" customHeight="1">
      <c r="A11" t="s">
        <v>256</v>
      </c>
      <c r="B11" s="58"/>
      <c r="C11" s="58"/>
      <c r="D11" s="58"/>
      <c r="E11" s="58"/>
      <c r="F11" s="63">
        <f>IF('GPS Anthro Tool'!$B$33=1,MAX('Big Data'!$O$3:$Q$45),MAX($AB$19:$AB$34))</f>
        <v>32.733999999999995</v>
      </c>
      <c r="G11" s="109">
        <f>IF('GPS Anthro Tool'!$B$33=1,MAX('Big Data'!$AE$3:$AG$45),9.9)*(1+'GPS Anthro Tool'!$B$26)</f>
        <v>6.8579999999999997</v>
      </c>
      <c r="H11" s="63">
        <f>(($H$10-$H$14)/4)+H12</f>
        <v>30.447999999999993</v>
      </c>
      <c r="I11" s="59">
        <f>(($I$10-$I$14)/4)+I12</f>
        <v>6.35</v>
      </c>
      <c r="J11" s="63">
        <f>(($J$9-$J$14)/5)+J12</f>
        <v>29.076399999999992</v>
      </c>
      <c r="K11" s="59">
        <f>(($K$9-$K$14)/5)+K12</f>
        <v>6.0451999999999986</v>
      </c>
      <c r="L11" s="63">
        <f>(($L$8-$L$14)/6)+L12</f>
        <v>28.161999999999999</v>
      </c>
      <c r="M11" s="59">
        <f>(($M$8-$M$14)/6)+M12</f>
        <v>5.8419999999999996</v>
      </c>
      <c r="N11" s="63">
        <f t="shared" si="15"/>
        <v>27.508857142857142</v>
      </c>
      <c r="O11" s="59">
        <f t="shared" si="16"/>
        <v>5.6968571428571417</v>
      </c>
      <c r="P11" s="63">
        <f t="shared" si="13"/>
        <v>27.019000000000002</v>
      </c>
      <c r="Q11" s="59">
        <f t="shared" si="14"/>
        <v>5.5879999999999992</v>
      </c>
      <c r="R11" s="63">
        <f t="shared" si="11"/>
        <v>26.637999999999995</v>
      </c>
      <c r="S11" s="59">
        <f t="shared" si="12"/>
        <v>5.5033333333333339</v>
      </c>
      <c r="T11" s="63">
        <f t="shared" si="9"/>
        <v>26.333200000000001</v>
      </c>
      <c r="U11" s="59">
        <f t="shared" si="10"/>
        <v>5.4355999999999991</v>
      </c>
      <c r="V11" s="63">
        <f>IF('GPS Anthro Tool'!$B$25=0,0,IF($A$1=12,(($V$3-$V$14)/11)+V12,IF($A$1=11,T11,IF($A$1=10,R11,IF($A$1=9,P11,IF($A$1=8,N11,IF($A$1=7,L11,IF($A$1=6,J11,IF($A$1=5,H11,IF($A$1=4,F11,0))))))))))</f>
        <v>0</v>
      </c>
      <c r="W11" s="59">
        <f>IF('GPS Anthro Tool'!$B$25=0,0,IF($A$1=12,(($W$3-$W$14)/11)+W12,IF($A$1=11,U11,IF($A$1=10,S11,IF($A$1=9,Q11,IF($A$1=8,O11,IF($A$1=7,M11,IF($A$1=6,K11,IF($A$1=5,I11,IF($A$1=4,G11,0))))))))))</f>
        <v>0</v>
      </c>
      <c r="X11" s="107"/>
      <c r="Y11" s="56"/>
      <c r="Z11" s="56"/>
      <c r="AA11" s="56"/>
      <c r="AB11" s="56"/>
      <c r="AC11" s="56"/>
      <c r="AD11" s="56"/>
      <c r="AE11" s="56"/>
      <c r="AF11" s="56"/>
      <c r="AG11" s="56"/>
      <c r="AH11" s="56"/>
      <c r="AI11" s="149">
        <f>IF('GPS Anthro Tool'!$B$25=0,0,IF('GPS Anthro Tool'!$B$28=4,IF('GPS Anthro Tool'!$B$33=1,MAX('Big Data'!$S$3:$U$45),MAX($AE$19:$AE$34)),0))</f>
        <v>0</v>
      </c>
      <c r="AJ11" s="229">
        <f>IF('GPS Anthro Tool'!$B$25=0,0,IF('GPS Anthro Tool'!$B$32=4,IF('GPS Anthro Tool'!$B$33=1,MAX('Big Data'!$AA$3:$AC$45)+'GPS Anthro Tool'!$B$42,MAX(AF19:AF34)+'GPS Anthro Tool'!$B$42),0))</f>
        <v>0</v>
      </c>
      <c r="AK11" s="115"/>
      <c r="AL11">
        <v>4</v>
      </c>
      <c r="AM11" s="114">
        <f t="shared" si="0"/>
        <v>0</v>
      </c>
      <c r="AN11" s="84">
        <f t="shared" si="1"/>
        <v>0</v>
      </c>
      <c r="AO11" s="99">
        <f t="shared" si="2"/>
        <v>0</v>
      </c>
      <c r="AP11" s="84">
        <f t="shared" si="3"/>
        <v>0</v>
      </c>
      <c r="AQ11" s="84">
        <f t="shared" si="4"/>
        <v>0</v>
      </c>
      <c r="AS11">
        <v>8</v>
      </c>
      <c r="AU11" s="200">
        <f>AP7</f>
        <v>0</v>
      </c>
      <c r="AV11" s="201">
        <f>AO7</f>
        <v>0</v>
      </c>
      <c r="AW11" s="112"/>
      <c r="AX11" s="100">
        <f>AP13</f>
        <v>2.9209999999999998</v>
      </c>
      <c r="AY11" s="101">
        <f>AO13</f>
        <v>28.161999999999999</v>
      </c>
      <c r="AZ11" s="112"/>
      <c r="BA11" s="196">
        <f t="shared" si="5"/>
        <v>0</v>
      </c>
      <c r="BB11" s="197">
        <f t="shared" si="6"/>
        <v>0</v>
      </c>
      <c r="BC11" s="112"/>
      <c r="BD11" s="100">
        <f t="shared" si="7"/>
        <v>-2.9209999999999998</v>
      </c>
      <c r="BE11" s="101">
        <f t="shared" si="8"/>
        <v>28.161999999999999</v>
      </c>
      <c r="BF11" s="50"/>
      <c r="BX11" s="117">
        <f>AX7</f>
        <v>0</v>
      </c>
      <c r="BY11" s="50"/>
      <c r="BZ11" s="117">
        <f>AY7</f>
        <v>0</v>
      </c>
    </row>
    <row r="12" spans="1:95">
      <c r="A12" t="s">
        <v>257</v>
      </c>
      <c r="B12" s="58"/>
      <c r="C12" s="58"/>
      <c r="D12" s="63">
        <f>IF('GPS Anthro Tool'!$B$33=1,MAX('Big Data'!$O$3:$Q$45),MAX($AB$19:$AB$34))</f>
        <v>32.733999999999995</v>
      </c>
      <c r="E12" s="109">
        <f>IF('GPS Anthro Tool'!$B$33=1,MAX('Big Data'!$AE$3:$AG$45),9.9)*(1+'GPS Anthro Tool'!$B$26)</f>
        <v>6.8579999999999997</v>
      </c>
      <c r="F12" s="63">
        <f>(($F$11-$F$14)/3)+F13</f>
        <v>29.685999999999996</v>
      </c>
      <c r="G12" s="109">
        <f>(($G$11-$G$14)/3)+G13</f>
        <v>6.1806666666666663</v>
      </c>
      <c r="H12" s="63">
        <f>(($H$10-$H$14)/4)+H13</f>
        <v>28.161999999999995</v>
      </c>
      <c r="I12" s="59">
        <f>(($I$10-$I$14)/4)+I13</f>
        <v>5.8419999999999996</v>
      </c>
      <c r="J12" s="63">
        <f>(($J$9-$J$14)/5)+J13</f>
        <v>27.247599999999995</v>
      </c>
      <c r="K12" s="59">
        <f>(($K$9-$K$14)/5)+K13</f>
        <v>5.6387999999999989</v>
      </c>
      <c r="L12" s="63">
        <f>(($L$8-$L$14)/6)+L13</f>
        <v>26.637999999999998</v>
      </c>
      <c r="M12" s="59">
        <f>(($M$8-$M$14)/6)+M13</f>
        <v>5.503333333333333</v>
      </c>
      <c r="N12" s="63">
        <f t="shared" si="15"/>
        <v>26.202571428571428</v>
      </c>
      <c r="O12" s="59">
        <f t="shared" si="16"/>
        <v>5.4065714285714277</v>
      </c>
      <c r="P12" s="63">
        <f t="shared" si="13"/>
        <v>25.876000000000001</v>
      </c>
      <c r="Q12" s="59">
        <f t="shared" si="14"/>
        <v>5.3339999999999996</v>
      </c>
      <c r="R12" s="63">
        <f t="shared" si="11"/>
        <v>25.621999999999996</v>
      </c>
      <c r="S12" s="59">
        <f t="shared" si="12"/>
        <v>5.2775555555555558</v>
      </c>
      <c r="T12" s="62">
        <f t="shared" si="9"/>
        <v>25.418800000000001</v>
      </c>
      <c r="U12" s="60">
        <f t="shared" si="10"/>
        <v>5.2323999999999993</v>
      </c>
      <c r="V12" s="62">
        <f>IF('GPS Anthro Tool'!$B$25=0,0,IF($A$1=12,(($V$3-$V$14)/11)+V13,IF($A$1=11,T12,IF($A$1=10,R12,IF($A$1=9,P12,IF($A$1=8,N12,IF($A$1=7,L12,IF($A$1=6,J12,IF($A$1=5,H12,IF($A$1=4,F12,IF($A$1=3,D12,0)))))))))))</f>
        <v>32.733999999999995</v>
      </c>
      <c r="W12" s="60">
        <f>IF('GPS Anthro Tool'!$B$25=0,0,IF($A$1=12,(($W$3-$W$14)/11)+W13,IF($A$1=11,U12,IF($A$1=10,S12,IF($A$1=9,Q12,IF($A$1=8,O12,IF($A$1=7,M12,IF($A$1=6,K12,IF($A$1=5,I12,IF($A$1=4,G12,IF($A$1=3,E12,0)))))))))))</f>
        <v>6.8579999999999997</v>
      </c>
      <c r="X12" s="108" t="s">
        <v>266</v>
      </c>
      <c r="Y12" s="56"/>
      <c r="Z12" s="56"/>
      <c r="AA12" s="56"/>
      <c r="AB12" s="56"/>
      <c r="AC12" s="56"/>
      <c r="AD12" s="56"/>
      <c r="AE12" s="56"/>
      <c r="AF12" s="56"/>
      <c r="AG12" s="56"/>
      <c r="AH12" s="56"/>
      <c r="AI12" s="148">
        <f>IF('GPS Anthro Tool'!$B$25=0,0,IF('GPS Anthro Tool'!$B$28=1,0,IF('GPS Anthro Tool'!$B$28=2,0,IF('GPS Anthro Tool'!$B$28=3,IF('GPS Anthro Tool'!$B$33=1,MAX('Big Data'!$S$3:$U$45),MAX($AE$19:$AE$34)),IF('GPS Anthro Tool'!$B$33=1,(((MAX('Big Data'!$S$3:$U$45)-(SMALL('Big Data'!$S$3:$U$45,COUNTIF('Big Data'!$S$3:$U$45,0)+1)))/('GPS Anthro Tool'!$B$28-1))+$AI$13),((MAX($AE$19:$AE$34)-SMALL(AE19:AE34,COUNTIF(AE19:AE34,0)+1))/('GPS Anthro Tool'!$B$28-1))+$AI$13)))))</f>
        <v>0</v>
      </c>
      <c r="AJ12" s="474">
        <f>IF('GPS Anthro Tool'!$B$25=0,0,IF('GPS Anthro Tool'!$B$32=3,IF('GPS Anthro Tool'!$B$33=1,MAX('Big Data'!$AA$3:$AC$45)+'GPS Anthro Tool'!$B$42,MAX(AF19:AF34)+'GPS Anthro Tool'!$B$42),IF('GPS Anthro Tool'!$B$32=4,AJ11-(AJ11-AJ14)/3,0)))</f>
        <v>0</v>
      </c>
      <c r="AK12" s="473"/>
      <c r="AL12">
        <v>3</v>
      </c>
      <c r="AM12" s="84">
        <f t="shared" si="0"/>
        <v>-7.2389999999999999</v>
      </c>
      <c r="AN12" s="84">
        <f t="shared" si="1"/>
        <v>-3.4289999999999998</v>
      </c>
      <c r="AO12" s="99">
        <f t="shared" si="2"/>
        <v>32.733999999999995</v>
      </c>
      <c r="AP12" s="84">
        <f t="shared" si="3"/>
        <v>3.4289999999999998</v>
      </c>
      <c r="AQ12" s="84">
        <f t="shared" si="4"/>
        <v>7.2389999999999999</v>
      </c>
      <c r="AU12" s="202">
        <f>AQ7</f>
        <v>0</v>
      </c>
      <c r="AV12" s="203">
        <f>AO7</f>
        <v>0</v>
      </c>
      <c r="AW12" s="112"/>
      <c r="AX12" s="102">
        <f>AQ13</f>
        <v>6.7309999999999999</v>
      </c>
      <c r="AY12" s="103">
        <f>AO13</f>
        <v>28.161999999999999</v>
      </c>
      <c r="AZ12" s="112"/>
      <c r="BA12" s="198">
        <f t="shared" si="5"/>
        <v>0</v>
      </c>
      <c r="BB12" s="199">
        <f t="shared" si="6"/>
        <v>0</v>
      </c>
      <c r="BC12" s="112"/>
      <c r="BD12" s="102">
        <f t="shared" si="7"/>
        <v>-6.7309999999999999</v>
      </c>
      <c r="BE12" s="103">
        <f t="shared" si="8"/>
        <v>28.161999999999999</v>
      </c>
      <c r="BF12" s="50"/>
      <c r="BX12" s="117">
        <f>AX9</f>
        <v>3.4289999999999998</v>
      </c>
      <c r="BY12" s="50"/>
      <c r="BZ12" s="117">
        <f>AY9</f>
        <v>32.733999999999995</v>
      </c>
      <c r="CK12" s="736" t="s">
        <v>455</v>
      </c>
      <c r="CL12" s="736"/>
      <c r="CM12" s="736"/>
      <c r="CN12" s="736"/>
      <c r="CO12" s="736"/>
      <c r="CP12" s="736"/>
      <c r="CQ12" s="736"/>
    </row>
    <row r="13" spans="1:95">
      <c r="A13" t="s">
        <v>258</v>
      </c>
      <c r="B13" s="63">
        <f>IF('GPS Anthro Tool'!$B$33=1,MAX('Big Data'!$O$3:$Q$45),MAX($AB$19:$AB$34))</f>
        <v>32.733999999999995</v>
      </c>
      <c r="C13" s="109">
        <f>IF('GPS Anthro Tool'!$B$33=1,MAX('Big Data'!$AE$3:$AG$45),9.9)*(1+'GPS Anthro Tool'!$B$26)</f>
        <v>6.8579999999999997</v>
      </c>
      <c r="D13" s="63">
        <f>(($F$11-$F$14)/2)+D14</f>
        <v>28.161999999999999</v>
      </c>
      <c r="E13" s="109">
        <f>(($G$11-$G$14)/2)+E14</f>
        <v>5.8419999999999996</v>
      </c>
      <c r="F13" s="63">
        <f>(($F$11-$F$14)/3)+F14</f>
        <v>26.637999999999998</v>
      </c>
      <c r="G13" s="109">
        <f>(($G$11-$G$14)/3)+G14</f>
        <v>5.503333333333333</v>
      </c>
      <c r="H13" s="63">
        <f>(($H$10-$H$14)/4)+H14</f>
        <v>25.875999999999998</v>
      </c>
      <c r="I13" s="59">
        <f>(($I$10-$I$14)/4)+I14</f>
        <v>5.3339999999999996</v>
      </c>
      <c r="J13" s="62">
        <f>(($J$9-$J$14)/5)+J14</f>
        <v>25.418799999999997</v>
      </c>
      <c r="K13" s="60">
        <f>(($K$9-$K$14)/5)+K14</f>
        <v>5.2323999999999993</v>
      </c>
      <c r="L13" s="62">
        <f>(($L$8-$L$14)/6)+L14</f>
        <v>25.113999999999997</v>
      </c>
      <c r="M13" s="60">
        <f>(($M$8-$M$14)/6)+M14</f>
        <v>5.1646666666666663</v>
      </c>
      <c r="N13" s="62">
        <f t="shared" si="15"/>
        <v>24.896285714285714</v>
      </c>
      <c r="O13" s="60">
        <f t="shared" si="16"/>
        <v>5.1162857142857137</v>
      </c>
      <c r="P13" s="62">
        <f t="shared" si="13"/>
        <v>24.733000000000001</v>
      </c>
      <c r="Q13" s="60">
        <f t="shared" si="14"/>
        <v>5.08</v>
      </c>
      <c r="R13" s="62">
        <f t="shared" si="11"/>
        <v>24.605999999999998</v>
      </c>
      <c r="S13" s="60">
        <f t="shared" si="12"/>
        <v>5.0517777777777777</v>
      </c>
      <c r="T13" s="62">
        <f t="shared" si="9"/>
        <v>24.5044</v>
      </c>
      <c r="U13" s="60">
        <f t="shared" si="10"/>
        <v>5.0291999999999994</v>
      </c>
      <c r="V13" s="62">
        <f>IF('GPS Anthro Tool'!$B$25=0,0,IF($A$1=12,(($V$3-$V$14)/11)+V14,IF($A$1=11,T13,IF($A$1=10,R13,IF($A$1=9,P13,IF($A$1=8,N13,IF($A$1=7,L13,IF($A$1=6,J13,IF($A$1=5,H13,IF($A$1=4,F13,IF($A$1=3,D13,IF($A$1=2,B13,0))))))))))))</f>
        <v>28.161999999999999</v>
      </c>
      <c r="W13" s="60">
        <f>IF('GPS Anthro Tool'!$B$25=0,0,IF($A$1=12,(($W$3-$W$14)/11)+W14,IF($A$1=11,U13,IF($A$1=10,S13,IF($A$1=9,Q13,IF($A$1=8,O13,IF($A$1=7,M13,IF($A$1=6,K13,IF($A$1=5,I13,IF($A$1=4,G13,IF($A$1=3,E13,IF($A$1=2,C13,0))))))))))))</f>
        <v>5.8419999999999996</v>
      </c>
      <c r="X13" s="108"/>
      <c r="Y13" s="56"/>
      <c r="Z13" s="56"/>
      <c r="AA13" s="56"/>
      <c r="AB13" s="56"/>
      <c r="AC13" s="56"/>
      <c r="AD13" s="56"/>
      <c r="AE13" s="56"/>
      <c r="AF13" s="56"/>
      <c r="AG13" s="56"/>
      <c r="AH13" s="56"/>
      <c r="AI13" s="148">
        <f>IF('GPS Anthro Tool'!$B$25=0,0,IF('GPS Anthro Tool'!$B$28=1,0,IF('GPS Anthro Tool'!$B$28=2,IF('GPS Anthro Tool'!$B$33=1,MAX('Big Data'!$S$3:$U$45),MAX($AE$20:$AE$33)),IF('GPS Anthro Tool'!$B$33=1,(((MAX('Big Data'!$S$3:$U$45)-(SMALL('Big Data'!$S$3:$U$45,COUNTIF('Big Data'!$S$3:$U$45,0)+1)))/('GPS Anthro Tool'!$B$28-1))+$AI$14),((MAX($AE$19:$AE$34)-SMALL(AE19:AE34,COUNTIF(AE19:AE34,0)+1))/('GPS Anthro Tool'!$B$28-1))+$AI$14))))</f>
        <v>0</v>
      </c>
      <c r="AJ13" s="230">
        <f>IF('GPS Anthro Tool'!$B$32=1,0,IF('GPS Anthro Tool'!$B$25=0,0,IF('GPS Anthro Tool'!$B$32=2,IF('GPS Anthro Tool'!$B$33=1,MAX('Big Data'!$AA$3:$AC$45)+'GPS Anthro Tool'!$B$42,MAX(AF19:AF34)+'GPS Anthro Tool'!$B$42),IF('GPS Anthro Tool'!$B$32=4,AJ14+(AJ11-AJ14)/3,AJ14+(AJ12-AJ14)/2))))</f>
        <v>0</v>
      </c>
      <c r="AK13" s="115"/>
      <c r="AL13">
        <v>2</v>
      </c>
      <c r="AM13" s="114">
        <f t="shared" si="0"/>
        <v>-6.7309999999999999</v>
      </c>
      <c r="AN13" s="84">
        <f t="shared" si="1"/>
        <v>-2.9209999999999998</v>
      </c>
      <c r="AO13" s="99">
        <f t="shared" si="2"/>
        <v>28.161999999999999</v>
      </c>
      <c r="AP13" s="84">
        <f t="shared" si="3"/>
        <v>2.9209999999999998</v>
      </c>
      <c r="AQ13" s="84">
        <f t="shared" si="4"/>
        <v>6.7309999999999999</v>
      </c>
      <c r="AS13">
        <v>7</v>
      </c>
      <c r="AU13" s="100">
        <f>AP8</f>
        <v>0</v>
      </c>
      <c r="AV13" s="101">
        <f>AO8</f>
        <v>0</v>
      </c>
      <c r="AW13" s="112"/>
      <c r="AX13" s="200">
        <f>AP14</f>
        <v>2.4129999999999998</v>
      </c>
      <c r="AY13" s="201">
        <f>AO14</f>
        <v>23.59</v>
      </c>
      <c r="AZ13" s="112"/>
      <c r="BA13" s="100">
        <f t="shared" si="5"/>
        <v>0</v>
      </c>
      <c r="BB13" s="101">
        <f t="shared" si="6"/>
        <v>0</v>
      </c>
      <c r="BC13" s="112"/>
      <c r="BD13" s="196">
        <f t="shared" si="7"/>
        <v>-2.4129999999999998</v>
      </c>
      <c r="BE13" s="197">
        <f t="shared" si="8"/>
        <v>23.59</v>
      </c>
      <c r="BF13" s="50"/>
      <c r="BX13" s="117">
        <f>AX11</f>
        <v>2.9209999999999998</v>
      </c>
      <c r="BY13" s="50"/>
      <c r="BZ13" s="117">
        <f>AY11</f>
        <v>28.161999999999999</v>
      </c>
      <c r="CK13" s="736" t="s">
        <v>456</v>
      </c>
      <c r="CL13" s="736"/>
      <c r="CM13" s="736"/>
      <c r="CN13" s="736"/>
      <c r="CO13" s="736"/>
      <c r="CP13" s="736"/>
      <c r="CQ13" s="736"/>
    </row>
    <row r="14" spans="1:95">
      <c r="A14" t="s">
        <v>259</v>
      </c>
      <c r="B14" s="62">
        <f>$V$14</f>
        <v>23.59</v>
      </c>
      <c r="C14" s="60">
        <f>$W$14</f>
        <v>4.8259999999999996</v>
      </c>
      <c r="D14" s="62">
        <f>$V$14</f>
        <v>23.59</v>
      </c>
      <c r="E14" s="60">
        <f>$W$14</f>
        <v>4.8259999999999996</v>
      </c>
      <c r="F14" s="62">
        <f>$V$14</f>
        <v>23.59</v>
      </c>
      <c r="G14" s="60">
        <f>$W$14</f>
        <v>4.8259999999999996</v>
      </c>
      <c r="H14" s="62">
        <f>$V$14</f>
        <v>23.59</v>
      </c>
      <c r="I14" s="60">
        <f>$W$14</f>
        <v>4.8259999999999996</v>
      </c>
      <c r="J14" s="62">
        <f>$V$14</f>
        <v>23.59</v>
      </c>
      <c r="K14" s="60">
        <f>$W$14</f>
        <v>4.8259999999999996</v>
      </c>
      <c r="L14" s="62">
        <f>$V$14</f>
        <v>23.59</v>
      </c>
      <c r="M14" s="60">
        <f>$W$14</f>
        <v>4.8259999999999996</v>
      </c>
      <c r="N14" s="62">
        <f>$V$14</f>
        <v>23.59</v>
      </c>
      <c r="O14" s="60">
        <f>$W$14</f>
        <v>4.8259999999999996</v>
      </c>
      <c r="P14" s="62">
        <f>$V$14</f>
        <v>23.59</v>
      </c>
      <c r="Q14" s="60">
        <f>$W$14</f>
        <v>4.8259999999999996</v>
      </c>
      <c r="R14" s="62">
        <f>$V$14</f>
        <v>23.59</v>
      </c>
      <c r="S14" s="60">
        <f>$W$14</f>
        <v>4.8259999999999996</v>
      </c>
      <c r="T14" s="62">
        <f>$V$14</f>
        <v>23.59</v>
      </c>
      <c r="U14" s="60">
        <f>$W$14</f>
        <v>4.8259999999999996</v>
      </c>
      <c r="V14" s="62">
        <f>IF('GPS Anthro Tool'!$B$33=1,SMALL('Big Data'!$O$3:$Q$45,COUNTIF('Big Data'!$O$3:$Q$45,0)+1),SMALL(AB19:AB34,COUNTIF(AB19:AB34,0)+1))</f>
        <v>23.59</v>
      </c>
      <c r="W14" s="60">
        <f>IF('GPS Anthro Tool'!$B$33=1,SMALL('Big Data'!$AE$3:$AG$45,COUNTIF('Big Data'!$AE$3:$AG$45,0)+1),4.8)</f>
        <v>4.8259999999999996</v>
      </c>
      <c r="X14" s="108"/>
      <c r="Y14" s="57"/>
      <c r="Z14" s="57"/>
      <c r="AA14" s="57"/>
      <c r="AB14" s="57"/>
      <c r="AC14" s="57"/>
      <c r="AD14" s="57"/>
      <c r="AE14" s="57"/>
      <c r="AF14" s="57"/>
      <c r="AG14" s="57"/>
      <c r="AH14" s="57"/>
      <c r="AI14" s="148">
        <f>IF('GPS Anthro Tool'!$B$25=0,0,IF('GPS Anthro Tool'!$B$28=1,IF('GPS Anthro Tool'!$B$33=1,((MAX('Big Data'!$S$3:$U$45)-SMALL('Big Data'!$S$3:$U$45,COUNTIF('Big Data'!$S$3:$U$45,0)+1))/2)+SMALL('Big Data'!$S$3:$U$45,COUNTIF('Big Data'!$S$3:$U$45,0)+1),((MAX($AE$19:$AE$34)-SMALL(AE19:AE34,COUNTIF(AE19:AE34,0)+1))/2)+SMALL(AE19:AE34,COUNTIF(AE19:AE34,0)+1)),IF('GPS Anthro Tool'!$B$33=1,SMALL('Big Data'!$S$3:$U$45,COUNTIF('Big Data'!$S$3:$U$45,0)+1),SMALL(AE19:AE34,COUNTIF(AE19:AE34,0)+1))))</f>
        <v>13.462</v>
      </c>
      <c r="AJ14" s="230">
        <f>IF('GPS Anthro Tool'!$B$25=0,0,IF('GPS Anthro Tool'!$B$32=1,IF('GPS Anthro Tool'!$B$33=1,((MAX('Big Data'!$AA$3:$AC$45)-SMALL('Big Data'!$AA$3:$AC$45,COUNTIF('Big Data'!$AA$3:$AC$45,0)+1))/2)+SMALL('Big Data'!$AA$3:$AC$45,COUNTIF('Big Data'!$AA$3:$AC$45,0)+1)+'GPS Anthro Tool'!$B$42,((MAX($AF$19:$AF$34)-SMALL(AF19:AF34,COUNTIF(AF19:AF34,0)+1))/2)+SMALL(AF19:AF34,COUNTIF(AF19:AF34,0)+1))+'GPS Anthro Tool'!$B$42,IF('GPS Anthro Tool'!$B$33=1,SMALL('Big Data'!$AA$3:$AC$45,COUNTIF('Big Data'!$AA$3:$AC$45,0)+1)+'GPS Anthro Tool'!$B$42,SMALL(AF19:AF34,COUNTIF(AF19:AF34,0)+1)+'GPS Anthro Tool'!$B$42)))</f>
        <v>13.641839999999998</v>
      </c>
      <c r="AK14" s="472"/>
      <c r="AL14">
        <v>1</v>
      </c>
      <c r="AM14" s="84">
        <f>IF('GPS Anthro Tool'!$B$25=0,0,IF(V14=0,0,AN14-3.81))</f>
        <v>-6.2229999999999999</v>
      </c>
      <c r="AN14" s="84">
        <f>IF('GPS Anthro Tool'!$B$25=0,0,-(W14/2))</f>
        <v>-2.4129999999999998</v>
      </c>
      <c r="AO14" s="99">
        <f>IF('GPS Anthro Tool'!$B$25=0,0,V14)</f>
        <v>23.59</v>
      </c>
      <c r="AP14" s="84">
        <f>IF('GPS Anthro Tool'!$B$25=0,0,(W14/2))</f>
        <v>2.4129999999999998</v>
      </c>
      <c r="AQ14" s="84">
        <f>IF('GPS Anthro Tool'!$B$25=0,0,IF(V14=0,0,AP14+3.81))</f>
        <v>6.2229999999999999</v>
      </c>
      <c r="AU14" s="102">
        <f>AQ8</f>
        <v>0</v>
      </c>
      <c r="AV14" s="103">
        <f>AO8</f>
        <v>0</v>
      </c>
      <c r="AW14" s="112"/>
      <c r="AX14" s="202">
        <f>AQ14</f>
        <v>6.2229999999999999</v>
      </c>
      <c r="AY14" s="203">
        <f>AO14</f>
        <v>23.59</v>
      </c>
      <c r="AZ14" s="112"/>
      <c r="BA14" s="102">
        <f t="shared" si="5"/>
        <v>0</v>
      </c>
      <c r="BB14" s="103">
        <f t="shared" si="6"/>
        <v>0</v>
      </c>
      <c r="BC14" s="112"/>
      <c r="BD14" s="198">
        <f t="shared" si="7"/>
        <v>-6.2229999999999999</v>
      </c>
      <c r="BE14" s="199">
        <f t="shared" si="8"/>
        <v>23.59</v>
      </c>
      <c r="BF14" s="50"/>
      <c r="BX14" s="117">
        <f>AX13</f>
        <v>2.4129999999999998</v>
      </c>
      <c r="BY14" s="50"/>
      <c r="BZ14" s="117">
        <f>AY13</f>
        <v>23.59</v>
      </c>
    </row>
    <row r="15" spans="1:95">
      <c r="F15" s="232"/>
      <c r="G15" s="233"/>
      <c r="H15" s="232"/>
      <c r="I15" s="233"/>
      <c r="J15" s="232"/>
      <c r="K15" s="233"/>
      <c r="L15" s="232"/>
      <c r="M15" s="233"/>
      <c r="N15" s="232"/>
      <c r="O15" s="233"/>
      <c r="P15" s="232"/>
      <c r="Q15" s="233"/>
      <c r="R15" s="232"/>
      <c r="S15" s="233"/>
      <c r="T15" s="232"/>
      <c r="U15" s="233"/>
      <c r="V15" s="232"/>
      <c r="W15" s="233"/>
      <c r="X15" s="234"/>
      <c r="Y15" s="57"/>
      <c r="Z15" s="57"/>
      <c r="AA15" s="57"/>
      <c r="AC15" s="57"/>
      <c r="AD15" s="57"/>
      <c r="AE15" s="57"/>
      <c r="AF15" s="57"/>
      <c r="AG15" s="57"/>
      <c r="AH15" s="57"/>
      <c r="AI15" s="56"/>
      <c r="AJ15" s="56"/>
      <c r="AK15" s="117"/>
      <c r="AM15" s="84"/>
      <c r="AN15" s="84"/>
      <c r="AO15" s="99"/>
      <c r="AP15" s="84"/>
      <c r="AQ15" s="84"/>
      <c r="AU15" s="50"/>
      <c r="AV15" s="50"/>
      <c r="AX15" s="50"/>
      <c r="AY15" s="50"/>
      <c r="BA15" s="50"/>
      <c r="BB15" s="50"/>
      <c r="BD15" s="50"/>
      <c r="BE15" s="50"/>
      <c r="BF15" s="50"/>
      <c r="BI15" s="752" t="s">
        <v>569</v>
      </c>
      <c r="BJ15" s="753"/>
      <c r="BK15" s="753"/>
      <c r="BL15" s="753"/>
      <c r="BM15" s="753"/>
      <c r="BN15" s="753"/>
      <c r="BO15" s="753"/>
      <c r="BP15" s="753"/>
      <c r="BQ15" s="753"/>
      <c r="BR15" s="753"/>
      <c r="BS15" s="753"/>
      <c r="BT15" s="753"/>
      <c r="BU15" s="754"/>
    </row>
    <row r="16" spans="1:95">
      <c r="F16" s="56"/>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56"/>
      <c r="AG16" s="56"/>
      <c r="AN16" s="84"/>
      <c r="AO16" s="42"/>
      <c r="BI16" s="748" t="s">
        <v>410</v>
      </c>
      <c r="BJ16" s="748"/>
      <c r="BK16" s="748"/>
      <c r="BL16" s="748"/>
      <c r="BM16" s="748"/>
      <c r="BN16" s="748"/>
      <c r="BP16" s="748" t="s">
        <v>411</v>
      </c>
      <c r="BQ16" s="748"/>
      <c r="BR16" s="748"/>
      <c r="BS16" s="748"/>
      <c r="BT16" s="748"/>
      <c r="BU16" s="748"/>
    </row>
    <row r="17" spans="5:122" ht="14.1" customHeight="1" thickBot="1">
      <c r="X17" s="110"/>
      <c r="AF17" s="50"/>
      <c r="AK17" s="110"/>
      <c r="AL17" s="50"/>
      <c r="AM17" s="50"/>
      <c r="AN17" s="151"/>
      <c r="AO17" s="113"/>
      <c r="AP17" s="50"/>
      <c r="AQ17" s="50"/>
      <c r="AR17" s="150"/>
      <c r="AS17" s="736"/>
      <c r="AT17" s="736"/>
      <c r="AU17" s="736"/>
      <c r="AX17" s="50"/>
      <c r="BI17" s="311" t="s">
        <v>571</v>
      </c>
      <c r="BJ17" s="311" t="s">
        <v>572</v>
      </c>
      <c r="BK17" s="311" t="s">
        <v>573</v>
      </c>
      <c r="BL17" s="311" t="s">
        <v>574</v>
      </c>
      <c r="BM17" s="311" t="s">
        <v>575</v>
      </c>
      <c r="BN17" s="311" t="s">
        <v>576</v>
      </c>
      <c r="BP17" s="311" t="s">
        <v>571</v>
      </c>
      <c r="BQ17" s="311" t="s">
        <v>572</v>
      </c>
      <c r="BR17" s="311" t="s">
        <v>573</v>
      </c>
      <c r="BS17" s="311" t="s">
        <v>574</v>
      </c>
      <c r="BT17" s="311" t="s">
        <v>575</v>
      </c>
      <c r="BU17" s="311" t="s">
        <v>576</v>
      </c>
      <c r="BX17" s="731" t="s">
        <v>431</v>
      </c>
      <c r="BY17" s="732"/>
      <c r="BZ17" s="732"/>
      <c r="CA17" s="732"/>
      <c r="CB17" s="732"/>
      <c r="CC17" s="732"/>
      <c r="CD17" s="732"/>
      <c r="CE17" s="732"/>
      <c r="CF17" s="732"/>
      <c r="CG17" s="732"/>
      <c r="CH17" s="732"/>
      <c r="CI17" s="732"/>
      <c r="CK17" s="722" t="s">
        <v>460</v>
      </c>
      <c r="CL17" s="723"/>
      <c r="CM17" s="723"/>
      <c r="CN17" s="723"/>
      <c r="CO17" s="723"/>
      <c r="CP17" s="723"/>
      <c r="CQ17" s="723"/>
      <c r="CR17" s="723"/>
      <c r="CS17" s="724"/>
      <c r="CU17" s="722" t="s">
        <v>451</v>
      </c>
      <c r="CV17" s="723"/>
      <c r="CW17" s="723"/>
      <c r="CX17" s="723"/>
      <c r="CY17" s="723"/>
      <c r="CZ17" s="723"/>
      <c r="DA17" s="723"/>
      <c r="DB17" s="723"/>
      <c r="DC17" s="723"/>
      <c r="DD17" s="723"/>
      <c r="DE17" s="723"/>
      <c r="DF17" s="723"/>
      <c r="DG17" s="723"/>
      <c r="DH17" s="723"/>
      <c r="DI17" s="723"/>
      <c r="DJ17" s="723"/>
      <c r="DK17" s="723"/>
      <c r="DL17" s="723"/>
      <c r="DM17" s="723"/>
      <c r="DN17" s="723"/>
      <c r="DO17" s="723"/>
      <c r="DP17" s="723"/>
      <c r="DQ17" s="723"/>
      <c r="DR17" s="724"/>
    </row>
    <row r="18" spans="5:122" ht="90" customHeight="1" thickBot="1">
      <c r="E18" s="83" t="s">
        <v>294</v>
      </c>
      <c r="F18" s="61" t="s">
        <v>0</v>
      </c>
      <c r="G18" s="61" t="s">
        <v>1</v>
      </c>
      <c r="H18" s="61" t="s">
        <v>2</v>
      </c>
      <c r="I18" s="61" t="s">
        <v>142</v>
      </c>
      <c r="J18" s="61" t="s">
        <v>3</v>
      </c>
      <c r="K18" s="46" t="s">
        <v>118</v>
      </c>
      <c r="L18" s="46" t="s">
        <v>16</v>
      </c>
      <c r="M18" s="46" t="s">
        <v>119</v>
      </c>
      <c r="N18" s="46" t="s">
        <v>200</v>
      </c>
      <c r="O18" s="46" t="s">
        <v>120</v>
      </c>
      <c r="P18" s="46" t="s">
        <v>121</v>
      </c>
      <c r="Q18" s="46" t="s">
        <v>287</v>
      </c>
      <c r="R18" s="46" t="s">
        <v>122</v>
      </c>
      <c r="S18" s="46" t="s">
        <v>288</v>
      </c>
      <c r="T18" s="46" t="s">
        <v>289</v>
      </c>
      <c r="U18" s="46" t="s">
        <v>123</v>
      </c>
      <c r="V18" s="46" t="s">
        <v>290</v>
      </c>
      <c r="X18" s="734" t="s">
        <v>293</v>
      </c>
      <c r="Y18" s="734"/>
      <c r="Z18" s="46" t="s">
        <v>143</v>
      </c>
      <c r="AA18" s="46" t="s">
        <v>144</v>
      </c>
      <c r="AB18" s="46" t="s">
        <v>145</v>
      </c>
      <c r="AC18" s="622" t="s">
        <v>304</v>
      </c>
      <c r="AD18" s="46" t="s">
        <v>138</v>
      </c>
      <c r="AE18" s="46" t="s">
        <v>140</v>
      </c>
      <c r="AF18" s="46" t="s">
        <v>305</v>
      </c>
      <c r="AG18" s="46" t="s">
        <v>317</v>
      </c>
      <c r="AH18" s="1"/>
      <c r="AL18" s="622" t="s">
        <v>304</v>
      </c>
      <c r="AM18" s="622" t="s">
        <v>303</v>
      </c>
      <c r="AN18" s="46" t="s">
        <v>140</v>
      </c>
      <c r="AO18" s="46" t="s">
        <v>305</v>
      </c>
      <c r="AP18" s="622"/>
      <c r="AQ18" s="622"/>
      <c r="AR18" s="46"/>
      <c r="AS18" s="46"/>
      <c r="AU18" s="46" t="s">
        <v>339</v>
      </c>
      <c r="AV18" s="46"/>
      <c r="AX18" s="46" t="s">
        <v>338</v>
      </c>
      <c r="BB18" s="97" t="s">
        <v>300</v>
      </c>
      <c r="BI18" s="312" t="s">
        <v>404</v>
      </c>
      <c r="BJ18" s="313" t="s">
        <v>408</v>
      </c>
      <c r="BK18" s="312" t="s">
        <v>405</v>
      </c>
      <c r="BL18" s="313" t="s">
        <v>407</v>
      </c>
      <c r="BM18" s="312" t="s">
        <v>406</v>
      </c>
      <c r="BN18" s="313" t="s">
        <v>409</v>
      </c>
      <c r="BP18" s="312" t="s">
        <v>404</v>
      </c>
      <c r="BQ18" s="313" t="s">
        <v>408</v>
      </c>
      <c r="BR18" s="312" t="s">
        <v>405</v>
      </c>
      <c r="BS18" s="313" t="s">
        <v>407</v>
      </c>
      <c r="BT18" s="312" t="s">
        <v>406</v>
      </c>
      <c r="BU18" s="313" t="s">
        <v>409</v>
      </c>
      <c r="BX18" s="725" t="s">
        <v>427</v>
      </c>
      <c r="BY18" s="726"/>
      <c r="BZ18" s="727"/>
      <c r="CA18" s="728" t="s">
        <v>429</v>
      </c>
      <c r="CB18" s="729"/>
      <c r="CC18" s="730"/>
      <c r="CD18" s="725" t="s">
        <v>428</v>
      </c>
      <c r="CE18" s="726"/>
      <c r="CF18" s="727"/>
      <c r="CG18" s="728" t="s">
        <v>430</v>
      </c>
      <c r="CH18" s="729"/>
      <c r="CI18" s="730"/>
      <c r="CK18" s="236" t="s">
        <v>446</v>
      </c>
      <c r="CL18" s="237" t="s">
        <v>437</v>
      </c>
      <c r="CM18" s="237" t="s">
        <v>438</v>
      </c>
      <c r="CN18" s="237" t="s">
        <v>439</v>
      </c>
      <c r="CO18" s="237" t="s">
        <v>440</v>
      </c>
      <c r="CP18" s="237" t="s">
        <v>441</v>
      </c>
      <c r="CQ18" s="237" t="s">
        <v>443</v>
      </c>
      <c r="CR18" s="237" t="s">
        <v>444</v>
      </c>
      <c r="CS18" s="238" t="s">
        <v>447</v>
      </c>
      <c r="CT18" s="622"/>
      <c r="CU18" s="236" t="s">
        <v>308</v>
      </c>
      <c r="CV18" s="237" t="s">
        <v>435</v>
      </c>
      <c r="CW18" s="237" t="s">
        <v>309</v>
      </c>
      <c r="CX18" s="237" t="s">
        <v>308</v>
      </c>
      <c r="CY18" s="237" t="s">
        <v>435</v>
      </c>
      <c r="CZ18" s="237" t="s">
        <v>309</v>
      </c>
      <c r="DA18" s="237" t="s">
        <v>308</v>
      </c>
      <c r="DB18" s="237" t="s">
        <v>435</v>
      </c>
      <c r="DC18" s="237" t="s">
        <v>309</v>
      </c>
      <c r="DD18" s="237" t="s">
        <v>308</v>
      </c>
      <c r="DE18" s="237" t="s">
        <v>435</v>
      </c>
      <c r="DF18" s="237" t="s">
        <v>309</v>
      </c>
      <c r="DG18" s="237" t="s">
        <v>308</v>
      </c>
      <c r="DH18" s="237" t="s">
        <v>435</v>
      </c>
      <c r="DI18" s="237" t="s">
        <v>309</v>
      </c>
      <c r="DJ18" s="237" t="s">
        <v>308</v>
      </c>
      <c r="DK18" s="237" t="s">
        <v>435</v>
      </c>
      <c r="DL18" s="237" t="s">
        <v>309</v>
      </c>
      <c r="DM18" s="237" t="s">
        <v>308</v>
      </c>
      <c r="DN18" s="237" t="s">
        <v>435</v>
      </c>
      <c r="DO18" s="237" t="s">
        <v>309</v>
      </c>
      <c r="DP18" s="237" t="s">
        <v>308</v>
      </c>
      <c r="DQ18" s="237" t="s">
        <v>435</v>
      </c>
      <c r="DR18" s="238" t="s">
        <v>309</v>
      </c>
    </row>
    <row r="19" spans="5:122">
      <c r="E19">
        <v>45</v>
      </c>
      <c r="F19">
        <v>39</v>
      </c>
      <c r="G19">
        <v>12.1</v>
      </c>
      <c r="H19">
        <v>14.2</v>
      </c>
      <c r="I19" s="80">
        <v>27.4</v>
      </c>
      <c r="J19" s="80">
        <v>29</v>
      </c>
      <c r="K19" s="43"/>
      <c r="L19" s="44"/>
      <c r="M19" s="35"/>
      <c r="X19" s="176" t="s">
        <v>381</v>
      </c>
      <c r="Y19" s="175" t="s">
        <v>13</v>
      </c>
      <c r="Z19" s="166">
        <f>IF(Solution!AF42=0,0,42)</f>
        <v>42</v>
      </c>
      <c r="AA19" s="166">
        <f>IF(Solution!AF42=0,0,27+'GPS Anthro Tool'!$B$41)</f>
        <v>29</v>
      </c>
      <c r="AB19" s="166">
        <f>IF(Solution!AF42=0,0,17+'GPS Anthro Tool'!$B$41)</f>
        <v>19</v>
      </c>
      <c r="AC19" s="166">
        <f>IF(Solution!AF42=0,0,15)</f>
        <v>15</v>
      </c>
      <c r="AD19" s="166">
        <f>IF(Solution!AF42=0,0,2.26)</f>
        <v>2.2599999999999998</v>
      </c>
      <c r="AE19" s="166">
        <f>IF(Solution!AF42=0,0,9)</f>
        <v>9</v>
      </c>
      <c r="AF19" s="166">
        <f>IF(Solution!AF42=0,0,4.5)</f>
        <v>4.5</v>
      </c>
      <c r="AG19" s="147">
        <f>IF(Solution!AF42=0,0,5.5)</f>
        <v>5.5</v>
      </c>
      <c r="AH19">
        <v>0</v>
      </c>
      <c r="AK19" s="467" t="s">
        <v>13</v>
      </c>
      <c r="AL19" s="158">
        <f>-AC19/2</f>
        <v>-7.5</v>
      </c>
      <c r="AM19" s="159">
        <f>AB19</f>
        <v>19</v>
      </c>
      <c r="AN19" s="466">
        <f>-AE19/2</f>
        <v>-4.5</v>
      </c>
      <c r="AO19" s="466">
        <f>-'GPS Anthro Tool'!$B$42</f>
        <v>-2</v>
      </c>
      <c r="AS19" s="113"/>
      <c r="AU19" s="113" t="s">
        <v>315</v>
      </c>
      <c r="AV19" s="113" t="s">
        <v>316</v>
      </c>
      <c r="AX19" s="113" t="s">
        <v>315</v>
      </c>
      <c r="AY19" s="113" t="s">
        <v>316</v>
      </c>
      <c r="BG19" s="741"/>
      <c r="BH19" s="742">
        <v>1</v>
      </c>
      <c r="BI19" s="319">
        <f>IF('GPS Anthro Tool'!$B$31=0,0,-'Big Data'!W56/2)</f>
        <v>-4.6989999999999998</v>
      </c>
      <c r="BJ19" s="310">
        <f>'GPS Anthro Tool'!$B$41</f>
        <v>2</v>
      </c>
      <c r="BK19" s="319">
        <f>IF('GPS Anthro Tool'!$B$31=0,0,-'Big Data'!X56/2)</f>
        <v>-6.7309999999999999</v>
      </c>
      <c r="BL19" s="310">
        <f>'GPS Anthro Tool'!$B$41</f>
        <v>2</v>
      </c>
      <c r="BM19" s="320">
        <f>IF('GPS Anthro Tool'!$B$31=0,0,-'Big Data'!Y56/2)</f>
        <v>-8.7629999999999999</v>
      </c>
      <c r="BN19" s="310">
        <f>'GPS Anthro Tool'!$B$41</f>
        <v>2</v>
      </c>
      <c r="BO19" s="215"/>
      <c r="BP19" s="319">
        <f>-BI19</f>
        <v>4.6989999999999998</v>
      </c>
      <c r="BQ19" s="310">
        <f t="shared" ref="BQ19:BQ50" si="17">BJ19</f>
        <v>2</v>
      </c>
      <c r="BR19" s="319">
        <f>-BK19</f>
        <v>6.7309999999999999</v>
      </c>
      <c r="BS19" s="310">
        <f t="shared" ref="BS19:BS50" si="18">BL19</f>
        <v>2</v>
      </c>
      <c r="BT19" s="320">
        <f>-BM19</f>
        <v>8.7629999999999999</v>
      </c>
      <c r="BU19" s="310">
        <f t="shared" ref="BU19:BU50" si="19">BN19</f>
        <v>2</v>
      </c>
      <c r="BW19" t="s">
        <v>450</v>
      </c>
      <c r="BX19" s="258">
        <v>0</v>
      </c>
      <c r="BY19" s="254">
        <v>0</v>
      </c>
      <c r="BZ19" s="251">
        <f>IF('GPS Anthro Tool'!$B$21=1,CF19,0)</f>
        <v>0</v>
      </c>
      <c r="CA19" s="258">
        <v>0</v>
      </c>
      <c r="CB19" s="254">
        <v>0</v>
      </c>
      <c r="CC19" s="251">
        <f>IF('GPS Anthro Tool'!$B$21=1,CI19,0)</f>
        <v>-1</v>
      </c>
      <c r="CD19" s="258">
        <v>0</v>
      </c>
      <c r="CE19" s="254">
        <v>0</v>
      </c>
      <c r="CF19" s="251">
        <f>IF('GPS Anthro Tool'!$B$27=0,0,IF('GPS Anthro Tool'!$B$20=0,-1,0))</f>
        <v>0</v>
      </c>
      <c r="CG19" s="258">
        <v>0</v>
      </c>
      <c r="CH19" s="254">
        <v>0</v>
      </c>
      <c r="CI19" s="251">
        <f>IF('GPS Anthro Tool'!$B$27=0,0,IF('GPS Anthro Tool'!$B$20=1,-1,0))</f>
        <v>-1</v>
      </c>
      <c r="CK19" s="246">
        <f>CG20+CD20</f>
        <v>6.7309999999999999</v>
      </c>
      <c r="CL19" s="247">
        <f>SQRT(((CG21-CG20)^2)+((CH21-CH20)^2)+((CI21-CI20)^2))+SQRT(((CD21-CD20)^2)+((CE21-CE20)^2)+((CF21-CF20)^2))</f>
        <v>15.129588311979941</v>
      </c>
      <c r="CM19" s="247">
        <f>SQRT(((CG22-CG21)^2)+((CH22-CH21)^2)+((CI22-CI21)^2))+SQRT(((CD22-CD21)^2)+((CE22-CE21)^2)+((CF22-CF21)^2))</f>
        <v>6.2622574915121465</v>
      </c>
      <c r="CN19" s="247">
        <f>SQRT(((CG23-CG22)^2)+((CH23-CH22)^2)+((CI23-CI22)^2))+SQRT(((CD23-CD22)^2)+((CE23-CE22)^2)+((CF23-CF22)^2))</f>
        <v>9.7967154414119797</v>
      </c>
      <c r="CO19" s="247">
        <f>SQRT(((CG24-CG23)^2)+((CH24-CH23)^2)+((CI24-CI23)^2))+SQRT(((CD24-CD23)^2)+((CE24-CE23)^2)+((CF24-CF23)^2))</f>
        <v>5.5226805085936306</v>
      </c>
      <c r="CP19" s="247">
        <f>SQRT(((CG25-CG24)^2)+((CH25-CH24)^2)+((CI25-CI24)^2))+SQRT(((CD25-CD24)^2)+((CE25-CE24)^2)+((CF25-CF24)^2))</f>
        <v>15.723199650198429</v>
      </c>
      <c r="CQ19" s="268">
        <f>IF($BZ$41=1,SQRT(((CG37-CG36)^2)+((CH37-CH36)^2)+((CI37-CI36)^2)),SUM(CK30:CQ30)-SUM(CK31:CP31))</f>
        <v>7.0710678118654755</v>
      </c>
      <c r="CR19" s="248"/>
      <c r="CS19" s="249"/>
      <c r="CU19" s="239">
        <f>BP19</f>
        <v>4.6989999999999998</v>
      </c>
      <c r="CV19" s="50">
        <f>BR19</f>
        <v>6.7309999999999999</v>
      </c>
      <c r="CW19" s="50">
        <f>BT19</f>
        <v>8.7629999999999999</v>
      </c>
      <c r="DG19" s="50">
        <f>BQ19</f>
        <v>2</v>
      </c>
      <c r="DH19" s="50">
        <f>BS19</f>
        <v>2</v>
      </c>
      <c r="DI19" s="50">
        <f>BU19</f>
        <v>2</v>
      </c>
      <c r="DR19" s="240"/>
    </row>
    <row r="20" spans="5:122">
      <c r="E20">
        <v>50</v>
      </c>
      <c r="F20">
        <v>40.5</v>
      </c>
      <c r="G20">
        <v>14.1</v>
      </c>
      <c r="H20">
        <v>14.8</v>
      </c>
      <c r="I20">
        <v>27.6</v>
      </c>
      <c r="J20">
        <v>29.2</v>
      </c>
      <c r="K20" s="43"/>
      <c r="L20" s="44"/>
      <c r="M20" s="35"/>
      <c r="X20" s="177">
        <v>213</v>
      </c>
      <c r="Y20" s="48" t="s">
        <v>16</v>
      </c>
      <c r="Z20" s="165">
        <f>IF(Solution!AF43=0,0,50.4)</f>
        <v>50.4</v>
      </c>
      <c r="AA20" s="165">
        <f>IF(Solution!AF43=0,0,34.3+'GPS Anthro Tool'!$B$41)</f>
        <v>36.299999999999997</v>
      </c>
      <c r="AB20" s="165">
        <f>IF(Solution!AF43=0,0,24.7+'GPS Anthro Tool'!$B$41)</f>
        <v>26.7</v>
      </c>
      <c r="AC20" s="165">
        <f>IF(Solution!AF43=0,0,18)</f>
        <v>18</v>
      </c>
      <c r="AD20" s="165">
        <f>IF(Solution!AF43=0,0,3.39)</f>
        <v>3.39</v>
      </c>
      <c r="AE20" s="165">
        <f>IF(Solution!AF43=0,0,12)</f>
        <v>12</v>
      </c>
      <c r="AF20" s="165">
        <f>IF(Solution!AF43=0,0,7)</f>
        <v>7</v>
      </c>
      <c r="AH20">
        <v>0</v>
      </c>
      <c r="AK20" s="118"/>
      <c r="AL20" s="160">
        <f>AC19/2</f>
        <v>7.5</v>
      </c>
      <c r="AM20" s="161">
        <f>AB19</f>
        <v>19</v>
      </c>
      <c r="AN20" s="162">
        <f>(-AE19/2)*0.92</f>
        <v>-4.1400000000000006</v>
      </c>
      <c r="AO20" s="162">
        <f>-AF19*0.92/2-'GPS Anthro Tool'!$B$42</f>
        <v>-4.07</v>
      </c>
      <c r="AS20" s="115" t="s">
        <v>313</v>
      </c>
      <c r="AT20" s="116"/>
      <c r="AU20" s="191">
        <f>IF(AL19=0,0,AL22)</f>
        <v>6.4418181818181814</v>
      </c>
      <c r="AV20" s="191">
        <f>AM19</f>
        <v>19</v>
      </c>
      <c r="AW20" s="116"/>
      <c r="AX20" s="192">
        <f>-AU20</f>
        <v>-6.4418181818181814</v>
      </c>
      <c r="AY20" s="192">
        <f>AV20</f>
        <v>19</v>
      </c>
      <c r="BG20" s="741"/>
      <c r="BH20" s="743"/>
      <c r="BI20" s="220">
        <f>IF('GPS Anthro Tool'!$B$31=0,0,-'Big Data'!W56*0.9/2)</f>
        <v>-4.2290999999999999</v>
      </c>
      <c r="BJ20" s="221">
        <f>IF('GPS Anthro Tool'!$B$31=0,0,'Big Data'!AU56+'GPS Anthro Tool'!$B$41)</f>
        <v>5.048</v>
      </c>
      <c r="BK20" s="220">
        <f>IF('GPS Anthro Tool'!$B$31=0,0,-'Big Data'!X56*0.9/2)</f>
        <v>-6.0579000000000001</v>
      </c>
      <c r="BL20" s="221">
        <f>IF('GPS Anthro Tool'!$B$31=0,0,'Big Data'!AV56+'GPS Anthro Tool'!$B$41)</f>
        <v>7.3340000000000005</v>
      </c>
      <c r="BM20" s="222">
        <f>IF('GPS Anthro Tool'!$B$31=0,0,-'Big Data'!Y56*0.9/2)</f>
        <v>-7.8867000000000003</v>
      </c>
      <c r="BN20" s="221">
        <f>IF('GPS Anthro Tool'!$B$31=0,0,'Big Data'!AW56+'GPS Anthro Tool'!$B$41)</f>
        <v>9.620000000000001</v>
      </c>
      <c r="BO20" s="215"/>
      <c r="BP20" s="220">
        <f t="shared" ref="BP20:BR21" si="20">-BI20</f>
        <v>4.2290999999999999</v>
      </c>
      <c r="BQ20" s="221">
        <f t="shared" si="17"/>
        <v>5.048</v>
      </c>
      <c r="BR20" s="220">
        <f t="shared" si="20"/>
        <v>6.0579000000000001</v>
      </c>
      <c r="BS20" s="221">
        <f t="shared" si="18"/>
        <v>7.3340000000000005</v>
      </c>
      <c r="BT20" s="222">
        <f>-BM20</f>
        <v>7.8867000000000003</v>
      </c>
      <c r="BU20" s="221">
        <f t="shared" si="19"/>
        <v>9.620000000000001</v>
      </c>
      <c r="BW20" t="s">
        <v>420</v>
      </c>
      <c r="BX20" s="258">
        <f>IF('GPS Anthro Tool'!$B$21=1,-CD20,0)</f>
        <v>0</v>
      </c>
      <c r="BY20" s="254">
        <f>IF('GPS Anthro Tool'!$B$21=1,CE20,0)</f>
        <v>0</v>
      </c>
      <c r="BZ20" s="251">
        <v>0</v>
      </c>
      <c r="CA20" s="258">
        <f>IF('GPS Anthro Tool'!$B$21=1,-CG20,0)</f>
        <v>-6.7309999999999999</v>
      </c>
      <c r="CB20" s="254">
        <f>IF('GPS Anthro Tool'!$B$21=1,CH20,0)</f>
        <v>0</v>
      </c>
      <c r="CC20" s="251">
        <v>0</v>
      </c>
      <c r="CD20" s="258">
        <f>IF('GPS Anthro Tool'!$B$27=0,0,IF('GPS Anthro Tool'!$B$20=0,SMALL(BD36:BD43,COUNTIF(BD36:BD43,0)+1),0))</f>
        <v>0</v>
      </c>
      <c r="CE20" s="254">
        <v>0</v>
      </c>
      <c r="CF20" s="251">
        <v>0</v>
      </c>
      <c r="CG20" s="259">
        <f>IF('GPS Anthro Tool'!$B$27=0,0,IF('GPS Anthro Tool'!$B$20=1,MAX(BD36:BD43),0))</f>
        <v>6.7309999999999999</v>
      </c>
      <c r="CH20" s="255">
        <v>0</v>
      </c>
      <c r="CI20" s="256">
        <v>0</v>
      </c>
      <c r="CU20" s="239">
        <f>BP23</f>
        <v>6.2229999999999999</v>
      </c>
      <c r="CV20" s="50">
        <f>BR23</f>
        <v>7.7469999999999999</v>
      </c>
      <c r="CW20" s="50">
        <f>BT23</f>
        <v>0</v>
      </c>
      <c r="CX20" s="50">
        <f>BP20</f>
        <v>4.2290999999999999</v>
      </c>
      <c r="CY20" s="50">
        <f>BR20</f>
        <v>6.0579000000000001</v>
      </c>
      <c r="CZ20" s="50">
        <f>BT20</f>
        <v>7.8867000000000003</v>
      </c>
      <c r="DG20" s="50">
        <f>BQ23</f>
        <v>2</v>
      </c>
      <c r="DH20" s="50">
        <f>BS23</f>
        <v>2</v>
      </c>
      <c r="DI20" s="50">
        <f>BU23</f>
        <v>2</v>
      </c>
      <c r="DJ20" s="50">
        <f>BQ20</f>
        <v>5.048</v>
      </c>
      <c r="DK20" s="50">
        <f>BS20</f>
        <v>7.3340000000000005</v>
      </c>
      <c r="DL20" s="50">
        <f>BU20</f>
        <v>9.620000000000001</v>
      </c>
      <c r="DR20" s="240"/>
    </row>
    <row r="21" spans="5:122" ht="13.5" thickBot="1">
      <c r="E21" s="64">
        <v>55</v>
      </c>
      <c r="F21" s="64">
        <v>42</v>
      </c>
      <c r="G21" s="64">
        <v>16.100000000000001</v>
      </c>
      <c r="H21" s="64">
        <v>15.4</v>
      </c>
      <c r="I21" s="64">
        <v>27.8</v>
      </c>
      <c r="J21" s="64">
        <v>29.4</v>
      </c>
      <c r="K21" s="79"/>
      <c r="L21" s="69"/>
      <c r="M21" s="66"/>
      <c r="X21" s="176" t="s">
        <v>381</v>
      </c>
      <c r="Y21" s="175" t="s">
        <v>302</v>
      </c>
      <c r="Z21" s="165">
        <f>IF(Solution!AF44=0,0,66.68)</f>
        <v>66.680000000000007</v>
      </c>
      <c r="AA21" s="165">
        <f>IF(Solution!AF44=0,0,44.45+'GPS Anthro Tool'!$B$41)</f>
        <v>46.45</v>
      </c>
      <c r="AB21" s="165">
        <f>IF(Solution!AF44=0,0,27+'GPS Anthro Tool'!$B$41)</f>
        <v>29</v>
      </c>
      <c r="AC21" s="165">
        <f>IF(Solution!AF44=0,0,19)</f>
        <v>19</v>
      </c>
      <c r="AD21" s="165">
        <f>IF(Solution!AF44=0,0,7.91)</f>
        <v>7.91</v>
      </c>
      <c r="AE21" s="165">
        <f>IF(Solution!AF44=0,0,15)</f>
        <v>15</v>
      </c>
      <c r="AF21" s="165">
        <f>IF(Solution!AF44=0,0,11)</f>
        <v>11</v>
      </c>
      <c r="AH21">
        <v>0</v>
      </c>
      <c r="AK21" s="118"/>
      <c r="AL21" s="84">
        <v>-6.4418181818181814</v>
      </c>
      <c r="AM21" s="143"/>
      <c r="AN21" s="162">
        <f>-AF19*0.92*0.4</f>
        <v>-1.6560000000000004</v>
      </c>
      <c r="AO21" s="466">
        <f>-AF19*0.92-'GPS Anthro Tool'!$B$42</f>
        <v>-6.1400000000000006</v>
      </c>
      <c r="AS21" s="115" t="s">
        <v>312</v>
      </c>
      <c r="AT21" s="116"/>
      <c r="AU21" s="191">
        <f>((AU22-AU20)/2)+AU20*1.08</f>
        <v>7.4862545454545453</v>
      </c>
      <c r="AV21" s="191">
        <f>((AV20-AV22)*0.75)+AV22</f>
        <v>18.735454545454544</v>
      </c>
      <c r="AW21" s="116"/>
      <c r="AX21" s="192">
        <f>-AU21</f>
        <v>-7.4862545454545453</v>
      </c>
      <c r="AY21" s="192">
        <f>AV21</f>
        <v>18.735454545454544</v>
      </c>
      <c r="BG21" s="741"/>
      <c r="BH21" s="743"/>
      <c r="BI21" s="220">
        <f>IF('GPS Anthro Tool'!$B$31=0,0,-'Big Data'!W56*0.1/2-1.9)</f>
        <v>-2.3698999999999999</v>
      </c>
      <c r="BJ21" s="221">
        <f>IF('GPS Anthro Tool'!$B$31=0,0,'Big Data'!AU56+'GPS Anthro Tool'!$B$41)</f>
        <v>5.048</v>
      </c>
      <c r="BK21" s="220">
        <f>IF('GPS Anthro Tool'!$B$31=0,0,-'Big Data'!X56*0.1/2-1.9)</f>
        <v>-2.5731000000000002</v>
      </c>
      <c r="BL21" s="221">
        <f>IF('GPS Anthro Tool'!$B$31=0,0,'Big Data'!AV56+'GPS Anthro Tool'!$B$41)</f>
        <v>7.3340000000000005</v>
      </c>
      <c r="BM21" s="222">
        <f>IF('GPS Anthro Tool'!$B$31=0,0,-'Big Data'!Y56*0.1/2-1.9)</f>
        <v>-2.7763</v>
      </c>
      <c r="BN21" s="221">
        <f>IF('GPS Anthro Tool'!$B$31=0,0,'Big Data'!AW56+'GPS Anthro Tool'!$B$41)</f>
        <v>9.620000000000001</v>
      </c>
      <c r="BO21" s="215"/>
      <c r="BP21" s="220">
        <f t="shared" si="20"/>
        <v>2.3698999999999999</v>
      </c>
      <c r="BQ21" s="221">
        <f t="shared" si="17"/>
        <v>5.048</v>
      </c>
      <c r="BR21" s="220">
        <f t="shared" si="20"/>
        <v>2.5731000000000002</v>
      </c>
      <c r="BS21" s="221">
        <f t="shared" si="18"/>
        <v>7.3340000000000005</v>
      </c>
      <c r="BT21" s="222">
        <f>-BM21</f>
        <v>2.7763</v>
      </c>
      <c r="BU21" s="221">
        <f t="shared" si="19"/>
        <v>9.620000000000001</v>
      </c>
      <c r="BW21" t="s">
        <v>421</v>
      </c>
      <c r="BX21" s="258">
        <f>IF('GPS Anthro Tool'!$B$21=1,-CD21,0)</f>
        <v>0</v>
      </c>
      <c r="BY21" s="254">
        <f>IF('GPS Anthro Tool'!$B$21=1,CE21,0)</f>
        <v>0</v>
      </c>
      <c r="BZ21" s="251">
        <f>IF('GPS Anthro Tool'!$B$21=1,CF21,0)</f>
        <v>0</v>
      </c>
      <c r="CA21" s="258">
        <f>IF('GPS Anthro Tool'!$B$21=1,-CG21,0)</f>
        <v>-7.8867000000000003</v>
      </c>
      <c r="CB21" s="254">
        <f>IF('GPS Anthro Tool'!$B$21=1,CH21,0)</f>
        <v>-11.620000000000001</v>
      </c>
      <c r="CC21" s="251">
        <f>IF('GPS Anthro Tool'!$B$21=1,CI21,0)</f>
        <v>9.620000000000001</v>
      </c>
      <c r="CD21" s="258">
        <f>IF('GPS Anthro Tool'!$B$27=0,0,IF('GPS Anthro Tool'!$B$20=0,SMALL(CX20:CZ34,COUNTIF(CX20:CZ34,0)+1),0))</f>
        <v>0</v>
      </c>
      <c r="CE21" s="254">
        <f>IF('GPS Anthro Tool'!$B$27=0,0,IF('GPS Anthro Tool'!$B$20=0,-SMALL(DJ20:DL34,COUNTIF(DJ20:DL34,0)+1)-'GPS Anthro Tool'!$B$42,0))</f>
        <v>0</v>
      </c>
      <c r="CF21" s="251">
        <f>IF('GPS Anthro Tool'!$B$27=0,0,IF('GPS Anthro Tool'!$B$20=0,SMALL(DJ20:DL34,COUNTIF(DJ20:DL34,0)+1),0))</f>
        <v>0</v>
      </c>
      <c r="CG21" s="259">
        <f>IF('GPS Anthro Tool'!$B$27=0,0,IF('GPS Anthro Tool'!$B$20=1,MAX(CX20:CZ34),0))</f>
        <v>7.8867000000000003</v>
      </c>
      <c r="CH21" s="255">
        <f>IF('GPS Anthro Tool'!$B$27=0,0,IF('GPS Anthro Tool'!$B$20=1,-MAX(DJ20:DL34)-'GPS Anthro Tool'!$B$42,0))</f>
        <v>-11.620000000000001</v>
      </c>
      <c r="CI21" s="256">
        <f>IF('GPS Anthro Tool'!$B$27=0,0,IF('GPS Anthro Tool'!$B$20=1,MAX(DJ20:DL34),0))</f>
        <v>9.620000000000001</v>
      </c>
      <c r="CU21" s="239">
        <f>BP27</f>
        <v>7.4930000000000003</v>
      </c>
      <c r="CV21" s="50">
        <f>BR27</f>
        <v>8.5090000000000003</v>
      </c>
      <c r="CW21" s="50">
        <f>BT27</f>
        <v>0</v>
      </c>
      <c r="CX21" s="50">
        <f>BP24</f>
        <v>5.6006999999999998</v>
      </c>
      <c r="CY21" s="50">
        <f>BR24</f>
        <v>6.9722999999999997</v>
      </c>
      <c r="CZ21" s="50">
        <f>BT24</f>
        <v>0</v>
      </c>
      <c r="DA21" s="50">
        <f>BP21</f>
        <v>2.3698999999999999</v>
      </c>
      <c r="DB21" s="50">
        <f>BR21</f>
        <v>2.5731000000000002</v>
      </c>
      <c r="DC21" s="50">
        <f>BT21</f>
        <v>2.7763</v>
      </c>
      <c r="DG21" s="50">
        <f>BQ27</f>
        <v>2</v>
      </c>
      <c r="DH21" s="50">
        <f>BS27</f>
        <v>2</v>
      </c>
      <c r="DI21" s="50">
        <f>BU27</f>
        <v>2</v>
      </c>
      <c r="DJ21" s="50">
        <f>BQ24</f>
        <v>5.3019999999999996</v>
      </c>
      <c r="DK21" s="50">
        <f>BS24</f>
        <v>8.35</v>
      </c>
      <c r="DL21" s="50">
        <f>BU24</f>
        <v>2</v>
      </c>
      <c r="DM21" s="50">
        <f>BQ21</f>
        <v>5.048</v>
      </c>
      <c r="DN21" s="50">
        <f>BS21</f>
        <v>7.3340000000000005</v>
      </c>
      <c r="DO21" s="50">
        <f>BU21</f>
        <v>9.620000000000001</v>
      </c>
      <c r="DR21" s="240"/>
    </row>
    <row r="22" spans="5:122" ht="13.5" thickBot="1">
      <c r="E22" s="93">
        <v>60</v>
      </c>
      <c r="F22" s="81">
        <v>43.5</v>
      </c>
      <c r="G22" s="81">
        <v>18.100000000000001</v>
      </c>
      <c r="H22" s="81">
        <v>16</v>
      </c>
      <c r="I22" s="81">
        <v>28</v>
      </c>
      <c r="J22" s="81">
        <v>29.6</v>
      </c>
      <c r="K22" s="71"/>
      <c r="L22" s="69"/>
      <c r="M22" s="78"/>
      <c r="N22" s="64"/>
      <c r="X22" s="178" t="s">
        <v>382</v>
      </c>
      <c r="Y22" s="49" t="s">
        <v>118</v>
      </c>
      <c r="Z22" s="162">
        <f>IF(Solution!AF45=0,0,63.3221476510067)</f>
        <v>0</v>
      </c>
      <c r="AA22" s="162">
        <f>IF(Solution!AF45=0,0,35.5+'GPS Anthro Tool'!$B$41)</f>
        <v>0</v>
      </c>
      <c r="AB22" s="162">
        <f>IF(Solution!AF45=0,0,25.5+'GPS Anthro Tool'!$B$41)</f>
        <v>0</v>
      </c>
      <c r="AC22" s="162">
        <f>IF(Solution!AF45=0,0,14.5)</f>
        <v>0</v>
      </c>
      <c r="AD22" s="162">
        <f>IF(Solution!AF45=0,0,3.47)</f>
        <v>0</v>
      </c>
      <c r="AE22" s="164">
        <f>IF(Solution!AF45=0,0,9.22)</f>
        <v>0</v>
      </c>
      <c r="AF22" s="164">
        <f>IF(Solution!AF45=0,0,0.67*AE22)</f>
        <v>0</v>
      </c>
      <c r="AH22">
        <v>0</v>
      </c>
      <c r="AK22" s="118"/>
      <c r="AL22" s="84">
        <v>6.4418181818181814</v>
      </c>
      <c r="AM22" s="143"/>
      <c r="AN22" s="162">
        <v>0</v>
      </c>
      <c r="AO22" s="466">
        <f>-AF19-'GPS Anthro Tool'!$B$42</f>
        <v>-6.5</v>
      </c>
      <c r="AS22" s="115" t="s">
        <v>314</v>
      </c>
      <c r="AT22" s="116"/>
      <c r="AU22" s="191">
        <f>AL20</f>
        <v>7.5</v>
      </c>
      <c r="AV22" s="191">
        <f>AV20-(AU22-AU20)</f>
        <v>17.941818181818181</v>
      </c>
      <c r="AW22" s="116"/>
      <c r="AX22" s="192">
        <f>-AU22</f>
        <v>-7.5</v>
      </c>
      <c r="AY22" s="192">
        <f>AV22</f>
        <v>17.941818181818181</v>
      </c>
      <c r="BG22" s="741"/>
      <c r="BH22" s="744"/>
      <c r="BI22" s="223">
        <f>IF('GPS Anthro Tool'!$B$31=0,0,IF(BI21=0,0,-1.9))</f>
        <v>-1.9</v>
      </c>
      <c r="BJ22" s="224">
        <f>'GPS Anthro Tool'!$B$41</f>
        <v>2</v>
      </c>
      <c r="BK22" s="223">
        <f>IF('GPS Anthro Tool'!$B$31=0,0,-1.9)</f>
        <v>-1.9</v>
      </c>
      <c r="BL22" s="224">
        <f>'GPS Anthro Tool'!$B$41</f>
        <v>2</v>
      </c>
      <c r="BM22" s="225">
        <f>IF('GPS Anthro Tool'!$B$31=0,0,-1.9)</f>
        <v>-1.9</v>
      </c>
      <c r="BN22" s="224">
        <f>'GPS Anthro Tool'!$B$41</f>
        <v>2</v>
      </c>
      <c r="BO22" s="215"/>
      <c r="BP22" s="223">
        <f>IF(BP21=0,0,1.9)</f>
        <v>1.9</v>
      </c>
      <c r="BQ22" s="224">
        <f t="shared" si="17"/>
        <v>2</v>
      </c>
      <c r="BR22" s="223">
        <f>IF(BR21=0,0,1.9)</f>
        <v>1.9</v>
      </c>
      <c r="BS22" s="224">
        <f t="shared" si="18"/>
        <v>2</v>
      </c>
      <c r="BT22" s="225">
        <f>IF(BT21=0,0,1.9)</f>
        <v>1.9</v>
      </c>
      <c r="BU22" s="224">
        <f t="shared" si="19"/>
        <v>2</v>
      </c>
      <c r="BW22" t="s">
        <v>422</v>
      </c>
      <c r="BX22" s="260">
        <f>IF('GPS Anthro Tool'!$B$21=1,-CD22,0)</f>
        <v>0</v>
      </c>
      <c r="BY22" s="254">
        <f>IF('GPS Anthro Tool'!$B$21=1,CE22,0)</f>
        <v>0</v>
      </c>
      <c r="BZ22" s="252">
        <f>IF('GPS Anthro Tool'!$B$21=1,CF22,0)</f>
        <v>0</v>
      </c>
      <c r="CA22" s="260">
        <f>IF('GPS Anthro Tool'!$B$21=1,-CG22,0)</f>
        <v>-4.5</v>
      </c>
      <c r="CB22" s="254">
        <f>IF('GPS Anthro Tool'!$B$21=1,CH22,0)</f>
        <v>-15.176</v>
      </c>
      <c r="CC22" s="252">
        <f>IF('GPS Anthro Tool'!$B$21=1,CI22,0)</f>
        <v>13.506000000000002</v>
      </c>
      <c r="CD22" s="260">
        <f>IF('GPS Anthro Tool'!$B$27=0,0,IF('GPS Anthro Tool'!$B$20=0,4.5,0))</f>
        <v>0</v>
      </c>
      <c r="CE22" s="257">
        <f>IF('GPS Anthro Tool'!$B$27=0,0,IF('GPS Anthro Tool'!$B$20=0,-SMALL('Big Data'!AI3:AK45,COUNTIF('Big Data'!AI3:AK45,0)+1)-'GPS Anthro Tool'!$B$42,0))</f>
        <v>0</v>
      </c>
      <c r="CF22" s="252">
        <f>IF('GPS Anthro Tool'!$B$27=0,0,IF('GPS Anthro Tool'!$B$20=0,CA45+1,0))</f>
        <v>0</v>
      </c>
      <c r="CG22" s="260">
        <f>IF('GPS Anthro Tool'!$B$27=0,0,IF('GPS Anthro Tool'!$B$20=1,4.5,0))</f>
        <v>4.5</v>
      </c>
      <c r="CH22" s="257">
        <f>IF('GPS Anthro Tool'!$B$27=0,0,IF('GPS Anthro Tool'!$B$20=1,-MAX('Big Data'!AI3:AK45)-'GPS Anthro Tool'!$B$42,0))</f>
        <v>-15.176</v>
      </c>
      <c r="CI22" s="252">
        <f>IF('GPS Anthro Tool'!$B$27=0,0,IF('GPS Anthro Tool'!$B$20=1,CH45+1,0))</f>
        <v>13.506000000000002</v>
      </c>
      <c r="CU22" s="239">
        <f>BP31</f>
        <v>6.9850000000000003</v>
      </c>
      <c r="CV22" s="50">
        <f>BR31</f>
        <v>0</v>
      </c>
      <c r="CW22" s="50">
        <f>BT31</f>
        <v>0</v>
      </c>
      <c r="CX22" s="50">
        <f>BP28</f>
        <v>6.7437000000000005</v>
      </c>
      <c r="CY22" s="50">
        <f>BR28</f>
        <v>7.6581000000000001</v>
      </c>
      <c r="CZ22" s="50">
        <f>BT28</f>
        <v>0</v>
      </c>
      <c r="DA22" s="50">
        <f>BP25</f>
        <v>2.5223</v>
      </c>
      <c r="DB22" s="50">
        <f>BR25</f>
        <v>2.6747000000000001</v>
      </c>
      <c r="DC22" s="50">
        <f>BT25</f>
        <v>1.9</v>
      </c>
      <c r="DD22" s="50">
        <f>BP22</f>
        <v>1.9</v>
      </c>
      <c r="DE22" s="50">
        <f>BR22</f>
        <v>1.9</v>
      </c>
      <c r="DF22" s="50">
        <f>BT22</f>
        <v>1.9</v>
      </c>
      <c r="DG22" s="50">
        <f>BQ31</f>
        <v>2</v>
      </c>
      <c r="DH22" s="50">
        <f>BS31</f>
        <v>2</v>
      </c>
      <c r="DI22" s="50">
        <f>BU31</f>
        <v>2</v>
      </c>
      <c r="DJ22" s="50">
        <f>BQ28</f>
        <v>5.8100000000000005</v>
      </c>
      <c r="DK22" s="50">
        <f>BS28</f>
        <v>8.8580000000000005</v>
      </c>
      <c r="DL22" s="50">
        <f>BU28</f>
        <v>2</v>
      </c>
      <c r="DM22" s="50">
        <f>BQ25</f>
        <v>5.3019999999999996</v>
      </c>
      <c r="DN22" s="50">
        <f>BS25</f>
        <v>8.35</v>
      </c>
      <c r="DO22" s="50">
        <f>BU25</f>
        <v>2</v>
      </c>
      <c r="DP22" s="50">
        <f>BQ22</f>
        <v>2</v>
      </c>
      <c r="DQ22" s="50">
        <f>BS22</f>
        <v>2</v>
      </c>
      <c r="DR22" s="241">
        <f>BU22</f>
        <v>2</v>
      </c>
    </row>
    <row r="23" spans="5:122" ht="12.95" customHeight="1">
      <c r="E23" s="94">
        <v>65</v>
      </c>
      <c r="F23" s="82">
        <v>45</v>
      </c>
      <c r="G23" s="82">
        <v>20.100000000000001</v>
      </c>
      <c r="H23" s="82">
        <v>17.2</v>
      </c>
      <c r="I23" s="82">
        <v>28.2</v>
      </c>
      <c r="J23" s="82">
        <v>29.8</v>
      </c>
      <c r="K23" s="45"/>
      <c r="L23" s="72"/>
      <c r="M23" s="47"/>
      <c r="N23" s="48"/>
      <c r="X23" s="178" t="s">
        <v>382</v>
      </c>
      <c r="Y23" s="49" t="s">
        <v>119</v>
      </c>
      <c r="Z23" s="162">
        <f>IF(Solution!AF46=0,0,74)</f>
        <v>0</v>
      </c>
      <c r="AA23" s="162">
        <f>IF(Solution!AF46=0,0,47.9+'GPS Anthro Tool'!$B$41)</f>
        <v>0</v>
      </c>
      <c r="AB23" s="162">
        <f>IF(Solution!AF46=0,0,29.8+'GPS Anthro Tool'!$B$41)</f>
        <v>0</v>
      </c>
      <c r="AC23" s="162">
        <f>IF(Solution!AF46=0,0,22.7)</f>
        <v>0</v>
      </c>
      <c r="AD23" s="162">
        <f>IF(Solution!AF46=0,0,9.6)</f>
        <v>0</v>
      </c>
      <c r="AE23" s="162">
        <f>IF(Solution!AF46=0,0,19.1)</f>
        <v>0</v>
      </c>
      <c r="AF23" s="164">
        <f>IF(Solution!AF46=0,0,0.67*AE23)</f>
        <v>0</v>
      </c>
      <c r="AH23">
        <v>0</v>
      </c>
      <c r="AK23" s="118"/>
      <c r="AL23" s="143"/>
      <c r="AM23" s="143"/>
      <c r="AN23" s="99">
        <f>AE19/2*0.92</f>
        <v>4.1400000000000006</v>
      </c>
      <c r="AO23" s="99">
        <f>AO22/2</f>
        <v>-3.25</v>
      </c>
      <c r="BG23" s="741"/>
      <c r="BH23" s="745">
        <v>2</v>
      </c>
      <c r="BI23" s="217">
        <f>IF('GPS Anthro Tool'!$B$31=0,0,-'Big Data'!W59/2)</f>
        <v>-6.2229999999999999</v>
      </c>
      <c r="BJ23" s="218">
        <f>'GPS Anthro Tool'!$B$41</f>
        <v>2</v>
      </c>
      <c r="BK23" s="217">
        <f>IF('GPS Anthro Tool'!$B$31=0,0,-'Big Data'!X59/2)</f>
        <v>-7.7469999999999999</v>
      </c>
      <c r="BL23" s="218">
        <f>'GPS Anthro Tool'!$B$41</f>
        <v>2</v>
      </c>
      <c r="BM23" s="219">
        <f>IF('GPS Anthro Tool'!$B$31=0,0,-'Big Data'!Y59/2)</f>
        <v>0</v>
      </c>
      <c r="BN23" s="218">
        <f>'GPS Anthro Tool'!$B$41</f>
        <v>2</v>
      </c>
      <c r="BO23" s="215"/>
      <c r="BP23" s="217">
        <f>-BI23</f>
        <v>6.2229999999999999</v>
      </c>
      <c r="BQ23" s="218">
        <f t="shared" si="17"/>
        <v>2</v>
      </c>
      <c r="BR23" s="217">
        <f>-BK23</f>
        <v>7.7469999999999999</v>
      </c>
      <c r="BS23" s="218">
        <f t="shared" si="18"/>
        <v>2</v>
      </c>
      <c r="BT23" s="219">
        <f>-BM23</f>
        <v>0</v>
      </c>
      <c r="BU23" s="218">
        <f t="shared" si="19"/>
        <v>2</v>
      </c>
      <c r="BW23" t="s">
        <v>423</v>
      </c>
      <c r="BX23" s="260">
        <f>IF('GPS Anthro Tool'!$B$21=1,-CD23,0)</f>
        <v>0</v>
      </c>
      <c r="BY23" s="254">
        <f>IF('GPS Anthro Tool'!$B$21=1,CE23,0)</f>
        <v>0</v>
      </c>
      <c r="BZ23" s="252">
        <f>IF('GPS Anthro Tool'!$B$21=1,CF23,0)</f>
        <v>0</v>
      </c>
      <c r="CA23" s="260">
        <f>IF('GPS Anthro Tool'!$B$21=1,-CG23,0)</f>
        <v>-6</v>
      </c>
      <c r="CB23" s="254">
        <f>IF('GPS Anthro Tool'!$B$21=1,CH23,0)</f>
        <v>-15.176</v>
      </c>
      <c r="CC23" s="252">
        <f>IF('GPS Anthro Tool'!$B$21=1,CI23,0)</f>
        <v>23.187199999999997</v>
      </c>
      <c r="CD23" s="260">
        <f>IF('GPS Anthro Tool'!$B$27=0,0,IF('GPS Anthro Tool'!$B$20=0,6,0))</f>
        <v>0</v>
      </c>
      <c r="CE23" s="257">
        <f>IF('GPS Anthro Tool'!$B$27=0,0,IF('GPS Anthro Tool'!$B$20=0,-SMALL('Big Data'!AI3:AK45,COUNTIF('Big Data'!AI3:AK45,0)+1)-'GPS Anthro Tool'!$B$42,0))</f>
        <v>0</v>
      </c>
      <c r="CF23" s="252">
        <f>IF('GPS Anthro Tool'!$B$27=0,0,IF('GPS Anthro Tool'!$B$20=0,CA44-3,0))</f>
        <v>0</v>
      </c>
      <c r="CG23" s="260">
        <f>IF('GPS Anthro Tool'!$B$27=0,0,IF('GPS Anthro Tool'!$B$20=1,6,0))</f>
        <v>6</v>
      </c>
      <c r="CH23" s="257">
        <f>IF('GPS Anthro Tool'!$B$27=0,0,IF('GPS Anthro Tool'!$B$20=1,-MAX('Big Data'!AI3:AK45)-'GPS Anthro Tool'!$B$42,0))</f>
        <v>-15.176</v>
      </c>
      <c r="CI23" s="252">
        <f>IF('GPS Anthro Tool'!$B$27=0,0,IF('GPS Anthro Tool'!$B$20=1,CH44-3,0))</f>
        <v>23.187199999999997</v>
      </c>
      <c r="CU23" s="239">
        <f>BP35</f>
        <v>0</v>
      </c>
      <c r="CV23" s="50">
        <f>BR35</f>
        <v>0</v>
      </c>
      <c r="CW23" s="50">
        <f>BT35</f>
        <v>0</v>
      </c>
      <c r="CX23" s="50">
        <f>BP32</f>
        <v>6.2865000000000002</v>
      </c>
      <c r="CY23" s="50">
        <f>BR32</f>
        <v>0</v>
      </c>
      <c r="CZ23" s="50">
        <f>BT32</f>
        <v>0</v>
      </c>
      <c r="DA23" s="50">
        <f>BP29</f>
        <v>2.6493000000000002</v>
      </c>
      <c r="DB23" s="50">
        <f>BR29</f>
        <v>2.7509000000000001</v>
      </c>
      <c r="DC23" s="50">
        <f>BT29</f>
        <v>1.9</v>
      </c>
      <c r="DD23" s="50">
        <f>BP26</f>
        <v>1.9</v>
      </c>
      <c r="DE23" s="50">
        <f>BR26</f>
        <v>1.9</v>
      </c>
      <c r="DF23" s="50">
        <f>BT26</f>
        <v>1.9</v>
      </c>
      <c r="DG23" s="50">
        <f>BQ35</f>
        <v>2</v>
      </c>
      <c r="DH23" s="50">
        <f>BS35</f>
        <v>2</v>
      </c>
      <c r="DI23" s="50">
        <f>BU35</f>
        <v>2</v>
      </c>
      <c r="DJ23" s="50">
        <f>BQ32</f>
        <v>6.8259999999999987</v>
      </c>
      <c r="DK23" s="50">
        <f>BS32</f>
        <v>2</v>
      </c>
      <c r="DL23" s="50">
        <f>BU32</f>
        <v>2</v>
      </c>
      <c r="DM23" s="50">
        <f>BQ29</f>
        <v>5.8100000000000005</v>
      </c>
      <c r="DN23" s="50">
        <f>BS29</f>
        <v>8.8580000000000005</v>
      </c>
      <c r="DO23" s="50">
        <f>BU29</f>
        <v>2</v>
      </c>
      <c r="DP23" s="50">
        <f>BQ26</f>
        <v>2</v>
      </c>
      <c r="DQ23" s="50">
        <f>BS26</f>
        <v>2</v>
      </c>
      <c r="DR23" s="241">
        <f>BU26</f>
        <v>2</v>
      </c>
    </row>
    <row r="24" spans="5:122" ht="12.95" customHeight="1">
      <c r="E24" s="82">
        <v>70</v>
      </c>
      <c r="F24" s="82">
        <v>47.1</v>
      </c>
      <c r="G24" s="82">
        <v>22.1</v>
      </c>
      <c r="H24" s="82">
        <v>18.399999999999999</v>
      </c>
      <c r="I24" s="82">
        <v>28.3</v>
      </c>
      <c r="J24" s="82">
        <v>30</v>
      </c>
      <c r="K24" s="45"/>
      <c r="L24" s="72"/>
      <c r="M24" s="47"/>
      <c r="N24" s="48"/>
      <c r="X24" s="177">
        <v>213</v>
      </c>
      <c r="Y24" s="48" t="s">
        <v>128</v>
      </c>
      <c r="Z24" s="163">
        <f>IF(Solution!AF47=0,0,74.7)</f>
        <v>74.7</v>
      </c>
      <c r="AA24" s="163">
        <f>IF(Solution!AF47=0,0,48+'GPS Anthro Tool'!$B$41)</f>
        <v>50</v>
      </c>
      <c r="AB24" s="163">
        <f>IF(Solution!AF47=0,0,30.7+'GPS Anthro Tool'!$B$41)</f>
        <v>32.700000000000003</v>
      </c>
      <c r="AC24" s="163">
        <f>IF(Solution!AF47=0,0,21.3)</f>
        <v>21.3</v>
      </c>
      <c r="AD24" s="163">
        <f>IF(Solution!AF47=0,0,9.97)</f>
        <v>9.9700000000000006</v>
      </c>
      <c r="AE24" s="163">
        <f>IF(Solution!AF47=0,0,17)</f>
        <v>17</v>
      </c>
      <c r="AF24" s="165">
        <f>IF(Solution!AF47=0,0,11.39)</f>
        <v>11.39</v>
      </c>
      <c r="AH24">
        <v>0</v>
      </c>
      <c r="AK24" s="118"/>
      <c r="AL24" s="143"/>
      <c r="AM24" s="143"/>
      <c r="AN24" s="99">
        <f>AE19/2</f>
        <v>4.5</v>
      </c>
      <c r="AO24" s="99">
        <f>-'GPS Anthro Tool'!$B$42</f>
        <v>-2</v>
      </c>
      <c r="BG24" s="741"/>
      <c r="BH24" s="746"/>
      <c r="BI24" s="220">
        <f>IF('GPS Anthro Tool'!$B$31=0,0,-'Big Data'!W59*0.9/2)</f>
        <v>-5.6006999999999998</v>
      </c>
      <c r="BJ24" s="221">
        <f>IF('GPS Anthro Tool'!$B$31=0,0,'Big Data'!AU59+'GPS Anthro Tool'!$B$41)</f>
        <v>5.3019999999999996</v>
      </c>
      <c r="BK24" s="220">
        <f>IF('GPS Anthro Tool'!$B$31=0,0,-'Big Data'!X59*0.9/2)</f>
        <v>-6.9722999999999997</v>
      </c>
      <c r="BL24" s="221">
        <f>IF('GPS Anthro Tool'!$B$31=0,0,'Big Data'!AV59+'GPS Anthro Tool'!$B$41)</f>
        <v>8.35</v>
      </c>
      <c r="BM24" s="222">
        <f>IF('GPS Anthro Tool'!$B$31=0,0,-'Big Data'!Y59*0.9/2)</f>
        <v>0</v>
      </c>
      <c r="BN24" s="221">
        <f>IF('GPS Anthro Tool'!$B$31=0,0,'Big Data'!AW59+'GPS Anthro Tool'!$B$41)</f>
        <v>2</v>
      </c>
      <c r="BO24" s="215"/>
      <c r="BP24" s="220">
        <f>-BI24</f>
        <v>5.6006999999999998</v>
      </c>
      <c r="BQ24" s="221">
        <f t="shared" si="17"/>
        <v>5.3019999999999996</v>
      </c>
      <c r="BR24" s="220">
        <f>-BK24</f>
        <v>6.9722999999999997</v>
      </c>
      <c r="BS24" s="221">
        <f t="shared" si="18"/>
        <v>8.35</v>
      </c>
      <c r="BT24" s="222">
        <f>-BM24</f>
        <v>0</v>
      </c>
      <c r="BU24" s="221">
        <f t="shared" si="19"/>
        <v>2</v>
      </c>
      <c r="BW24" t="s">
        <v>424</v>
      </c>
      <c r="BX24" s="260">
        <f>IF('GPS Anthro Tool'!$B$21=1,-CD24,0)</f>
        <v>0</v>
      </c>
      <c r="BY24" s="254">
        <f>IF('GPS Anthro Tool'!$B$21=1,CE24,0)</f>
        <v>0</v>
      </c>
      <c r="BZ24" s="252">
        <f>IF('GPS Anthro Tool'!$B$21=1,CF24,0)</f>
        <v>0</v>
      </c>
      <c r="CA24" s="260">
        <f>IF('GPS Anthro Tool'!$B$21=1,-CG24,0)</f>
        <v>-6.5</v>
      </c>
      <c r="CB24" s="254">
        <f>IF('GPS Anthro Tool'!$B$21=1,CH24,0)</f>
        <v>-15.176</v>
      </c>
      <c r="CC24" s="252">
        <f>IF('GPS Anthro Tool'!$B$21=1,CI24,0)</f>
        <v>28.687199999999997</v>
      </c>
      <c r="CD24" s="260">
        <f>IF('GPS Anthro Tool'!$B$27=0,0,IF('GPS Anthro Tool'!$B$20=0,CD23+0.5,0))</f>
        <v>0</v>
      </c>
      <c r="CE24" s="257">
        <f>IF('GPS Anthro Tool'!$B$27=0,0,IF('GPS Anthro Tool'!$B$20=0,-SMALL('Big Data'!AI3:AK45,COUNTIF('Big Data'!AI3:AK45,0)+1)-'GPS Anthro Tool'!$B$42,0))</f>
        <v>0</v>
      </c>
      <c r="CF24" s="252">
        <f>IF('GPS Anthro Tool'!$B$27=0,0,IF('GPS Anthro Tool'!$B$20=0,CF23+5.5,0))</f>
        <v>0</v>
      </c>
      <c r="CG24" s="260">
        <f>IF('GPS Anthro Tool'!$B$27=0,0,IF('GPS Anthro Tool'!$B$20=1,CG23+0.5,0))</f>
        <v>6.5</v>
      </c>
      <c r="CH24" s="257">
        <f>IF('GPS Anthro Tool'!$B$27=0,0,IF('GPS Anthro Tool'!$B$20=1,-MAX('Big Data'!AI3:AK45)-'GPS Anthro Tool'!$B$42,0))</f>
        <v>-15.176</v>
      </c>
      <c r="CI24" s="252">
        <f>IF('GPS Anthro Tool'!$B$27=0,0,IF('GPS Anthro Tool'!$B$20=1,CI23+5.5,0))</f>
        <v>28.687199999999997</v>
      </c>
      <c r="CU24" s="239">
        <f>BP39</f>
        <v>0</v>
      </c>
      <c r="CV24" s="50">
        <f>BR39</f>
        <v>0</v>
      </c>
      <c r="CW24" s="50">
        <f>BT39</f>
        <v>0</v>
      </c>
      <c r="CX24" s="50">
        <f>BP36</f>
        <v>0</v>
      </c>
      <c r="CY24" s="50">
        <f>BR36</f>
        <v>0</v>
      </c>
      <c r="CZ24" s="50">
        <f>BT36</f>
        <v>0</v>
      </c>
      <c r="DA24" s="50">
        <f>BP33</f>
        <v>2.5985</v>
      </c>
      <c r="DB24" s="50">
        <f>BR33</f>
        <v>1.9</v>
      </c>
      <c r="DC24" s="50">
        <f>BT33</f>
        <v>1.9</v>
      </c>
      <c r="DD24" s="50">
        <f>BP30</f>
        <v>1.9</v>
      </c>
      <c r="DE24" s="50">
        <f>BR30</f>
        <v>1.9</v>
      </c>
      <c r="DF24" s="50">
        <f>BT30</f>
        <v>1.9</v>
      </c>
      <c r="DG24" s="50">
        <f>BQ39</f>
        <v>2</v>
      </c>
      <c r="DH24" s="50">
        <f>BS39</f>
        <v>2</v>
      </c>
      <c r="DI24" s="50">
        <f>BU39</f>
        <v>2</v>
      </c>
      <c r="DJ24" s="50">
        <f>BQ36</f>
        <v>2</v>
      </c>
      <c r="DK24" s="50">
        <f>BS36</f>
        <v>2</v>
      </c>
      <c r="DL24" s="50">
        <f>BU36</f>
        <v>2</v>
      </c>
      <c r="DM24" s="50">
        <f>BQ33</f>
        <v>6.8259999999999987</v>
      </c>
      <c r="DN24" s="50">
        <f>BS33</f>
        <v>2</v>
      </c>
      <c r="DO24" s="50">
        <f>BU33</f>
        <v>2</v>
      </c>
      <c r="DP24" s="50">
        <f>BQ30</f>
        <v>2</v>
      </c>
      <c r="DQ24" s="50">
        <f>BS30</f>
        <v>2</v>
      </c>
      <c r="DR24" s="241">
        <f>BU30</f>
        <v>2</v>
      </c>
    </row>
    <row r="25" spans="5:122" ht="13.5" thickBot="1">
      <c r="E25" s="81">
        <v>75</v>
      </c>
      <c r="F25" s="81">
        <v>49.2</v>
      </c>
      <c r="G25" s="81">
        <v>24.1</v>
      </c>
      <c r="H25" s="81">
        <v>19.600000000000001</v>
      </c>
      <c r="I25" s="81">
        <v>28.4</v>
      </c>
      <c r="J25" s="81">
        <v>31.3</v>
      </c>
      <c r="K25" s="65"/>
      <c r="L25" s="73"/>
      <c r="M25" s="78"/>
      <c r="N25" s="67"/>
      <c r="O25" s="64"/>
      <c r="X25" s="178" t="s">
        <v>382</v>
      </c>
      <c r="Y25" s="49" t="s">
        <v>120</v>
      </c>
      <c r="Z25" s="162">
        <f>IF(Solution!AF48=0,0,80)</f>
        <v>0</v>
      </c>
      <c r="AA25" s="162">
        <f>IF(Solution!AF48=0,0,49.9+'GPS Anthro Tool'!$B$41)</f>
        <v>0</v>
      </c>
      <c r="AB25" s="162">
        <f>IF(Solution!AF48=0,0,30.9+'GPS Anthro Tool'!$B$41)</f>
        <v>0</v>
      </c>
      <c r="AC25" s="162">
        <f>IF(Solution!AF48=0,0,22.7)</f>
        <v>0</v>
      </c>
      <c r="AD25" s="162">
        <f>IF(Solution!AF48=0,0,11.1)</f>
        <v>0</v>
      </c>
      <c r="AE25" s="162">
        <f>IF(Solution!AF48=0,0,19.4)</f>
        <v>0</v>
      </c>
      <c r="AF25" s="164">
        <f>IF(Solution!AF48=0,0,0.67*AE25)</f>
        <v>0</v>
      </c>
      <c r="AH25">
        <v>0</v>
      </c>
      <c r="AN25" s="106"/>
      <c r="AO25" s="106"/>
      <c r="AP25" s="98"/>
      <c r="AQ25" s="42"/>
      <c r="AR25" s="113"/>
      <c r="BA25" t="s">
        <v>417</v>
      </c>
      <c r="BG25" s="741"/>
      <c r="BH25" s="746"/>
      <c r="BI25" s="220">
        <f>IF('GPS Anthro Tool'!$B$31=0,0,-'Big Data'!W59*0.1/2-1.9)</f>
        <v>-2.5223</v>
      </c>
      <c r="BJ25" s="221">
        <f>IF('GPS Anthro Tool'!$B$31=0,0,'Big Data'!AU59+'GPS Anthro Tool'!$B$41)</f>
        <v>5.3019999999999996</v>
      </c>
      <c r="BK25" s="220">
        <f>IF('GPS Anthro Tool'!$B$31=0,0,-'Big Data'!X59*0.1/2-1.9)</f>
        <v>-2.6747000000000001</v>
      </c>
      <c r="BL25" s="221">
        <f>IF('GPS Anthro Tool'!$B$31=0,0,'Big Data'!AV59+'GPS Anthro Tool'!$B$41)</f>
        <v>8.35</v>
      </c>
      <c r="BM25" s="222">
        <f>IF('GPS Anthro Tool'!$B$31=0,0,-'Big Data'!Y59*0.1/2-1.9)</f>
        <v>-1.9</v>
      </c>
      <c r="BN25" s="221">
        <f>IF('GPS Anthro Tool'!$B$31=0,0,'Big Data'!AW59+'GPS Anthro Tool'!$B$41)</f>
        <v>2</v>
      </c>
      <c r="BO25" s="215"/>
      <c r="BP25" s="220">
        <f>-BI25</f>
        <v>2.5223</v>
      </c>
      <c r="BQ25" s="221">
        <f t="shared" si="17"/>
        <v>5.3019999999999996</v>
      </c>
      <c r="BR25" s="220">
        <f>-BK25</f>
        <v>2.6747000000000001</v>
      </c>
      <c r="BS25" s="221">
        <f t="shared" si="18"/>
        <v>8.35</v>
      </c>
      <c r="BT25" s="222">
        <f>-BM25</f>
        <v>1.9</v>
      </c>
      <c r="BU25" s="221">
        <f t="shared" si="19"/>
        <v>2</v>
      </c>
      <c r="BW25" t="s">
        <v>425</v>
      </c>
      <c r="BX25" s="261">
        <f>IF('GPS Anthro Tool'!$B$21=1,-CD25,0)</f>
        <v>0</v>
      </c>
      <c r="BY25" s="254">
        <f>IF('GPS Anthro Tool'!$B$21=1,CE25,0)</f>
        <v>0</v>
      </c>
      <c r="BZ25" s="253">
        <f>IF('GPS Anthro Tool'!$B$21=1,CF25,0)</f>
        <v>0</v>
      </c>
      <c r="CA25" s="261">
        <f>IF('GPS Anthro Tool'!$B$21=1,-CG25,0)</f>
        <v>-7.2289999999999992</v>
      </c>
      <c r="CB25" s="254">
        <f>IF('GPS Anthro Tool'!$B$21=1,CH25,0)</f>
        <v>0</v>
      </c>
      <c r="CC25" s="253">
        <f>IF('GPS Anthro Tool'!$B$21=1,CI25,0)</f>
        <v>32.733999999999995</v>
      </c>
      <c r="CD25" s="261">
        <f>IF('GPS Anthro Tool'!$B$27=0,0,IF('GPS Anthro Tool'!$B$20=0,SMALL(BX3:BX14,COUNTIF(BX3:BX14,0)+1)+3.8,0))</f>
        <v>0</v>
      </c>
      <c r="CE25" s="250">
        <v>0</v>
      </c>
      <c r="CF25" s="253">
        <f>IF('GPS Anthro Tool'!$B$27=0,0,IF('GPS Anthro Tool'!$B$20=0,SMALL(BZ3:BZ14,COUNTIF(BZ3:BZ14,0)+1),0))</f>
        <v>0</v>
      </c>
      <c r="CG25" s="261">
        <f>IF('GPS Anthro Tool'!$B$27=0,0,IF('GPS Anthro Tool'!$B$20=1,MAX(BX3:BX14)+3.8,0))</f>
        <v>7.2289999999999992</v>
      </c>
      <c r="CH25" s="250">
        <v>0</v>
      </c>
      <c r="CI25" s="253">
        <f>IF('GPS Anthro Tool'!$B$27=0,0,IF('GPS Anthro Tool'!$B$20=1,MAX(BZ3:BZ14),0))</f>
        <v>32.733999999999995</v>
      </c>
      <c r="CU25" s="239">
        <f>BP43</f>
        <v>0</v>
      </c>
      <c r="CV25" s="50">
        <f>BR43</f>
        <v>0</v>
      </c>
      <c r="CW25" s="50">
        <f>BT43</f>
        <v>0</v>
      </c>
      <c r="CX25" s="50">
        <f>BP40</f>
        <v>0</v>
      </c>
      <c r="CY25" s="50">
        <f>BR40</f>
        <v>0</v>
      </c>
      <c r="CZ25" s="50">
        <f>BT40</f>
        <v>0</v>
      </c>
      <c r="DA25" s="50">
        <f>BP37</f>
        <v>1.9</v>
      </c>
      <c r="DB25" s="50">
        <f>BR37</f>
        <v>1.9</v>
      </c>
      <c r="DC25" s="50">
        <f>BT37</f>
        <v>1.9</v>
      </c>
      <c r="DD25" s="50">
        <f>BP34</f>
        <v>1.9</v>
      </c>
      <c r="DE25" s="50">
        <f>BR34</f>
        <v>1.9</v>
      </c>
      <c r="DF25" s="50">
        <f>BT34</f>
        <v>1.9</v>
      </c>
      <c r="DG25" s="50">
        <f>BQ43</f>
        <v>2</v>
      </c>
      <c r="DH25" s="50">
        <f>BS43</f>
        <v>2</v>
      </c>
      <c r="DI25" s="50">
        <f>BU43</f>
        <v>2</v>
      </c>
      <c r="DJ25" s="50">
        <f>BQ40</f>
        <v>2</v>
      </c>
      <c r="DK25" s="50">
        <f>BS40</f>
        <v>2</v>
      </c>
      <c r="DL25" s="50">
        <f>BU40</f>
        <v>2</v>
      </c>
      <c r="DM25" s="50">
        <f>BQ37</f>
        <v>2</v>
      </c>
      <c r="DN25" s="50">
        <f>BS37</f>
        <v>2</v>
      </c>
      <c r="DO25" s="50">
        <f>BU37</f>
        <v>2</v>
      </c>
      <c r="DP25" s="50">
        <f>BQ34</f>
        <v>2</v>
      </c>
      <c r="DQ25" s="50">
        <f>BS34</f>
        <v>2</v>
      </c>
      <c r="DR25" s="241">
        <f>BU34</f>
        <v>2</v>
      </c>
    </row>
    <row r="26" spans="5:122" ht="13.5" thickBot="1">
      <c r="E26" s="93">
        <v>80</v>
      </c>
      <c r="F26" s="81">
        <v>51.3</v>
      </c>
      <c r="G26" s="81">
        <v>26.1</v>
      </c>
      <c r="H26" s="81">
        <v>20.8</v>
      </c>
      <c r="I26" s="81">
        <v>29.2</v>
      </c>
      <c r="J26" s="81">
        <v>32.6</v>
      </c>
      <c r="K26" s="65"/>
      <c r="L26" s="73"/>
      <c r="M26" s="66"/>
      <c r="N26" s="67"/>
      <c r="O26" s="68"/>
      <c r="P26" s="64"/>
      <c r="Q26" s="64"/>
      <c r="X26" s="176" t="s">
        <v>381</v>
      </c>
      <c r="Y26" s="175" t="s">
        <v>141</v>
      </c>
      <c r="Z26" s="163">
        <f>IF(Solution!AF49=0,0,81.3)</f>
        <v>81.3</v>
      </c>
      <c r="AA26" s="163">
        <f>IF(Solution!AF49=0,0,50.5+'GPS Anthro Tool'!$B$41)</f>
        <v>52.5</v>
      </c>
      <c r="AB26" s="163">
        <f>IF(Solution!AF49=0,0,32.5+'GPS Anthro Tool'!$B$41)</f>
        <v>34.5</v>
      </c>
      <c r="AC26" s="163">
        <f>IF(Solution!AF49=0,0,22.4)</f>
        <v>22.4</v>
      </c>
      <c r="AD26" s="163">
        <f>IF(Solution!AF49=0,0,13.5)</f>
        <v>13.5</v>
      </c>
      <c r="AE26" s="163">
        <f>IF(Solution!AF49=0,0,17)</f>
        <v>17</v>
      </c>
      <c r="AF26" s="165">
        <f>IF(Solution!AF49=0,0,11.39)</f>
        <v>11.39</v>
      </c>
      <c r="AH26">
        <v>0</v>
      </c>
      <c r="AK26" s="468" t="s">
        <v>16</v>
      </c>
      <c r="AL26" s="139">
        <f>-AC20/2</f>
        <v>-9</v>
      </c>
      <c r="AM26" s="140">
        <f>AB20</f>
        <v>26.7</v>
      </c>
      <c r="AN26" s="466">
        <f>-AE20/2</f>
        <v>-6</v>
      </c>
      <c r="AO26" s="466">
        <f>-'GPS Anthro Tool'!$B$42</f>
        <v>-2</v>
      </c>
      <c r="AP26" s="98"/>
      <c r="AQ26" s="42"/>
      <c r="AR26" s="113"/>
      <c r="AS26" s="113"/>
      <c r="AU26" s="113" t="s">
        <v>315</v>
      </c>
      <c r="AV26" s="113" t="s">
        <v>316</v>
      </c>
      <c r="AX26" s="113" t="s">
        <v>315</v>
      </c>
      <c r="AY26" s="113" t="s">
        <v>316</v>
      </c>
      <c r="AZ26" s="98"/>
      <c r="BA26" s="145">
        <v>-1.9</v>
      </c>
      <c r="BB26" s="187">
        <f>-$AJ$14</f>
        <v>-13.641839999999998</v>
      </c>
      <c r="BG26" s="741"/>
      <c r="BH26" s="747"/>
      <c r="BI26" s="223">
        <f>IF('GPS Anthro Tool'!$B$31=0,0,IF(BI25=0,0,-1.9))</f>
        <v>-1.9</v>
      </c>
      <c r="BJ26" s="224">
        <f>'GPS Anthro Tool'!$B$41</f>
        <v>2</v>
      </c>
      <c r="BK26" s="223">
        <f>IF('GPS Anthro Tool'!$B$31=0,0,-1.9)</f>
        <v>-1.9</v>
      </c>
      <c r="BL26" s="224">
        <f>'GPS Anthro Tool'!$B$41</f>
        <v>2</v>
      </c>
      <c r="BM26" s="225">
        <f>IF('GPS Anthro Tool'!$B$31=0,0,-1.9)</f>
        <v>-1.9</v>
      </c>
      <c r="BN26" s="224">
        <f>'GPS Anthro Tool'!$B$41</f>
        <v>2</v>
      </c>
      <c r="BO26" s="215"/>
      <c r="BP26" s="223">
        <f>IF(BP25=0,0,1.9)</f>
        <v>1.9</v>
      </c>
      <c r="BQ26" s="224">
        <f t="shared" si="17"/>
        <v>2</v>
      </c>
      <c r="BR26" s="223">
        <f>IF(BR25=0,0,1.9)</f>
        <v>1.9</v>
      </c>
      <c r="BS26" s="224">
        <f t="shared" si="18"/>
        <v>2</v>
      </c>
      <c r="BT26" s="225">
        <f>IF(BT25=0,0,1.9)</f>
        <v>1.9</v>
      </c>
      <c r="BU26" s="224">
        <f t="shared" si="19"/>
        <v>2</v>
      </c>
      <c r="BW26" t="s">
        <v>442</v>
      </c>
      <c r="BX26" s="84">
        <f>IF('GPS Anthro Tool'!$B$20=0,BX25+5,0)</f>
        <v>0</v>
      </c>
      <c r="BY26" s="147">
        <v>0</v>
      </c>
      <c r="BZ26" s="84">
        <f>IF('GPS Anthro Tool'!$B$20=0,BZ25-5,0)</f>
        <v>0</v>
      </c>
      <c r="CA26" s="84">
        <f>IF('GPS Anthro Tool'!$B$21=1,IF('GPS Anthro Tool'!$B$21=1,-CG26,0),0)</f>
        <v>-2.2289999999999992</v>
      </c>
      <c r="CB26" s="147">
        <v>0</v>
      </c>
      <c r="CC26" s="84">
        <f>IF('GPS Anthro Tool'!$B$21=1,IF('GPS Anthro Tool'!$B$20=1,CC25-5,0),0)</f>
        <v>27.733999999999995</v>
      </c>
      <c r="CD26" s="84">
        <f>IF('GPS Anthro Tool'!$B$27=0,0,IF('GPS Anthro Tool'!$B$20=0,CD25-5,0))</f>
        <v>0</v>
      </c>
      <c r="CE26" s="147">
        <v>0</v>
      </c>
      <c r="CF26" s="84">
        <f>IF('GPS Anthro Tool'!$B$20=0,CF25-5,0)</f>
        <v>0</v>
      </c>
      <c r="CG26" s="84">
        <f>IF('GPS Anthro Tool'!$B$27=0,0,IF('GPS Anthro Tool'!$B$20=1,CG25-5,0))</f>
        <v>2.2289999999999992</v>
      </c>
      <c r="CH26" s="147">
        <v>0</v>
      </c>
      <c r="CI26" s="84">
        <f>IF('GPS Anthro Tool'!$B$27=0,0,IF('GPS Anthro Tool'!$B$20=1,CI25-5,0))</f>
        <v>27.733999999999995</v>
      </c>
      <c r="CU26" s="239">
        <f>BP47</f>
        <v>0</v>
      </c>
      <c r="CV26" s="50">
        <f>BR47</f>
        <v>0</v>
      </c>
      <c r="CW26" s="50">
        <f>BT47</f>
        <v>0</v>
      </c>
      <c r="CX26" s="50">
        <f>BP44</f>
        <v>0</v>
      </c>
      <c r="CY26" s="50">
        <f>BR44</f>
        <v>0</v>
      </c>
      <c r="CZ26" s="50">
        <f>BT44</f>
        <v>0</v>
      </c>
      <c r="DA26" s="50">
        <f>BP41</f>
        <v>1.9</v>
      </c>
      <c r="DB26" s="50">
        <f>BR41</f>
        <v>1.9</v>
      </c>
      <c r="DC26" s="50">
        <f>BT41</f>
        <v>1.9</v>
      </c>
      <c r="DD26" s="50">
        <f>BP38</f>
        <v>1.9</v>
      </c>
      <c r="DE26" s="50">
        <f>BR38</f>
        <v>1.9</v>
      </c>
      <c r="DF26" s="50">
        <f>BT38</f>
        <v>1.9</v>
      </c>
      <c r="DG26" s="50">
        <f>BQ47</f>
        <v>2</v>
      </c>
      <c r="DH26" s="50">
        <f>BS47</f>
        <v>2</v>
      </c>
      <c r="DI26" s="50">
        <f>BU47</f>
        <v>2</v>
      </c>
      <c r="DJ26" s="50">
        <f>BQ44</f>
        <v>2</v>
      </c>
      <c r="DK26" s="50">
        <f>BS44</f>
        <v>2</v>
      </c>
      <c r="DL26" s="50">
        <f>BU44</f>
        <v>2</v>
      </c>
      <c r="DM26" s="50">
        <f>BQ41</f>
        <v>2</v>
      </c>
      <c r="DN26" s="50">
        <f>BS41</f>
        <v>2</v>
      </c>
      <c r="DO26" s="50">
        <f>BU41</f>
        <v>2</v>
      </c>
      <c r="DP26" s="50">
        <f>BQ38</f>
        <v>2</v>
      </c>
      <c r="DQ26" s="50">
        <f>BS38</f>
        <v>2</v>
      </c>
      <c r="DR26" s="241">
        <f>BU38</f>
        <v>2</v>
      </c>
    </row>
    <row r="27" spans="5:122" ht="13.5" thickBot="1">
      <c r="E27" s="95">
        <v>85</v>
      </c>
      <c r="F27" s="87">
        <v>53.4</v>
      </c>
      <c r="G27" s="87">
        <v>26.9</v>
      </c>
      <c r="H27" s="87">
        <v>22</v>
      </c>
      <c r="I27" s="87">
        <v>30</v>
      </c>
      <c r="J27" s="87">
        <v>33.9</v>
      </c>
      <c r="K27" s="88"/>
      <c r="L27" s="89"/>
      <c r="M27" s="90"/>
      <c r="N27" s="91"/>
      <c r="O27" s="92"/>
      <c r="Q27" s="48"/>
      <c r="X27" s="178" t="s">
        <v>382</v>
      </c>
      <c r="Y27" s="49" t="s">
        <v>121</v>
      </c>
      <c r="Z27" s="162">
        <f>IF(Solution!AF50=0,0,98.5)</f>
        <v>0</v>
      </c>
      <c r="AA27" s="162">
        <f>IF(Solution!AF50=0,0,54.4+'GPS Anthro Tool'!$B$41)</f>
        <v>0</v>
      </c>
      <c r="AB27" s="162">
        <f>IF(Solution!AF50=0,0,32.9+'GPS Anthro Tool'!$B$41)</f>
        <v>0</v>
      </c>
      <c r="AC27" s="162">
        <f>IF(Solution!AF50=0,0,25.9)</f>
        <v>0</v>
      </c>
      <c r="AD27" s="162">
        <f>IF(Solution!AF50=0,0,14.59)</f>
        <v>0</v>
      </c>
      <c r="AE27" s="162">
        <f>IF(Solution!AF50=0,0,20)</f>
        <v>0</v>
      </c>
      <c r="AF27" s="164">
        <f>IF(Solution!AF50=0,0,0.67*AE27)</f>
        <v>0</v>
      </c>
      <c r="AH27">
        <v>0</v>
      </c>
      <c r="AK27" s="118"/>
      <c r="AL27" s="141">
        <f>AC20/2</f>
        <v>9</v>
      </c>
      <c r="AM27" s="142">
        <f>AB20</f>
        <v>26.7</v>
      </c>
      <c r="AN27" s="162">
        <f>(-AE20/2)*0.92</f>
        <v>-5.5200000000000005</v>
      </c>
      <c r="AO27" s="162">
        <f>-AF20*0.92/2-'GPS Anthro Tool'!$B$42</f>
        <v>-5.2200000000000006</v>
      </c>
      <c r="AS27" s="115" t="s">
        <v>313</v>
      </c>
      <c r="AT27" s="116"/>
      <c r="AU27" s="191">
        <f>IF(AL26=0,0,AL29)</f>
        <v>6.4418181818181814</v>
      </c>
      <c r="AV27" s="191">
        <f>AM26</f>
        <v>26.7</v>
      </c>
      <c r="AW27" s="116"/>
      <c r="AX27" s="193">
        <f>-1*AU27</f>
        <v>-6.4418181818181814</v>
      </c>
      <c r="AY27" s="192">
        <f>AV27</f>
        <v>26.7</v>
      </c>
      <c r="AZ27" s="98"/>
      <c r="BA27" s="146">
        <v>1.9</v>
      </c>
      <c r="BB27" s="188">
        <f>-$AJ$14</f>
        <v>-13.641839999999998</v>
      </c>
      <c r="BG27" s="741"/>
      <c r="BH27" s="745">
        <v>3</v>
      </c>
      <c r="BI27" s="217">
        <f>IF('GPS Anthro Tool'!$B$31=0,0,-'Big Data'!W62/2)</f>
        <v>-7.4930000000000003</v>
      </c>
      <c r="BJ27" s="218">
        <f>'GPS Anthro Tool'!$B$41</f>
        <v>2</v>
      </c>
      <c r="BK27" s="217">
        <f>IF('GPS Anthro Tool'!$B$31=0,0,-'Big Data'!X62/2)</f>
        <v>-8.5090000000000003</v>
      </c>
      <c r="BL27" s="218">
        <f>'GPS Anthro Tool'!$B$41</f>
        <v>2</v>
      </c>
      <c r="BM27" s="219">
        <f>IF('GPS Anthro Tool'!$B$31=0,0,-'Big Data'!Y62/2)</f>
        <v>0</v>
      </c>
      <c r="BN27" s="218">
        <f>'GPS Anthro Tool'!$B$41</f>
        <v>2</v>
      </c>
      <c r="BP27" s="217">
        <f>-BI27</f>
        <v>7.4930000000000003</v>
      </c>
      <c r="BQ27" s="218">
        <f t="shared" si="17"/>
        <v>2</v>
      </c>
      <c r="BR27" s="217">
        <f>-BK27</f>
        <v>8.5090000000000003</v>
      </c>
      <c r="BS27" s="218">
        <f t="shared" si="18"/>
        <v>2</v>
      </c>
      <c r="BT27" s="219">
        <f>-BM27</f>
        <v>0</v>
      </c>
      <c r="BU27" s="218">
        <f t="shared" si="19"/>
        <v>2</v>
      </c>
      <c r="BW27" t="s">
        <v>445</v>
      </c>
      <c r="CU27" s="239">
        <f>BP51</f>
        <v>0</v>
      </c>
      <c r="CV27" s="50">
        <f>BR51</f>
        <v>0</v>
      </c>
      <c r="CW27" s="50">
        <f>BT51</f>
        <v>0</v>
      </c>
      <c r="CX27" s="50">
        <f>BP48</f>
        <v>0</v>
      </c>
      <c r="CY27" s="50">
        <f>BR48</f>
        <v>0</v>
      </c>
      <c r="CZ27" s="50">
        <f>BT48</f>
        <v>0</v>
      </c>
      <c r="DA27" s="50">
        <f>BP45</f>
        <v>1.9</v>
      </c>
      <c r="DB27" s="50">
        <f>BR45</f>
        <v>1.9</v>
      </c>
      <c r="DC27" s="50">
        <f>BT45</f>
        <v>1.9</v>
      </c>
      <c r="DD27" s="50">
        <f>BP42</f>
        <v>1.9</v>
      </c>
      <c r="DE27" s="50">
        <f>BR42</f>
        <v>1.9</v>
      </c>
      <c r="DF27" s="50">
        <f>BT42</f>
        <v>1.9</v>
      </c>
      <c r="DG27" s="50">
        <f>BQ51</f>
        <v>2</v>
      </c>
      <c r="DH27" s="50">
        <f>BS51</f>
        <v>2</v>
      </c>
      <c r="DI27" s="50">
        <f>BU51</f>
        <v>2</v>
      </c>
      <c r="DJ27" s="50">
        <f>BQ48</f>
        <v>2</v>
      </c>
      <c r="DK27" s="50">
        <f>BS48</f>
        <v>2</v>
      </c>
      <c r="DL27" s="50">
        <f>BU48</f>
        <v>2</v>
      </c>
      <c r="DM27" s="50">
        <f>BQ45</f>
        <v>2</v>
      </c>
      <c r="DN27" s="50">
        <f>BS45</f>
        <v>2</v>
      </c>
      <c r="DO27" s="50">
        <f>BU45</f>
        <v>2</v>
      </c>
      <c r="DP27" s="50">
        <f>BQ42</f>
        <v>2</v>
      </c>
      <c r="DQ27" s="50">
        <f>BS42</f>
        <v>2</v>
      </c>
      <c r="DR27" s="241">
        <f>BU42</f>
        <v>2</v>
      </c>
    </row>
    <row r="28" spans="5:122">
      <c r="E28" s="96">
        <v>87.5</v>
      </c>
      <c r="F28" s="86">
        <f>((F29-F27)/2)+F27</f>
        <v>54.45</v>
      </c>
      <c r="G28" s="86">
        <f>((G29-G27)/2)+G27</f>
        <v>27.299999999999997</v>
      </c>
      <c r="H28" s="86">
        <f>((H29-H27)/2)+H27</f>
        <v>22.25</v>
      </c>
      <c r="I28" s="86">
        <f>((I29-I27)/2)+I27</f>
        <v>30.4</v>
      </c>
      <c r="J28" s="86">
        <f>((J29-J27)/2)+J27</f>
        <v>34.549999999999997</v>
      </c>
      <c r="K28" s="76"/>
      <c r="L28" s="76"/>
      <c r="M28" s="77"/>
      <c r="N28" s="75"/>
      <c r="P28" s="49"/>
      <c r="Q28" s="48"/>
      <c r="X28" s="177">
        <v>213</v>
      </c>
      <c r="Y28" s="48" t="s">
        <v>287</v>
      </c>
      <c r="Z28" s="163">
        <f>IF(Solution!AF51=0,0,94.5)</f>
        <v>0</v>
      </c>
      <c r="AA28" s="163">
        <f>IF(Solution!AF51=0,0,54.6+'GPS Anthro Tool'!$B$41)</f>
        <v>0</v>
      </c>
      <c r="AB28" s="163">
        <f>IF(Solution!AF51=0,0,35.9+'GPS Anthro Tool'!$B$41)</f>
        <v>0</v>
      </c>
      <c r="AC28" s="163">
        <f>IF(Solution!AF51=0,0,24.4)</f>
        <v>0</v>
      </c>
      <c r="AD28" s="163">
        <f>IF(Solution!AF51=0,0,15.5)</f>
        <v>0</v>
      </c>
      <c r="AE28" s="163">
        <f>IF(Solution!AF51=0,0,19.5)</f>
        <v>0</v>
      </c>
      <c r="AF28" s="165">
        <f>IF(Solution!AF51=0,0,13.065)</f>
        <v>0</v>
      </c>
      <c r="AH28">
        <v>0</v>
      </c>
      <c r="AK28" s="118"/>
      <c r="AL28" s="84">
        <v>-6.4418181818181814</v>
      </c>
      <c r="AM28" s="143"/>
      <c r="AN28" s="162">
        <f>-AF20*0.92*0.4</f>
        <v>-2.5760000000000005</v>
      </c>
      <c r="AO28" s="466">
        <f>-AF20*0.92-'GPS Anthro Tool'!$B$42</f>
        <v>-8.4400000000000013</v>
      </c>
      <c r="AS28" s="115" t="s">
        <v>312</v>
      </c>
      <c r="AT28" s="116"/>
      <c r="AU28" s="191">
        <f>((AU29-AU27)/2)+AU27*1.12</f>
        <v>8.493927272727273</v>
      </c>
      <c r="AV28" s="191">
        <f>((AV27-AV29)*0.75)+AV29</f>
        <v>26.060454545454544</v>
      </c>
      <c r="AW28" s="116"/>
      <c r="AX28" s="193">
        <f>-1*AU28</f>
        <v>-8.493927272727273</v>
      </c>
      <c r="AY28" s="192">
        <f>AV28</f>
        <v>26.060454545454544</v>
      </c>
      <c r="AZ28" s="98"/>
      <c r="BA28" s="145">
        <f>IF($AJ$13=0,0,-1.9)</f>
        <v>0</v>
      </c>
      <c r="BB28" s="187">
        <f>-$AJ$13</f>
        <v>0</v>
      </c>
      <c r="BG28" s="741"/>
      <c r="BH28" s="746"/>
      <c r="BI28" s="220">
        <f>IF('GPS Anthro Tool'!$B$31=0,0,-'Big Data'!W62*0.9/2)</f>
        <v>-6.7437000000000005</v>
      </c>
      <c r="BJ28" s="221">
        <f>IF('GPS Anthro Tool'!$B$31=0,0,'Big Data'!AU62+'GPS Anthro Tool'!$B$41)</f>
        <v>5.8100000000000005</v>
      </c>
      <c r="BK28" s="220">
        <f>IF('GPS Anthro Tool'!$B$31=0,0,-'Big Data'!X62*0.9/2)</f>
        <v>-7.6581000000000001</v>
      </c>
      <c r="BL28" s="221">
        <f>IF('GPS Anthro Tool'!$B$31=0,0,'Big Data'!AV62+'GPS Anthro Tool'!$B$41)</f>
        <v>8.8580000000000005</v>
      </c>
      <c r="BM28" s="222">
        <f>IF('GPS Anthro Tool'!$B$31=0,0,-'Big Data'!Y62*0.9/2)</f>
        <v>0</v>
      </c>
      <c r="BN28" s="221">
        <f>IF('GPS Anthro Tool'!$B$31=0,0,'Big Data'!AW62+'GPS Anthro Tool'!$B$41)</f>
        <v>2</v>
      </c>
      <c r="BP28" s="220">
        <f>-BI28</f>
        <v>6.7437000000000005</v>
      </c>
      <c r="BQ28" s="221">
        <f t="shared" si="17"/>
        <v>5.8100000000000005</v>
      </c>
      <c r="BR28" s="220">
        <f>-BK28</f>
        <v>7.6581000000000001</v>
      </c>
      <c r="BS28" s="221">
        <f t="shared" si="18"/>
        <v>8.8580000000000005</v>
      </c>
      <c r="BT28" s="222">
        <f>-BM28</f>
        <v>0</v>
      </c>
      <c r="BU28" s="221">
        <f t="shared" si="19"/>
        <v>2</v>
      </c>
      <c r="CU28" s="239">
        <f>BP55</f>
        <v>0</v>
      </c>
      <c r="CV28" s="50">
        <f>BR55</f>
        <v>0</v>
      </c>
      <c r="CW28" s="50">
        <f>BT55</f>
        <v>0</v>
      </c>
      <c r="CX28" s="50">
        <f>BP52</f>
        <v>0</v>
      </c>
      <c r="CY28" s="50">
        <f>BR52</f>
        <v>0</v>
      </c>
      <c r="CZ28" s="50">
        <f>BT52</f>
        <v>0</v>
      </c>
      <c r="DA28" s="50">
        <f>BP49</f>
        <v>1.9</v>
      </c>
      <c r="DB28" s="50">
        <f>BR49</f>
        <v>1.9</v>
      </c>
      <c r="DC28" s="50">
        <f>BT49</f>
        <v>1.9</v>
      </c>
      <c r="DD28" s="50">
        <f>BP46</f>
        <v>1.9</v>
      </c>
      <c r="DE28" s="50">
        <f>BR46</f>
        <v>1.9</v>
      </c>
      <c r="DF28" s="50">
        <f>BT46</f>
        <v>1.9</v>
      </c>
      <c r="DG28" s="50">
        <f>BQ55</f>
        <v>2</v>
      </c>
      <c r="DH28" s="50">
        <f>BS55</f>
        <v>2</v>
      </c>
      <c r="DI28" s="50">
        <f>BU55</f>
        <v>2</v>
      </c>
      <c r="DJ28" s="50">
        <f>BQ52</f>
        <v>2</v>
      </c>
      <c r="DK28" s="50">
        <f>BS52</f>
        <v>2</v>
      </c>
      <c r="DL28" s="50">
        <f>BU52</f>
        <v>2</v>
      </c>
      <c r="DM28" s="50">
        <f>BQ49</f>
        <v>2</v>
      </c>
      <c r="DN28" s="50">
        <f>BS49</f>
        <v>2</v>
      </c>
      <c r="DO28" s="50">
        <f>BU49</f>
        <v>2</v>
      </c>
      <c r="DP28" s="50">
        <f>BQ46</f>
        <v>2</v>
      </c>
      <c r="DQ28" s="50">
        <f>BS46</f>
        <v>2</v>
      </c>
      <c r="DR28" s="241">
        <f>BU46</f>
        <v>2</v>
      </c>
    </row>
    <row r="29" spans="5:122">
      <c r="E29" s="82">
        <v>90</v>
      </c>
      <c r="F29" s="82">
        <v>55.5</v>
      </c>
      <c r="G29" s="82">
        <v>27.7</v>
      </c>
      <c r="H29" s="82">
        <v>22.5</v>
      </c>
      <c r="I29" s="82">
        <v>30.8</v>
      </c>
      <c r="J29" s="82">
        <v>35.200000000000003</v>
      </c>
      <c r="K29" s="45"/>
      <c r="L29" s="45"/>
      <c r="M29" s="35"/>
      <c r="N29" s="75"/>
      <c r="P29" s="49"/>
      <c r="Q29" s="48"/>
      <c r="X29" s="178" t="s">
        <v>382</v>
      </c>
      <c r="Y29" s="49" t="s">
        <v>122</v>
      </c>
      <c r="Z29" s="162">
        <f>IF(Solution!AF52=0,0,114.3)</f>
        <v>0</v>
      </c>
      <c r="AA29" s="162">
        <f>IF(Solution!AF52=0,0,60.1+'GPS Anthro Tool'!$B$41)</f>
        <v>0</v>
      </c>
      <c r="AB29" s="162">
        <f>IF(Solution!AF52=0,0,36.2+'GPS Anthro Tool'!$B$41)</f>
        <v>0</v>
      </c>
      <c r="AC29" s="162">
        <f>IF(Solution!AF52=0,0,30.5)</f>
        <v>0</v>
      </c>
      <c r="AD29" s="162">
        <f>IF(Solution!AF52=0,0,22.95)</f>
        <v>0</v>
      </c>
      <c r="AE29" s="162">
        <f>IF(Solution!AF52=0,0,22.3)</f>
        <v>0</v>
      </c>
      <c r="AF29" s="164">
        <f>IF(Solution!AF52=0,0,0.67*AE29)</f>
        <v>0</v>
      </c>
      <c r="AH29">
        <v>0</v>
      </c>
      <c r="AK29" s="118"/>
      <c r="AL29" s="84">
        <v>6.4418181818181814</v>
      </c>
      <c r="AM29" s="143"/>
      <c r="AN29" s="162">
        <v>0</v>
      </c>
      <c r="AO29" s="466">
        <f>-AF20-'GPS Anthro Tool'!$B$42</f>
        <v>-9</v>
      </c>
      <c r="AS29" s="115" t="s">
        <v>314</v>
      </c>
      <c r="AT29" s="116"/>
      <c r="AU29" s="191">
        <f>AL27</f>
        <v>9</v>
      </c>
      <c r="AV29" s="191">
        <f>AV27-(AU29-AU27)</f>
        <v>24.141818181818181</v>
      </c>
      <c r="AW29" s="116"/>
      <c r="AX29" s="193">
        <f>-1*AU29</f>
        <v>-9</v>
      </c>
      <c r="AY29" s="192">
        <f>AV29</f>
        <v>24.141818181818181</v>
      </c>
      <c r="AZ29" s="98"/>
      <c r="BA29" s="146">
        <f>IF($AJ$13=0,0,1.9)</f>
        <v>0</v>
      </c>
      <c r="BB29" s="188">
        <f>-$AJ$13</f>
        <v>0</v>
      </c>
      <c r="BG29" s="741"/>
      <c r="BH29" s="746"/>
      <c r="BI29" s="220">
        <f>IF('GPS Anthro Tool'!$B$31=0,0,-'Big Data'!W62*0.1/2-1.9)</f>
        <v>-2.6493000000000002</v>
      </c>
      <c r="BJ29" s="221">
        <f>IF('GPS Anthro Tool'!$B$31=0,0,'Big Data'!AU62+'GPS Anthro Tool'!$B$41)</f>
        <v>5.8100000000000005</v>
      </c>
      <c r="BK29" s="220">
        <f>IF('GPS Anthro Tool'!$B$31=0,0,-'Big Data'!X62*0.1/2-1.9)</f>
        <v>-2.7509000000000001</v>
      </c>
      <c r="BL29" s="221">
        <f>IF('GPS Anthro Tool'!$B$31=0,0,'Big Data'!AV62+'GPS Anthro Tool'!$B$41)</f>
        <v>8.8580000000000005</v>
      </c>
      <c r="BM29" s="222">
        <f>IF('GPS Anthro Tool'!$B$31=0,0,-'Big Data'!Y62*0.1/2-1.9)</f>
        <v>-1.9</v>
      </c>
      <c r="BN29" s="221">
        <f>IF('GPS Anthro Tool'!$B$31=0,0,'Big Data'!AW62+'GPS Anthro Tool'!$B$41)</f>
        <v>2</v>
      </c>
      <c r="BP29" s="220">
        <f>-BI29</f>
        <v>2.6493000000000002</v>
      </c>
      <c r="BQ29" s="221">
        <f t="shared" si="17"/>
        <v>5.8100000000000005</v>
      </c>
      <c r="BR29" s="220">
        <f>-BK29</f>
        <v>2.7509000000000001</v>
      </c>
      <c r="BS29" s="221">
        <f t="shared" si="18"/>
        <v>8.8580000000000005</v>
      </c>
      <c r="BT29" s="222">
        <f>-BM29</f>
        <v>1.9</v>
      </c>
      <c r="BU29" s="221">
        <f t="shared" si="19"/>
        <v>2</v>
      </c>
      <c r="BX29" s="740" t="s">
        <v>454</v>
      </c>
      <c r="BY29" s="740"/>
      <c r="BZ29" s="740"/>
      <c r="CA29" s="740"/>
      <c r="CB29" s="740"/>
      <c r="CC29" s="740"/>
      <c r="CD29" s="740"/>
      <c r="CE29" s="740"/>
      <c r="CF29" s="740"/>
      <c r="CG29" s="740"/>
      <c r="CH29" s="740"/>
      <c r="CI29" s="740"/>
      <c r="CK29" s="736" t="s">
        <v>461</v>
      </c>
      <c r="CL29" s="736"/>
      <c r="CM29" s="736"/>
      <c r="CN29" s="736"/>
      <c r="CO29" s="736"/>
      <c r="CP29" s="736"/>
      <c r="CQ29" s="736"/>
      <c r="CR29" s="736"/>
      <c r="CS29" s="736"/>
      <c r="CU29" s="239">
        <f>BP59</f>
        <v>0</v>
      </c>
      <c r="CV29" s="50">
        <f>BR59</f>
        <v>0</v>
      </c>
      <c r="CW29" s="50">
        <f>BT59</f>
        <v>0</v>
      </c>
      <c r="CX29" s="50">
        <f>BP56</f>
        <v>0</v>
      </c>
      <c r="CY29" s="50">
        <f>BR56</f>
        <v>0</v>
      </c>
      <c r="CZ29" s="50">
        <f>BT56</f>
        <v>0</v>
      </c>
      <c r="DA29" s="50">
        <f>BP53</f>
        <v>1.9</v>
      </c>
      <c r="DB29" s="50">
        <f>BR53</f>
        <v>1.9</v>
      </c>
      <c r="DC29" s="50">
        <f>BT53</f>
        <v>1.9</v>
      </c>
      <c r="DD29" s="50">
        <f>BP50</f>
        <v>1.9</v>
      </c>
      <c r="DE29" s="50">
        <f>BR50</f>
        <v>1.9</v>
      </c>
      <c r="DF29" s="50">
        <f>BT50</f>
        <v>1.9</v>
      </c>
      <c r="DG29" s="50">
        <f>BQ59</f>
        <v>2</v>
      </c>
      <c r="DH29" s="50">
        <f>BS59</f>
        <v>2</v>
      </c>
      <c r="DI29" s="50">
        <f>BU59</f>
        <v>2</v>
      </c>
      <c r="DJ29" s="50">
        <f>BQ56</f>
        <v>2</v>
      </c>
      <c r="DK29" s="50">
        <f>BS56</f>
        <v>2</v>
      </c>
      <c r="DL29" s="50">
        <f>BU56</f>
        <v>2</v>
      </c>
      <c r="DM29" s="50">
        <f>BQ53</f>
        <v>2</v>
      </c>
      <c r="DN29" s="50">
        <f>BS53</f>
        <v>2</v>
      </c>
      <c r="DO29" s="50">
        <f>BU53</f>
        <v>2</v>
      </c>
      <c r="DP29" s="50">
        <f>BQ50</f>
        <v>2</v>
      </c>
      <c r="DQ29" s="50">
        <f>BS50</f>
        <v>2</v>
      </c>
      <c r="DR29" s="241">
        <f>BU50</f>
        <v>2</v>
      </c>
    </row>
    <row r="30" spans="5:122" ht="13.5" thickBot="1">
      <c r="E30" s="82">
        <v>95</v>
      </c>
      <c r="F30" s="82">
        <v>57.6</v>
      </c>
      <c r="G30" s="82">
        <v>28.5</v>
      </c>
      <c r="H30" s="82">
        <v>23</v>
      </c>
      <c r="I30" s="82">
        <v>31.6</v>
      </c>
      <c r="J30" s="82">
        <v>36.5</v>
      </c>
      <c r="K30" s="45"/>
      <c r="L30" s="45"/>
      <c r="M30" s="35"/>
      <c r="N30" s="75"/>
      <c r="P30" s="49"/>
      <c r="Q30" s="48"/>
      <c r="X30" s="177">
        <v>213</v>
      </c>
      <c r="Y30" s="48" t="s">
        <v>288</v>
      </c>
      <c r="Z30" s="163">
        <f>IF(Solution!AF53=0,0,114.5)</f>
        <v>0</v>
      </c>
      <c r="AA30" s="163">
        <f>IF(Solution!AF53=0,0,63.5+'GPS Anthro Tool'!$B$41)</f>
        <v>0</v>
      </c>
      <c r="AB30" s="163">
        <f>IF(Solution!AF53=0,0,39.25+'GPS Anthro Tool'!$B$41)</f>
        <v>0</v>
      </c>
      <c r="AC30" s="163">
        <f>IF(Solution!AF53=0,0,26.7)</f>
        <v>0</v>
      </c>
      <c r="AD30" s="163">
        <f>IF(Solution!AF53=0,0,23.4)</f>
        <v>0</v>
      </c>
      <c r="AE30" s="163">
        <f>IF(Solution!AF53=0,0,21.6)</f>
        <v>0</v>
      </c>
      <c r="AF30" s="165">
        <f>IF(Solution!AF53=0,0,14.472)</f>
        <v>0</v>
      </c>
      <c r="AH30">
        <v>0</v>
      </c>
      <c r="AK30" s="118"/>
      <c r="AL30" s="143"/>
      <c r="AM30" s="143"/>
      <c r="AN30" s="99">
        <f>AE20/2*0.92</f>
        <v>5.5200000000000005</v>
      </c>
      <c r="AO30" s="99">
        <f>AO29/2</f>
        <v>-4.5</v>
      </c>
      <c r="AZ30" s="98"/>
      <c r="BA30" s="145">
        <f>IF($AJ$12=0,0,-1.9)</f>
        <v>0</v>
      </c>
      <c r="BB30" s="187">
        <f>-$AJ$12</f>
        <v>0</v>
      </c>
      <c r="BG30" s="741"/>
      <c r="BH30" s="747"/>
      <c r="BI30" s="223">
        <f>IF('GPS Anthro Tool'!$B$31=0,0,IF(BI29=0,0,-1.9))</f>
        <v>-1.9</v>
      </c>
      <c r="BJ30" s="224">
        <f>'GPS Anthro Tool'!$B$41</f>
        <v>2</v>
      </c>
      <c r="BK30" s="223">
        <f>IF('GPS Anthro Tool'!$B$31=0,0,-1.9)</f>
        <v>-1.9</v>
      </c>
      <c r="BL30" s="224">
        <f>'GPS Anthro Tool'!$B$41</f>
        <v>2</v>
      </c>
      <c r="BM30" s="225">
        <f>IF('GPS Anthro Tool'!$B$31=0,0,-1.9)</f>
        <v>-1.9</v>
      </c>
      <c r="BN30" s="224">
        <f>'GPS Anthro Tool'!$B$41</f>
        <v>2</v>
      </c>
      <c r="BP30" s="223">
        <f>IF(BP29=0,0,1.9)</f>
        <v>1.9</v>
      </c>
      <c r="BQ30" s="224">
        <f t="shared" si="17"/>
        <v>2</v>
      </c>
      <c r="BR30" s="223">
        <f>IF(BR29=0,0,1.9)</f>
        <v>1.9</v>
      </c>
      <c r="BS30" s="224">
        <f t="shared" si="18"/>
        <v>2</v>
      </c>
      <c r="BT30" s="225">
        <f>IF(BT29=0,0,1.9)</f>
        <v>1.9</v>
      </c>
      <c r="BU30" s="224">
        <f t="shared" si="19"/>
        <v>2</v>
      </c>
      <c r="BW30" t="s">
        <v>450</v>
      </c>
      <c r="BX30" s="258">
        <v>0</v>
      </c>
      <c r="BY30" s="254">
        <f>CE30</f>
        <v>0</v>
      </c>
      <c r="BZ30" s="251">
        <v>-1</v>
      </c>
      <c r="CA30" s="258">
        <v>0</v>
      </c>
      <c r="CB30" s="254">
        <f>CH30</f>
        <v>0</v>
      </c>
      <c r="CC30" s="251">
        <v>-1</v>
      </c>
      <c r="CD30" s="258">
        <v>0</v>
      </c>
      <c r="CE30" s="254">
        <v>0</v>
      </c>
      <c r="CF30" s="251">
        <v>-1</v>
      </c>
      <c r="CG30" s="258">
        <v>0</v>
      </c>
      <c r="CH30" s="254">
        <v>0</v>
      </c>
      <c r="CI30" s="251">
        <v>-1</v>
      </c>
      <c r="CK30" s="262">
        <f>CG31</f>
        <v>6.7309999999999999</v>
      </c>
      <c r="CL30" s="262">
        <f>SQRT(((CG32-CG31)^2)+((CH32-CH31)^2)+((CI32-CI31)^2))</f>
        <v>13.653733646515889</v>
      </c>
      <c r="CM30" s="262">
        <f>SQRT(((CG33-CG32)^2)+((CH33-CH32)^2)+((CI33-CI32)^2))</f>
        <v>6.2622574915121465</v>
      </c>
      <c r="CN30" s="262">
        <f>SQRT(((CG34-CG33)^2)+((CH34-CH33)^2)+((CI34-CI33)^2))</f>
        <v>9.7967154414119797</v>
      </c>
      <c r="CO30" s="262">
        <f>SQRT(((CG35-CG34)^2)+((CH35-CH34)^2)+((CI35-CI34)^2))</f>
        <v>5.5226805085936306</v>
      </c>
      <c r="CP30" s="262">
        <f>SQRT(((CG36-CG35)^2)+((CH36-CH35)^2)+((CI36-CI35)^2))</f>
        <v>13.802717386080177</v>
      </c>
      <c r="CQ30" s="263">
        <f>SQRT(((CG37-CG36)^2)+((CH37-CH36)^2)+((CI37-CI36)^2))</f>
        <v>7.0710678118654755</v>
      </c>
      <c r="CR30" s="194"/>
      <c r="CS30" s="194"/>
      <c r="CU30" s="239">
        <f>BP63</f>
        <v>0</v>
      </c>
      <c r="CV30" s="50">
        <f>BR63</f>
        <v>0</v>
      </c>
      <c r="CW30" s="50">
        <f>BT63</f>
        <v>0</v>
      </c>
      <c r="CX30" s="50">
        <f>BP60</f>
        <v>0</v>
      </c>
      <c r="CY30" s="50">
        <f>BR60</f>
        <v>0</v>
      </c>
      <c r="CZ30" s="50">
        <f>BT60</f>
        <v>0</v>
      </c>
      <c r="DA30" s="50">
        <f>BP57</f>
        <v>1.9</v>
      </c>
      <c r="DB30" s="50">
        <f>BR57</f>
        <v>1.9</v>
      </c>
      <c r="DC30" s="50">
        <f>BT57</f>
        <v>1.9</v>
      </c>
      <c r="DD30" s="50">
        <f>BP54</f>
        <v>1.9</v>
      </c>
      <c r="DE30" s="50">
        <f>BR54</f>
        <v>1.9</v>
      </c>
      <c r="DF30" s="50">
        <f>BT54</f>
        <v>1.9</v>
      </c>
      <c r="DG30" s="50">
        <f>BQ63</f>
        <v>2</v>
      </c>
      <c r="DH30" s="50">
        <f>BS63</f>
        <v>2</v>
      </c>
      <c r="DI30" s="50">
        <f>BU63</f>
        <v>2</v>
      </c>
      <c r="DJ30" s="50">
        <f>BQ60</f>
        <v>2</v>
      </c>
      <c r="DK30" s="50">
        <f>BS60</f>
        <v>2</v>
      </c>
      <c r="DL30" s="50">
        <f>BU60</f>
        <v>2</v>
      </c>
      <c r="DM30" s="50">
        <f>BQ57</f>
        <v>2</v>
      </c>
      <c r="DN30" s="50">
        <f>BS57</f>
        <v>2</v>
      </c>
      <c r="DO30" s="50">
        <f>BU57</f>
        <v>2</v>
      </c>
      <c r="DP30" s="50">
        <f>BQ54</f>
        <v>2</v>
      </c>
      <c r="DQ30" s="50">
        <f>BS54</f>
        <v>2</v>
      </c>
      <c r="DR30" s="241">
        <f>BU54</f>
        <v>2</v>
      </c>
    </row>
    <row r="31" spans="5:122" ht="13.5" thickBot="1">
      <c r="E31" s="81">
        <v>100</v>
      </c>
      <c r="F31" s="81">
        <v>59.7</v>
      </c>
      <c r="G31" s="81">
        <v>29.3</v>
      </c>
      <c r="H31" s="81">
        <v>23.5</v>
      </c>
      <c r="I31" s="81">
        <v>32.4</v>
      </c>
      <c r="J31" s="81">
        <v>37.799999999999997</v>
      </c>
      <c r="K31" s="65"/>
      <c r="L31" s="65"/>
      <c r="M31" s="66"/>
      <c r="N31" s="74"/>
      <c r="O31" s="64"/>
      <c r="P31" s="68"/>
      <c r="Q31" s="67"/>
      <c r="R31" s="64"/>
      <c r="X31" s="177">
        <v>213</v>
      </c>
      <c r="Y31" s="48" t="s">
        <v>289</v>
      </c>
      <c r="Z31" s="163">
        <f>IF(Solution!AF54=0,0,115.25)</f>
        <v>0</v>
      </c>
      <c r="AA31" s="163">
        <f>IF(Solution!AF54=0,0,64.25+'GPS Anthro Tool'!$B$41)</f>
        <v>0</v>
      </c>
      <c r="AB31" s="163">
        <f>IF(Solution!AF54=0,0,40+'GPS Anthro Tool'!$B$41)</f>
        <v>0</v>
      </c>
      <c r="AC31" s="163">
        <f>IF(Solution!AF54=0,0,26.7)</f>
        <v>0</v>
      </c>
      <c r="AD31" s="163">
        <f>IF(Solution!AF54=0,0,28.12)</f>
        <v>0</v>
      </c>
      <c r="AE31" s="163">
        <f>IF(Solution!AF54=0,0,21.6)</f>
        <v>0</v>
      </c>
      <c r="AF31" s="165">
        <f>IF(Solution!AF54=0,0,14.472)</f>
        <v>0</v>
      </c>
      <c r="AH31">
        <v>0</v>
      </c>
      <c r="AK31" s="118"/>
      <c r="AL31" s="143"/>
      <c r="AM31" s="143"/>
      <c r="AN31" s="99">
        <f>AE20/2</f>
        <v>6</v>
      </c>
      <c r="AO31" s="99">
        <f>-'GPS Anthro Tool'!$B$42</f>
        <v>-2</v>
      </c>
      <c r="AZ31" s="98"/>
      <c r="BA31" s="146">
        <f>IF($AJ$12=0,0,1.9)</f>
        <v>0</v>
      </c>
      <c r="BB31" s="188">
        <f>-$AJ$12</f>
        <v>0</v>
      </c>
      <c r="BG31" s="741"/>
      <c r="BH31" s="745">
        <v>4</v>
      </c>
      <c r="BI31" s="217">
        <f>IF('GPS Anthro Tool'!$B$31=0,0,-'Big Data'!W65/2)</f>
        <v>-6.9850000000000003</v>
      </c>
      <c r="BJ31" s="218">
        <f>'GPS Anthro Tool'!$B$41</f>
        <v>2</v>
      </c>
      <c r="BK31" s="217">
        <f>IF('GPS Anthro Tool'!$B$31=0,0,-'Big Data'!X65/2)</f>
        <v>0</v>
      </c>
      <c r="BL31" s="218">
        <f>'GPS Anthro Tool'!$B$41</f>
        <v>2</v>
      </c>
      <c r="BM31" s="219">
        <f>IF('GPS Anthro Tool'!$B$31=0,0,-'Big Data'!Y65/2)</f>
        <v>0</v>
      </c>
      <c r="BN31" s="218">
        <f>'GPS Anthro Tool'!$B$41</f>
        <v>2</v>
      </c>
      <c r="BP31" s="217">
        <f>-BI31</f>
        <v>6.9850000000000003</v>
      </c>
      <c r="BQ31" s="218">
        <f t="shared" si="17"/>
        <v>2</v>
      </c>
      <c r="BR31" s="217">
        <f>-BK31</f>
        <v>0</v>
      </c>
      <c r="BS31" s="218">
        <f t="shared" si="18"/>
        <v>2</v>
      </c>
      <c r="BT31" s="219">
        <f>-BM31</f>
        <v>0</v>
      </c>
      <c r="BU31" s="218">
        <f t="shared" si="19"/>
        <v>2</v>
      </c>
      <c r="BW31" t="s">
        <v>420</v>
      </c>
      <c r="BX31" s="258">
        <f>IF('GPS Anthro Tool'!$B$21=1,-CD31,0)</f>
        <v>-6.7309999999999999</v>
      </c>
      <c r="BY31" s="254">
        <f t="shared" ref="BY31:BY36" si="21">CE31</f>
        <v>0</v>
      </c>
      <c r="BZ31" s="251">
        <v>0</v>
      </c>
      <c r="CA31" s="258">
        <f>IF('GPS Anthro Tool'!$B$21=1,-CG31,0)</f>
        <v>-6.7309999999999999</v>
      </c>
      <c r="CB31" s="254">
        <f t="shared" ref="CB31:CB36" si="22">CH31</f>
        <v>0</v>
      </c>
      <c r="CC31" s="251">
        <v>0</v>
      </c>
      <c r="CD31" s="258">
        <f>SMALL(BD36:BD43,COUNTIF(BD36:BD43,0)+1)</f>
        <v>6.7309999999999999</v>
      </c>
      <c r="CE31" s="254">
        <v>0</v>
      </c>
      <c r="CF31" s="251">
        <v>0</v>
      </c>
      <c r="CG31" s="259">
        <f>MAX(BD36:BD43)</f>
        <v>6.7309999999999999</v>
      </c>
      <c r="CH31" s="255">
        <v>0</v>
      </c>
      <c r="CI31" s="256">
        <v>0</v>
      </c>
      <c r="CK31" s="194">
        <f>CD31</f>
        <v>6.7309999999999999</v>
      </c>
      <c r="CL31" s="194">
        <f>SQRT(((CD32-CD31)^2)+((CE32-CE31)^2)+((CF32-CF31)^2))</f>
        <v>3.7761757917236851</v>
      </c>
      <c r="CM31" s="194">
        <f>SQRT(((CD33-CD32)^2)+((CE33-CE32)^2)+((CF33-CF32)^2))</f>
        <v>7.2947879208377273</v>
      </c>
      <c r="CN31" s="194">
        <f>SQRT(((CD34-CD33)^2)+((CE34-CE33)^2)+((CF34-CF33)^2))</f>
        <v>12.363332236901183</v>
      </c>
      <c r="CO31" s="194">
        <f>SQRT(((CD35-CD34)^2)+((CE35-CE34)^2)+((CF35-CF34)^2))</f>
        <v>5.5226805085936306</v>
      </c>
      <c r="CP31" s="194">
        <f>SQRT(((CD36-CD35)^2)+((CE36-CE35)^2)+((CF36-CF35)^2))</f>
        <v>9.3824536769440012</v>
      </c>
      <c r="CQ31" s="264">
        <f>SUM(CK30:CQ30)-SUM(CK31:CP31)</f>
        <v>17.76974215097907</v>
      </c>
      <c r="CR31" s="194"/>
      <c r="CS31" s="194"/>
      <c r="CU31" s="239">
        <f>BP67</f>
        <v>0</v>
      </c>
      <c r="CV31" s="50">
        <f>BR67</f>
        <v>0</v>
      </c>
      <c r="CW31" s="50">
        <f>BT67</f>
        <v>0</v>
      </c>
      <c r="CX31" s="50">
        <f>BP64</f>
        <v>0</v>
      </c>
      <c r="CY31" s="50">
        <f>BR64</f>
        <v>0</v>
      </c>
      <c r="CZ31" s="50">
        <f>BT64</f>
        <v>0</v>
      </c>
      <c r="DA31" s="50">
        <f>BP61</f>
        <v>1.9</v>
      </c>
      <c r="DB31" s="50">
        <f>BR61</f>
        <v>1.9</v>
      </c>
      <c r="DC31" s="50">
        <f>BT61</f>
        <v>1.9</v>
      </c>
      <c r="DD31" s="50">
        <f>BP58</f>
        <v>1.9</v>
      </c>
      <c r="DE31" s="50">
        <f>BR58</f>
        <v>1.9</v>
      </c>
      <c r="DF31" s="50">
        <f>BT58</f>
        <v>1.9</v>
      </c>
      <c r="DG31" s="50">
        <f>BQ67</f>
        <v>2</v>
      </c>
      <c r="DH31" s="50">
        <f>BS67</f>
        <v>2</v>
      </c>
      <c r="DI31" s="50">
        <f>BU67</f>
        <v>2</v>
      </c>
      <c r="DJ31" s="50">
        <f>BQ64</f>
        <v>2</v>
      </c>
      <c r="DK31" s="50">
        <f>BS64</f>
        <v>2</v>
      </c>
      <c r="DL31" s="50">
        <f>BU64</f>
        <v>2</v>
      </c>
      <c r="DM31" s="50">
        <f>BQ61</f>
        <v>2</v>
      </c>
      <c r="DN31" s="50">
        <f>BS61</f>
        <v>2</v>
      </c>
      <c r="DO31" s="50">
        <f>BU61</f>
        <v>2</v>
      </c>
      <c r="DP31" s="50">
        <f>BQ58</f>
        <v>2</v>
      </c>
      <c r="DQ31" s="50">
        <f>BS58</f>
        <v>2</v>
      </c>
      <c r="DR31" s="241">
        <f>BU58</f>
        <v>2</v>
      </c>
    </row>
    <row r="32" spans="5:122" ht="13.5" thickBot="1">
      <c r="E32" s="93">
        <v>105</v>
      </c>
      <c r="F32" s="81">
        <v>61.8</v>
      </c>
      <c r="G32" s="81">
        <v>30.1</v>
      </c>
      <c r="H32" s="81">
        <v>24.9</v>
      </c>
      <c r="I32" s="81">
        <v>33.200000000000003</v>
      </c>
      <c r="J32" s="81">
        <v>39.1</v>
      </c>
      <c r="K32" s="65"/>
      <c r="L32" s="65"/>
      <c r="M32" s="66"/>
      <c r="N32" s="74"/>
      <c r="O32" s="64"/>
      <c r="P32" s="64"/>
      <c r="Q32" s="67"/>
      <c r="R32" s="68"/>
      <c r="S32" s="64"/>
      <c r="T32" s="64"/>
      <c r="X32" s="177">
        <v>213</v>
      </c>
      <c r="Y32" s="48" t="s">
        <v>290</v>
      </c>
      <c r="Z32" s="163">
        <f>IF(Solution!AF55=0,0,130)</f>
        <v>0</v>
      </c>
      <c r="AA32" s="163">
        <f>IF(Solution!AF55=0,0,74+'GPS Anthro Tool'!$B$41)</f>
        <v>0</v>
      </c>
      <c r="AB32" s="163">
        <f>IF(Solution!AF55=0,0,44.5+'GPS Anthro Tool'!$B$41)</f>
        <v>0</v>
      </c>
      <c r="AC32" s="163">
        <f>IF(Solution!AF55=0,0,32)</f>
        <v>0</v>
      </c>
      <c r="AD32" s="163">
        <f>IF(Solution!AF55=0,0,35.19)</f>
        <v>0</v>
      </c>
      <c r="AE32" s="163">
        <f>IF(Solution!AF55=0,0,26)</f>
        <v>0</v>
      </c>
      <c r="AF32" s="165">
        <f>IF(Solution!AF55=0,0,17.42)</f>
        <v>0</v>
      </c>
      <c r="AH32">
        <v>0</v>
      </c>
      <c r="AK32" s="118"/>
      <c r="AL32" s="143"/>
      <c r="AM32" s="143"/>
      <c r="AN32" s="99"/>
      <c r="AO32" s="99"/>
      <c r="AS32" s="98"/>
      <c r="AU32" s="113"/>
      <c r="AV32" s="113"/>
      <c r="AZ32" s="98"/>
      <c r="BA32" s="145">
        <f>IF($AJ$11=0,0,-1.9)</f>
        <v>0</v>
      </c>
      <c r="BB32" s="187">
        <f>-$AJ$11</f>
        <v>0</v>
      </c>
      <c r="BG32" s="741"/>
      <c r="BH32" s="746"/>
      <c r="BI32" s="220">
        <f>IF('GPS Anthro Tool'!$B$31=0,0,-'Big Data'!W65*0.9/2)</f>
        <v>-6.2865000000000002</v>
      </c>
      <c r="BJ32" s="221">
        <f>IF('GPS Anthro Tool'!$B$31=0,0,'Big Data'!AU65+'GPS Anthro Tool'!$B$41)</f>
        <v>6.8259999999999987</v>
      </c>
      <c r="BK32" s="220">
        <f>IF('GPS Anthro Tool'!$B$31=0,0,-'Big Data'!X65*0.9/2)</f>
        <v>0</v>
      </c>
      <c r="BL32" s="221">
        <f>IF('GPS Anthro Tool'!$B$31=0,0,'Big Data'!AV65+'GPS Anthro Tool'!$B$41)</f>
        <v>2</v>
      </c>
      <c r="BM32" s="222">
        <f>IF('GPS Anthro Tool'!$B$31=0,0,-'Big Data'!Y65*0.9/2)</f>
        <v>0</v>
      </c>
      <c r="BN32" s="221">
        <f>IF('GPS Anthro Tool'!$B$31=0,0,'Big Data'!AW65+'GPS Anthro Tool'!$B$41)</f>
        <v>2</v>
      </c>
      <c r="BP32" s="220">
        <f>-BI32</f>
        <v>6.2865000000000002</v>
      </c>
      <c r="BQ32" s="221">
        <f t="shared" si="17"/>
        <v>6.8259999999999987</v>
      </c>
      <c r="BR32" s="220">
        <f>-BK32</f>
        <v>0</v>
      </c>
      <c r="BS32" s="221">
        <f t="shared" si="18"/>
        <v>2</v>
      </c>
      <c r="BT32" s="222">
        <f>-BM32</f>
        <v>0</v>
      </c>
      <c r="BU32" s="221">
        <f t="shared" si="19"/>
        <v>2</v>
      </c>
      <c r="BW32" t="s">
        <v>421</v>
      </c>
      <c r="BX32" s="258">
        <f>IF('GPS Anthro Tool'!$B$21=1,-CD32,0)</f>
        <v>-4.2290999999999999</v>
      </c>
      <c r="BY32" s="254">
        <f t="shared" si="21"/>
        <v>-2</v>
      </c>
      <c r="BZ32" s="251">
        <f>IF('GPS Anthro Tool'!$B$21=1,CF32,0)</f>
        <v>2</v>
      </c>
      <c r="CA32" s="258">
        <f>IF('GPS Anthro Tool'!$B$21=1,-CG32,0)</f>
        <v>-7.8867000000000003</v>
      </c>
      <c r="CB32" s="254">
        <f t="shared" si="22"/>
        <v>-9.620000000000001</v>
      </c>
      <c r="CC32" s="251">
        <f>IF('GPS Anthro Tool'!$B$21=1,CI32,0)</f>
        <v>9.620000000000001</v>
      </c>
      <c r="CD32" s="258">
        <f>SMALL(CX20:CZ34,COUNTIF(CX20:CZ34,0)+1)</f>
        <v>4.2290999999999999</v>
      </c>
      <c r="CE32" s="254">
        <f>-SMALL(DJ20:DL34,COUNTIF(DJ20:DL34,0)+1)</f>
        <v>-2</v>
      </c>
      <c r="CF32" s="251">
        <f>SMALL(DJ20:DL34,COUNTIF(DJ20:DL34,0)+1)</f>
        <v>2</v>
      </c>
      <c r="CG32" s="259">
        <f>MAX(CX20:CZ34)</f>
        <v>7.8867000000000003</v>
      </c>
      <c r="CH32" s="255">
        <f>-MAX(DJ20:DL34)</f>
        <v>-9.620000000000001</v>
      </c>
      <c r="CI32" s="256">
        <f>MAX(DJ20:DL34)</f>
        <v>9.620000000000001</v>
      </c>
      <c r="CU32" s="239">
        <f>BP71</f>
        <v>0</v>
      </c>
      <c r="CV32" s="50">
        <f>BR71</f>
        <v>0</v>
      </c>
      <c r="CW32" s="50">
        <f>BT71</f>
        <v>0</v>
      </c>
      <c r="CX32" s="50">
        <f>BP68</f>
        <v>0</v>
      </c>
      <c r="CY32" s="50">
        <f>BR68</f>
        <v>0</v>
      </c>
      <c r="CZ32" s="50">
        <f>BT68</f>
        <v>0</v>
      </c>
      <c r="DA32" s="50">
        <f>BP65</f>
        <v>1.9</v>
      </c>
      <c r="DB32" s="50">
        <f>BR65</f>
        <v>1.9</v>
      </c>
      <c r="DC32" s="50">
        <f>BT65</f>
        <v>1.9</v>
      </c>
      <c r="DD32" s="50">
        <f>BP62</f>
        <v>1.9</v>
      </c>
      <c r="DE32" s="50">
        <f>BR62</f>
        <v>1.9</v>
      </c>
      <c r="DF32" s="50">
        <f>BT62</f>
        <v>1.9</v>
      </c>
      <c r="DG32" s="50">
        <f>BQ71</f>
        <v>2</v>
      </c>
      <c r="DH32" s="50">
        <f>BS71</f>
        <v>2</v>
      </c>
      <c r="DI32" s="50">
        <f>BU71</f>
        <v>2</v>
      </c>
      <c r="DJ32" s="50">
        <f>BQ68</f>
        <v>2</v>
      </c>
      <c r="DK32" s="50">
        <f>BS68</f>
        <v>2</v>
      </c>
      <c r="DL32" s="50">
        <f>BU68</f>
        <v>2</v>
      </c>
      <c r="DM32" s="50">
        <f>BQ65</f>
        <v>2</v>
      </c>
      <c r="DN32" s="50">
        <f>BS65</f>
        <v>2</v>
      </c>
      <c r="DO32" s="50">
        <f>BU65</f>
        <v>2</v>
      </c>
      <c r="DP32" s="50">
        <f>BQ62</f>
        <v>2</v>
      </c>
      <c r="DQ32" s="50">
        <f>BS62</f>
        <v>2</v>
      </c>
      <c r="DR32" s="241">
        <f>BU62</f>
        <v>2</v>
      </c>
    </row>
    <row r="33" spans="5:122">
      <c r="E33" s="94">
        <v>110</v>
      </c>
      <c r="F33" s="82">
        <v>63.9</v>
      </c>
      <c r="G33" s="82">
        <v>30.9</v>
      </c>
      <c r="H33" s="82">
        <v>26.3</v>
      </c>
      <c r="I33" s="82">
        <v>34</v>
      </c>
      <c r="J33" s="82">
        <v>40.4</v>
      </c>
      <c r="K33" s="76"/>
      <c r="L33" s="76"/>
      <c r="M33" s="77"/>
      <c r="R33" s="49"/>
      <c r="S33" s="48"/>
      <c r="T33" s="48"/>
      <c r="X33" s="178" t="s">
        <v>382</v>
      </c>
      <c r="Y33" s="49" t="s">
        <v>376</v>
      </c>
      <c r="Z33" s="162">
        <f>IF(Solution!AF56=0,0,144.3)</f>
        <v>0</v>
      </c>
      <c r="AA33" s="162">
        <f>IF(Solution!AF56=0,0,74.8+'GPS Anthro Tool'!$B$41)</f>
        <v>0</v>
      </c>
      <c r="AB33" s="162">
        <f>IF(Solution!AF56=0,0,47.3+'GPS Anthro Tool'!$B$41)</f>
        <v>0</v>
      </c>
      <c r="AC33" s="162">
        <f>IF(Solution!AF56=0,0,33.48)</f>
        <v>0</v>
      </c>
      <c r="AD33" s="162">
        <f>IF(Solution!AF56=0,0,35.58)</f>
        <v>0</v>
      </c>
      <c r="AE33" s="162">
        <f>IF(Solution!AF56=0,0,27.15)</f>
        <v>0</v>
      </c>
      <c r="AF33" s="164">
        <f>IF(Solution!AF56=0,0,0.67*AE33)</f>
        <v>0</v>
      </c>
      <c r="AH33">
        <v>0</v>
      </c>
      <c r="AK33" s="467" t="str">
        <f>Y21</f>
        <v>6mo</v>
      </c>
      <c r="AL33" s="138">
        <f>-AC21/2</f>
        <v>-9.5</v>
      </c>
      <c r="AM33" s="138">
        <f>AB21</f>
        <v>29</v>
      </c>
      <c r="AN33" s="466">
        <f>-AE21/2</f>
        <v>-7.5</v>
      </c>
      <c r="AO33" s="466">
        <f>-'GPS Anthro Tool'!$B$42</f>
        <v>-2</v>
      </c>
      <c r="AP33" s="98"/>
      <c r="AQ33" s="42"/>
      <c r="AR33" s="113"/>
      <c r="AS33" s="113"/>
      <c r="AU33" s="113" t="s">
        <v>315</v>
      </c>
      <c r="AV33" s="113" t="s">
        <v>316</v>
      </c>
      <c r="AX33" s="113" t="s">
        <v>315</v>
      </c>
      <c r="AY33" s="113" t="s">
        <v>316</v>
      </c>
      <c r="AZ33" s="98"/>
      <c r="BA33" s="146">
        <f>IF($AJ$11=0,0,1.9)</f>
        <v>0</v>
      </c>
      <c r="BB33" s="188">
        <f>-$AJ$11</f>
        <v>0</v>
      </c>
      <c r="BG33" s="741"/>
      <c r="BH33" s="746"/>
      <c r="BI33" s="220">
        <f>IF('GPS Anthro Tool'!$B$31=0,0,-'Big Data'!W65*0.1/2-1.9)</f>
        <v>-2.5985</v>
      </c>
      <c r="BJ33" s="221">
        <f>IF('GPS Anthro Tool'!$B$31=0,0,'Big Data'!AU65+'GPS Anthro Tool'!$B$41)</f>
        <v>6.8259999999999987</v>
      </c>
      <c r="BK33" s="220">
        <f>IF('GPS Anthro Tool'!$B$31=0,0,-'Big Data'!X65*0.1/2-1.9)</f>
        <v>-1.9</v>
      </c>
      <c r="BL33" s="221">
        <f>IF('GPS Anthro Tool'!$B$31=0,0,'Big Data'!AV65+'GPS Anthro Tool'!$B$41)</f>
        <v>2</v>
      </c>
      <c r="BM33" s="222">
        <f>IF('GPS Anthro Tool'!$B$31=0,0,-'Big Data'!Y65*0.1/2-1.9)</f>
        <v>-1.9</v>
      </c>
      <c r="BN33" s="221">
        <f>IF('GPS Anthro Tool'!$B$31=0,0,'Big Data'!AW65+'GPS Anthro Tool'!$B$41)</f>
        <v>2</v>
      </c>
      <c r="BP33" s="220">
        <f>-BI33</f>
        <v>2.5985</v>
      </c>
      <c r="BQ33" s="221">
        <f t="shared" si="17"/>
        <v>6.8259999999999987</v>
      </c>
      <c r="BR33" s="220">
        <f>-BK33</f>
        <v>1.9</v>
      </c>
      <c r="BS33" s="221">
        <f t="shared" si="18"/>
        <v>2</v>
      </c>
      <c r="BT33" s="222">
        <f>-BM33</f>
        <v>1.9</v>
      </c>
      <c r="BU33" s="221">
        <f t="shared" si="19"/>
        <v>2</v>
      </c>
      <c r="BW33" t="s">
        <v>422</v>
      </c>
      <c r="BX33" s="260">
        <f>IF('GPS Anthro Tool'!$B$21=1,-CD33,0)</f>
        <v>-4.5</v>
      </c>
      <c r="BY33" s="254">
        <f t="shared" si="21"/>
        <v>-9.1120000000000001</v>
      </c>
      <c r="BZ33" s="265">
        <f>IF('GPS Anthro Tool'!$B$21=1,CF33,0)</f>
        <v>3.6</v>
      </c>
      <c r="CA33" s="260">
        <f>IF('GPS Anthro Tool'!$B$21=1,-CG33,0)</f>
        <v>-4.5</v>
      </c>
      <c r="CB33" s="254">
        <f t="shared" si="22"/>
        <v>-13.176</v>
      </c>
      <c r="CC33" s="265">
        <f>IF('GPS Anthro Tool'!$B$21=1,CI33,0)</f>
        <v>13.506000000000002</v>
      </c>
      <c r="CD33" s="260">
        <v>4.5</v>
      </c>
      <c r="CE33" s="257">
        <f>-SMALL('Big Data'!AI3:AK45,COUNTIF('Big Data'!AI3:AK45,0)+1)</f>
        <v>-9.1120000000000001</v>
      </c>
      <c r="CF33" s="265">
        <f>CA45+1</f>
        <v>3.6</v>
      </c>
      <c r="CG33" s="260">
        <v>4.5</v>
      </c>
      <c r="CH33" s="257">
        <f>-MAX('Big Data'!AI3:AK45)</f>
        <v>-13.176</v>
      </c>
      <c r="CI33" s="265">
        <f>CH45+1</f>
        <v>13.506000000000002</v>
      </c>
      <c r="CU33" s="239">
        <f>BP75</f>
        <v>0</v>
      </c>
      <c r="CV33" s="50">
        <f>BR75</f>
        <v>0</v>
      </c>
      <c r="CW33" s="50">
        <f>BT75</f>
        <v>0</v>
      </c>
      <c r="CX33" s="50">
        <f>BP72</f>
        <v>0</v>
      </c>
      <c r="CY33" s="50">
        <f>BR72</f>
        <v>0</v>
      </c>
      <c r="CZ33" s="50">
        <f>BT72</f>
        <v>0</v>
      </c>
      <c r="DA33" s="50">
        <f>BP69</f>
        <v>1.9</v>
      </c>
      <c r="DB33" s="50">
        <f>BR69</f>
        <v>1.9</v>
      </c>
      <c r="DC33" s="50">
        <f>BT69</f>
        <v>1.9</v>
      </c>
      <c r="DD33" s="50">
        <f>BP66</f>
        <v>1.9</v>
      </c>
      <c r="DE33" s="50">
        <f>BR66</f>
        <v>1.9</v>
      </c>
      <c r="DF33" s="50">
        <f>BT66</f>
        <v>1.9</v>
      </c>
      <c r="DG33" s="50">
        <f>BQ75</f>
        <v>2</v>
      </c>
      <c r="DH33" s="50">
        <f>BS75</f>
        <v>2</v>
      </c>
      <c r="DI33" s="50">
        <f>BU75</f>
        <v>2</v>
      </c>
      <c r="DJ33" s="50">
        <f>BQ72</f>
        <v>2</v>
      </c>
      <c r="DK33" s="50">
        <f>BS72</f>
        <v>2</v>
      </c>
      <c r="DL33" s="50">
        <f>BU72</f>
        <v>2</v>
      </c>
      <c r="DM33" s="50">
        <f>BQ69</f>
        <v>2</v>
      </c>
      <c r="DN33" s="50">
        <f>BS69</f>
        <v>2</v>
      </c>
      <c r="DO33" s="50">
        <f>BU69</f>
        <v>2</v>
      </c>
      <c r="DP33" s="50">
        <f>BQ66</f>
        <v>2</v>
      </c>
      <c r="DQ33" s="50">
        <f>BS66</f>
        <v>2</v>
      </c>
      <c r="DR33" s="241">
        <f>BU66</f>
        <v>2</v>
      </c>
    </row>
    <row r="34" spans="5:122" ht="13.5" thickBot="1">
      <c r="E34" s="82">
        <v>115</v>
      </c>
      <c r="F34" s="82">
        <v>66</v>
      </c>
      <c r="G34" s="82">
        <v>32.1</v>
      </c>
      <c r="H34" s="82">
        <v>27.7</v>
      </c>
      <c r="I34" s="82">
        <v>35.5</v>
      </c>
      <c r="J34" s="82">
        <v>41.7</v>
      </c>
      <c r="K34" s="76"/>
      <c r="L34" s="76"/>
      <c r="M34" s="77"/>
      <c r="R34" s="49"/>
      <c r="S34" s="48"/>
      <c r="T34" s="48"/>
      <c r="X34" s="176" t="s">
        <v>381</v>
      </c>
      <c r="Y34" s="175" t="s">
        <v>43</v>
      </c>
      <c r="Z34" s="162">
        <f>IF(Solution!AF57=0,0,150)</f>
        <v>0</v>
      </c>
      <c r="AA34" s="162">
        <f>IF(Solution!AF57=0,0,78.7+'GPS Anthro Tool'!$B$41)</f>
        <v>0</v>
      </c>
      <c r="AB34" s="180">
        <f>IF(Solution!AF57=0,0,49.2+'GPS Anthro Tool'!$B$41)</f>
        <v>0</v>
      </c>
      <c r="AC34" s="162">
        <f>IF(Solution!AF57=0,0,35.8)</f>
        <v>0</v>
      </c>
      <c r="AD34" s="162">
        <f>IF(Solution!AF57=0,0,40.58)</f>
        <v>0</v>
      </c>
      <c r="AE34" s="162">
        <f>IF(Solution!AF57=0,0,27.94)</f>
        <v>0</v>
      </c>
      <c r="AF34" s="180">
        <f>IF(Solution!AF57=0,0,0.67*AE34)</f>
        <v>0</v>
      </c>
      <c r="AH34">
        <v>0</v>
      </c>
      <c r="AK34" s="118"/>
      <c r="AL34" s="138">
        <f>AC21/2</f>
        <v>9.5</v>
      </c>
      <c r="AM34" s="138">
        <f>AB21</f>
        <v>29</v>
      </c>
      <c r="AN34" s="162">
        <f>(-AE21/2)*0.92</f>
        <v>-6.9</v>
      </c>
      <c r="AO34" s="162">
        <f>-AF21*0.92/2-'GPS Anthro Tool'!$B$42</f>
        <v>-7.0600000000000005</v>
      </c>
      <c r="AP34" s="98"/>
      <c r="AQ34" s="42"/>
      <c r="AR34" s="113"/>
      <c r="AS34" s="115" t="s">
        <v>313</v>
      </c>
      <c r="AT34" s="116"/>
      <c r="AU34" s="191">
        <f>IF(AL33=0,0,AL36)</f>
        <v>6.6736363636363638</v>
      </c>
      <c r="AV34" s="191">
        <f>AM33</f>
        <v>29</v>
      </c>
      <c r="AW34" s="116"/>
      <c r="AX34" s="193">
        <f>-1*AU34</f>
        <v>-6.6736363636363638</v>
      </c>
      <c r="AY34" s="192">
        <f>AV34</f>
        <v>29</v>
      </c>
      <c r="BB34" s="97"/>
      <c r="BG34" s="741"/>
      <c r="BH34" s="747"/>
      <c r="BI34" s="223">
        <f>IF('GPS Anthro Tool'!$B$31=0,0,IF(BI33=0,0,-1.9))</f>
        <v>-1.9</v>
      </c>
      <c r="BJ34" s="224">
        <f>'GPS Anthro Tool'!$B$41</f>
        <v>2</v>
      </c>
      <c r="BK34" s="223">
        <f>IF('GPS Anthro Tool'!$B$31=0,0,-1.9)</f>
        <v>-1.9</v>
      </c>
      <c r="BL34" s="224">
        <f>'GPS Anthro Tool'!$B$41</f>
        <v>2</v>
      </c>
      <c r="BM34" s="225">
        <f>IF('GPS Anthro Tool'!$B$31=0,0,-1.9)</f>
        <v>-1.9</v>
      </c>
      <c r="BN34" s="224">
        <f>'GPS Anthro Tool'!$B$41</f>
        <v>2</v>
      </c>
      <c r="BP34" s="223">
        <f>IF(BP33=0,0,1.9)</f>
        <v>1.9</v>
      </c>
      <c r="BQ34" s="224">
        <f t="shared" si="17"/>
        <v>2</v>
      </c>
      <c r="BR34" s="223">
        <f>IF(BR33=0,0,1.9)</f>
        <v>1.9</v>
      </c>
      <c r="BS34" s="224">
        <f t="shared" si="18"/>
        <v>2</v>
      </c>
      <c r="BT34" s="225">
        <f>IF(BT33=0,0,1.9)</f>
        <v>1.9</v>
      </c>
      <c r="BU34" s="224">
        <f t="shared" si="19"/>
        <v>2</v>
      </c>
      <c r="BW34" t="s">
        <v>423</v>
      </c>
      <c r="BX34" s="260">
        <f>IF('GPS Anthro Tool'!$B$21=1,-CD34,0)</f>
        <v>-6</v>
      </c>
      <c r="BY34" s="254">
        <f t="shared" si="21"/>
        <v>-9.1120000000000001</v>
      </c>
      <c r="BZ34" s="265">
        <f>IF('GPS Anthro Tool'!$B$21=1,CF34,0)</f>
        <v>15.872</v>
      </c>
      <c r="CA34" s="260">
        <f>IF('GPS Anthro Tool'!$B$21=1,-CG34,0)</f>
        <v>-6</v>
      </c>
      <c r="CB34" s="254">
        <f t="shared" si="22"/>
        <v>-13.176</v>
      </c>
      <c r="CC34" s="265">
        <f>IF('GPS Anthro Tool'!$B$21=1,CI34,0)</f>
        <v>23.187199999999997</v>
      </c>
      <c r="CD34" s="260">
        <v>6</v>
      </c>
      <c r="CE34" s="257">
        <f>-SMALL('Big Data'!AI3:AK45,COUNTIF('Big Data'!AI3:AK45,0)+1)</f>
        <v>-9.1120000000000001</v>
      </c>
      <c r="CF34" s="265">
        <f>CA44-3</f>
        <v>15.872</v>
      </c>
      <c r="CG34" s="260">
        <v>6</v>
      </c>
      <c r="CH34" s="257">
        <f>-MAX('Big Data'!AI3:AK45)</f>
        <v>-13.176</v>
      </c>
      <c r="CI34" s="265">
        <f>CH44-3</f>
        <v>23.187199999999997</v>
      </c>
      <c r="CU34" s="242"/>
      <c r="CX34" s="50">
        <f>BP76</f>
        <v>0</v>
      </c>
      <c r="CY34" s="50">
        <f>BR76</f>
        <v>0</v>
      </c>
      <c r="CZ34" s="50">
        <f>BT76</f>
        <v>0</v>
      </c>
      <c r="DA34" s="50">
        <f>BP73</f>
        <v>1.9</v>
      </c>
      <c r="DB34" s="50">
        <f>BR73</f>
        <v>1.9</v>
      </c>
      <c r="DC34" s="50">
        <f>BT73</f>
        <v>1.9</v>
      </c>
      <c r="DD34" s="50">
        <f>BP70</f>
        <v>1.9</v>
      </c>
      <c r="DE34" s="50">
        <f>BR70</f>
        <v>1.9</v>
      </c>
      <c r="DF34" s="50">
        <f>BT70</f>
        <v>1.9</v>
      </c>
      <c r="DJ34" s="50">
        <f>BQ76</f>
        <v>2</v>
      </c>
      <c r="DK34" s="50">
        <f>BS76</f>
        <v>2</v>
      </c>
      <c r="DL34" s="50">
        <f>BU76</f>
        <v>2</v>
      </c>
      <c r="DM34" s="50">
        <f>BQ73</f>
        <v>2</v>
      </c>
      <c r="DN34" s="50">
        <f>BS73</f>
        <v>2</v>
      </c>
      <c r="DO34" s="50">
        <f>BU73</f>
        <v>2</v>
      </c>
      <c r="DP34" s="50">
        <f>BQ70</f>
        <v>2</v>
      </c>
      <c r="DQ34" s="50">
        <f>BS70</f>
        <v>2</v>
      </c>
      <c r="DR34" s="241">
        <f>BU70</f>
        <v>2</v>
      </c>
    </row>
    <row r="35" spans="5:122" ht="13.5" customHeight="1" thickBot="1">
      <c r="E35" s="81">
        <v>120</v>
      </c>
      <c r="F35" s="81">
        <v>68.099999999999994</v>
      </c>
      <c r="G35" s="81">
        <v>33.299999999999997</v>
      </c>
      <c r="H35" s="81">
        <v>29.1</v>
      </c>
      <c r="I35" s="81">
        <v>37</v>
      </c>
      <c r="J35" s="81">
        <v>43</v>
      </c>
      <c r="K35" s="65"/>
      <c r="L35" s="65"/>
      <c r="M35" s="66"/>
      <c r="N35" s="64"/>
      <c r="O35" s="64"/>
      <c r="P35" s="64"/>
      <c r="Q35" s="64"/>
      <c r="R35" s="68"/>
      <c r="S35" s="67"/>
      <c r="T35" s="67"/>
      <c r="U35" s="64"/>
      <c r="V35" s="64"/>
      <c r="AK35" s="118"/>
      <c r="AL35" s="84">
        <v>-6.6736363636363638</v>
      </c>
      <c r="AM35" s="143"/>
      <c r="AN35" s="162">
        <f>-AF21*0.92*0.4</f>
        <v>-4.0480000000000009</v>
      </c>
      <c r="AO35" s="466">
        <f>-AF21*0.92-'GPS Anthro Tool'!$B$42</f>
        <v>-12.120000000000001</v>
      </c>
      <c r="AQ35" s="42"/>
      <c r="AS35" s="115" t="s">
        <v>312</v>
      </c>
      <c r="AT35" s="116"/>
      <c r="AU35" s="191">
        <f>((AU36-AU34)/2)+AU34*1.15</f>
        <v>9.087863636363636</v>
      </c>
      <c r="AV35" s="191">
        <f>((AV34-AV36)*0.75)+AV36</f>
        <v>28.293409090909091</v>
      </c>
      <c r="AW35" s="116"/>
      <c r="AX35" s="193">
        <f>-1*AU35</f>
        <v>-9.087863636363636</v>
      </c>
      <c r="AY35" s="192">
        <f>AV35</f>
        <v>28.293409090909091</v>
      </c>
      <c r="BA35" s="98" t="s">
        <v>416</v>
      </c>
      <c r="BB35" s="98"/>
      <c r="BC35" s="98"/>
      <c r="BD35" s="98"/>
      <c r="BE35" s="98"/>
      <c r="BF35" s="98"/>
      <c r="BG35" s="741"/>
      <c r="BH35" s="742">
        <v>5</v>
      </c>
      <c r="BI35" s="217">
        <f>IF('GPS Anthro Tool'!$B$31=0,0,-'Big Data'!W68/2)</f>
        <v>0</v>
      </c>
      <c r="BJ35" s="218">
        <f>'GPS Anthro Tool'!$B$41</f>
        <v>2</v>
      </c>
      <c r="BK35" s="217">
        <f>IF('GPS Anthro Tool'!$B$31=0,0,-'Big Data'!X68/2)</f>
        <v>0</v>
      </c>
      <c r="BL35" s="218">
        <f>'GPS Anthro Tool'!$B$41</f>
        <v>2</v>
      </c>
      <c r="BM35" s="219">
        <f>IF('GPS Anthro Tool'!$B$31=0,0,-'Big Data'!Y68/2)</f>
        <v>0</v>
      </c>
      <c r="BN35" s="218">
        <f>'GPS Anthro Tool'!$B$41</f>
        <v>2</v>
      </c>
      <c r="BP35" s="217">
        <f>-BI35</f>
        <v>0</v>
      </c>
      <c r="BQ35" s="218">
        <f t="shared" si="17"/>
        <v>2</v>
      </c>
      <c r="BR35" s="217">
        <f>-BK35</f>
        <v>0</v>
      </c>
      <c r="BS35" s="218">
        <f t="shared" si="18"/>
        <v>2</v>
      </c>
      <c r="BT35" s="219">
        <f>-BM35</f>
        <v>0</v>
      </c>
      <c r="BU35" s="218">
        <f t="shared" si="19"/>
        <v>2</v>
      </c>
      <c r="BW35" t="s">
        <v>424</v>
      </c>
      <c r="BX35" s="260">
        <f>IF('GPS Anthro Tool'!$B$21=1,-CD35,0)</f>
        <v>-6.5</v>
      </c>
      <c r="BY35" s="254">
        <f t="shared" si="21"/>
        <v>-9.1120000000000001</v>
      </c>
      <c r="BZ35" s="265">
        <f>IF('GPS Anthro Tool'!$B$21=1,CF35,0)</f>
        <v>21.372</v>
      </c>
      <c r="CA35" s="260">
        <f>IF('GPS Anthro Tool'!$B$21=1,-CG35,0)</f>
        <v>-6.5</v>
      </c>
      <c r="CB35" s="254">
        <f t="shared" si="22"/>
        <v>-13.176</v>
      </c>
      <c r="CC35" s="265">
        <f>IF('GPS Anthro Tool'!$B$21=1,CI35,0)</f>
        <v>28.687199999999997</v>
      </c>
      <c r="CD35" s="260">
        <f>CD34+0.5</f>
        <v>6.5</v>
      </c>
      <c r="CE35" s="257">
        <f>-SMALL('Big Data'!AI3:AK45,COUNTIF('Big Data'!AI3:AK45,0)+1)</f>
        <v>-9.1120000000000001</v>
      </c>
      <c r="CF35" s="265">
        <f>CF34+5.5</f>
        <v>21.372</v>
      </c>
      <c r="CG35" s="260">
        <f>CG34+0.5</f>
        <v>6.5</v>
      </c>
      <c r="CH35" s="257">
        <f>-MAX('Big Data'!AI3:AK45)</f>
        <v>-13.176</v>
      </c>
      <c r="CI35" s="265">
        <f>CI34+5.5</f>
        <v>28.687199999999997</v>
      </c>
      <c r="CU35" s="242"/>
      <c r="DA35" s="50">
        <f>BP77</f>
        <v>1.9</v>
      </c>
      <c r="DB35" s="50">
        <f>BR77</f>
        <v>1.9</v>
      </c>
      <c r="DC35" s="50">
        <f>BT77</f>
        <v>1.9</v>
      </c>
      <c r="DD35" s="50">
        <f>BP74</f>
        <v>1.9</v>
      </c>
      <c r="DE35" s="50">
        <f>BR74</f>
        <v>1.9</v>
      </c>
      <c r="DF35" s="50">
        <f>BT74</f>
        <v>1.9</v>
      </c>
      <c r="DM35" s="50">
        <f>BQ77</f>
        <v>2</v>
      </c>
      <c r="DN35" s="50">
        <f>BS77</f>
        <v>2</v>
      </c>
      <c r="DO35" s="50">
        <f>BU77</f>
        <v>2</v>
      </c>
      <c r="DP35" s="50">
        <f>BQ74</f>
        <v>2</v>
      </c>
      <c r="DQ35" s="50">
        <f>BS74</f>
        <v>2</v>
      </c>
      <c r="DR35" s="241">
        <f>BU74</f>
        <v>2</v>
      </c>
    </row>
    <row r="36" spans="5:122" ht="13.5" customHeight="1" thickBot="1">
      <c r="E36" s="105">
        <v>125</v>
      </c>
      <c r="F36" s="82">
        <v>70.2</v>
      </c>
      <c r="G36" s="82">
        <v>33.299999999999997</v>
      </c>
      <c r="H36" s="82">
        <v>29.1</v>
      </c>
      <c r="I36" s="82">
        <v>38.5</v>
      </c>
      <c r="J36" s="82">
        <v>44.3</v>
      </c>
      <c r="K36" s="76"/>
      <c r="L36" s="76"/>
      <c r="M36" s="77"/>
      <c r="U36" s="49"/>
      <c r="V36" s="48"/>
      <c r="AB36" s="50"/>
      <c r="AK36" s="118"/>
      <c r="AL36" s="84">
        <v>6.6736363636363638</v>
      </c>
      <c r="AM36" s="143"/>
      <c r="AN36" s="162">
        <v>0</v>
      </c>
      <c r="AO36" s="466">
        <f>-AF21-'GPS Anthro Tool'!$B$42</f>
        <v>-13</v>
      </c>
      <c r="AQ36" s="42"/>
      <c r="AS36" s="115" t="s">
        <v>314</v>
      </c>
      <c r="AT36" s="116"/>
      <c r="AU36" s="191">
        <f>AL34</f>
        <v>9.5</v>
      </c>
      <c r="AV36" s="191">
        <f>AV34-(AU36-AU34)</f>
        <v>26.173636363636362</v>
      </c>
      <c r="AW36" s="116"/>
      <c r="AX36" s="193">
        <f>-1*AU36</f>
        <v>-9.5</v>
      </c>
      <c r="AY36" s="192">
        <f>AV36</f>
        <v>26.173636363636362</v>
      </c>
      <c r="BA36" s="189">
        <f>-($AI$14/2)</f>
        <v>-6.7309999999999999</v>
      </c>
      <c r="BB36" s="187">
        <f>IF(BA36=0,0,IF('GPS Anthro Tool'!$B$29="V",0,0))+'GPS Anthro Tool'!$B$30</f>
        <v>0</v>
      </c>
      <c r="BC36" s="50"/>
      <c r="BD36" s="189">
        <f t="shared" ref="BD36:BD43" si="23">-BA36</f>
        <v>6.7309999999999999</v>
      </c>
      <c r="BE36" s="187">
        <f t="shared" ref="BE36:BE43" si="24">BB36</f>
        <v>0</v>
      </c>
      <c r="BF36" s="113"/>
      <c r="BG36" s="741"/>
      <c r="BH36" s="743"/>
      <c r="BI36" s="220">
        <f>IF('GPS Anthro Tool'!$B$31=0,0,-'Big Data'!W68*0.9/2)</f>
        <v>0</v>
      </c>
      <c r="BJ36" s="221">
        <f>IF('GPS Anthro Tool'!$B$31=0,0,'Big Data'!AU68+'GPS Anthro Tool'!$B$41)</f>
        <v>2</v>
      </c>
      <c r="BK36" s="220">
        <f>IF('GPS Anthro Tool'!$B$31=0,0,-'Big Data'!X68*0.9/2)</f>
        <v>0</v>
      </c>
      <c r="BL36" s="221">
        <f>IF('GPS Anthro Tool'!$B$31=0,0,'Big Data'!AV68+'GPS Anthro Tool'!$B$41)</f>
        <v>2</v>
      </c>
      <c r="BM36" s="222">
        <f>IF('GPS Anthro Tool'!$B$31=0,0,-'Big Data'!Y68*0.9/2)</f>
        <v>0</v>
      </c>
      <c r="BN36" s="221">
        <f>IF('GPS Anthro Tool'!$B$31=0,0,'Big Data'!AW68+'GPS Anthro Tool'!$B$41)</f>
        <v>2</v>
      </c>
      <c r="BP36" s="220">
        <f>-BI36</f>
        <v>0</v>
      </c>
      <c r="BQ36" s="221">
        <f t="shared" si="17"/>
        <v>2</v>
      </c>
      <c r="BR36" s="220">
        <f>-BK36</f>
        <v>0</v>
      </c>
      <c r="BS36" s="221">
        <f t="shared" si="18"/>
        <v>2</v>
      </c>
      <c r="BT36" s="222">
        <f>-BM36</f>
        <v>0</v>
      </c>
      <c r="BU36" s="221">
        <f t="shared" si="19"/>
        <v>2</v>
      </c>
      <c r="BW36" t="s">
        <v>425</v>
      </c>
      <c r="BX36" s="261">
        <f>IF('GPS Anthro Tool'!$B$21=1,-CD36,0)</f>
        <v>-6.2129999999999992</v>
      </c>
      <c r="BY36" s="254">
        <f t="shared" si="21"/>
        <v>0</v>
      </c>
      <c r="BZ36" s="253">
        <f>IF('GPS Anthro Tool'!$B$21=1,CF36,0)</f>
        <v>23.59</v>
      </c>
      <c r="CA36" s="261">
        <f>IF('GPS Anthro Tool'!$B$21=1,-CG36,0)</f>
        <v>-7.2289999999999992</v>
      </c>
      <c r="CB36" s="254">
        <f t="shared" si="22"/>
        <v>0</v>
      </c>
      <c r="CC36" s="253">
        <f>IF('GPS Anthro Tool'!$B$21=1,CI36,0)</f>
        <v>32.733999999999995</v>
      </c>
      <c r="CD36" s="261">
        <f>SMALL(BX3:BX14,COUNTIF(BX3:BX14,0)+1)+3.8</f>
        <v>6.2129999999999992</v>
      </c>
      <c r="CE36" s="250">
        <v>0</v>
      </c>
      <c r="CF36" s="253">
        <f>SMALL(BZ3:BZ14,COUNTIF(BZ3:BZ14,0)+1)</f>
        <v>23.59</v>
      </c>
      <c r="CG36" s="261">
        <f>MAX(BX3:BX14)+3.8</f>
        <v>7.2289999999999992</v>
      </c>
      <c r="CH36" s="250">
        <v>0</v>
      </c>
      <c r="CI36" s="253">
        <f>MAX(BZ3:BZ14)</f>
        <v>32.733999999999995</v>
      </c>
      <c r="CU36" s="243"/>
      <c r="CV36" s="244"/>
      <c r="CW36" s="244"/>
      <c r="CX36" s="244"/>
      <c r="CY36" s="244"/>
      <c r="CZ36" s="244"/>
      <c r="DA36" s="244"/>
      <c r="DB36" s="244"/>
      <c r="DC36" s="244"/>
      <c r="DD36" s="245">
        <f>BP78</f>
        <v>1.9</v>
      </c>
      <c r="DE36" s="245">
        <f>BR78</f>
        <v>1.9</v>
      </c>
      <c r="DF36" s="245">
        <f>BT78</f>
        <v>1.9</v>
      </c>
      <c r="DG36" s="244"/>
      <c r="DH36" s="244"/>
      <c r="DI36" s="244"/>
      <c r="DJ36" s="244"/>
      <c r="DK36" s="244"/>
      <c r="DL36" s="244"/>
      <c r="DM36" s="244"/>
      <c r="DN36" s="244"/>
      <c r="DO36" s="244"/>
      <c r="DP36" s="245">
        <f>BQ78</f>
        <v>2</v>
      </c>
      <c r="DQ36" s="245">
        <f>BS78</f>
        <v>2</v>
      </c>
      <c r="DR36" s="103">
        <f>BU78</f>
        <v>2</v>
      </c>
    </row>
    <row r="37" spans="5:122">
      <c r="E37" s="82">
        <v>130</v>
      </c>
      <c r="F37" s="82">
        <v>72.3</v>
      </c>
      <c r="G37" s="82">
        <v>33.299999999999997</v>
      </c>
      <c r="H37" s="82">
        <v>29.1</v>
      </c>
      <c r="I37" s="82">
        <v>40</v>
      </c>
      <c r="J37" s="82">
        <v>46.1</v>
      </c>
      <c r="K37" s="45"/>
      <c r="L37" s="45"/>
      <c r="M37" s="35"/>
      <c r="U37" s="49"/>
      <c r="V37" s="48"/>
      <c r="X37" s="721" t="str">
        <f>IF('GPS Anthro Tool'!$B$44=1,"Dummy Selection Auto ","Dummy Selection Manual")</f>
        <v xml:space="preserve">Dummy Selection Auto </v>
      </c>
      <c r="Y37" s="721"/>
      <c r="Z37" s="719" t="s">
        <v>379</v>
      </c>
      <c r="AA37" s="719" t="s">
        <v>380</v>
      </c>
      <c r="AB37" s="717" t="s">
        <v>377</v>
      </c>
      <c r="AC37" s="717" t="s">
        <v>378</v>
      </c>
      <c r="AD37" s="719" t="s">
        <v>384</v>
      </c>
      <c r="AE37" s="719" t="s">
        <v>383</v>
      </c>
      <c r="AF37" s="719" t="s">
        <v>3556</v>
      </c>
      <c r="AK37" s="118"/>
      <c r="AL37" s="143"/>
      <c r="AM37" s="143"/>
      <c r="AN37" s="99"/>
      <c r="AO37" s="99"/>
      <c r="AQ37" s="42"/>
      <c r="BA37" s="190">
        <f>-($AI$14/2)</f>
        <v>-6.7309999999999999</v>
      </c>
      <c r="BB37" s="188">
        <f>IF(BA37=0,0,IF('GPS Anthro Tool'!$B$29="V",-3.8,-3.8))+'GPS Anthro Tool'!$B$30</f>
        <v>-3.8</v>
      </c>
      <c r="BC37" s="50"/>
      <c r="BD37" s="190">
        <f t="shared" si="23"/>
        <v>6.7309999999999999</v>
      </c>
      <c r="BE37" s="188">
        <f t="shared" si="24"/>
        <v>-3.8</v>
      </c>
      <c r="BF37" s="113"/>
      <c r="BG37" s="741"/>
      <c r="BH37" s="743"/>
      <c r="BI37" s="220">
        <f>IF('GPS Anthro Tool'!$B$31=0,0,-'Big Data'!W68*0.1/2-1.9)</f>
        <v>-1.9</v>
      </c>
      <c r="BJ37" s="221">
        <f>IF('GPS Anthro Tool'!$B$31=0,0,'Big Data'!AU68+'GPS Anthro Tool'!$B$41)</f>
        <v>2</v>
      </c>
      <c r="BK37" s="220">
        <f>IF('GPS Anthro Tool'!$B$31=0,0,-'Big Data'!X68*0.1/2-1.9)</f>
        <v>-1.9</v>
      </c>
      <c r="BL37" s="221">
        <f>IF('GPS Anthro Tool'!$B$31=0,0,'Big Data'!AV68+'GPS Anthro Tool'!$B$41)</f>
        <v>2</v>
      </c>
      <c r="BM37" s="222">
        <f>IF('GPS Anthro Tool'!$B$31=0,0,-'Big Data'!Y68*0.1/2-1.9)</f>
        <v>-1.9</v>
      </c>
      <c r="BN37" s="221">
        <f>IF('GPS Anthro Tool'!$B$31=0,0,'Big Data'!AW68+'GPS Anthro Tool'!$B$41)</f>
        <v>2</v>
      </c>
      <c r="BP37" s="220">
        <f>-BI37</f>
        <v>1.9</v>
      </c>
      <c r="BQ37" s="221">
        <f t="shared" si="17"/>
        <v>2</v>
      </c>
      <c r="BR37" s="220">
        <f>-BK37</f>
        <v>1.9</v>
      </c>
      <c r="BS37" s="221">
        <f t="shared" si="18"/>
        <v>2</v>
      </c>
      <c r="BT37" s="222">
        <f>-BM37</f>
        <v>1.9</v>
      </c>
      <c r="BU37" s="221">
        <f t="shared" si="19"/>
        <v>2</v>
      </c>
      <c r="BW37" t="s">
        <v>442</v>
      </c>
      <c r="BX37" s="269">
        <f>BX36+5</f>
        <v>-1.2129999999999992</v>
      </c>
      <c r="BY37" s="270">
        <v>0</v>
      </c>
      <c r="BZ37" s="269">
        <f>BZ36-5-CQ31</f>
        <v>0.8202578490209298</v>
      </c>
      <c r="CA37" s="84">
        <f>-CG37</f>
        <v>-2.2289999999999992</v>
      </c>
      <c r="CB37" s="147">
        <v>0</v>
      </c>
      <c r="CC37" s="84">
        <f>CC36-5</f>
        <v>27.733999999999995</v>
      </c>
      <c r="CD37" s="269">
        <f>CD36-5</f>
        <v>1.2129999999999992</v>
      </c>
      <c r="CE37" s="270">
        <v>0</v>
      </c>
      <c r="CF37" s="269">
        <f>CF36-5-CQ31</f>
        <v>0.8202578490209298</v>
      </c>
      <c r="CG37" s="84">
        <f>CG36-5</f>
        <v>2.2289999999999992</v>
      </c>
      <c r="CH37" s="147">
        <v>0</v>
      </c>
      <c r="CI37" s="84">
        <f>CI36-5</f>
        <v>27.733999999999995</v>
      </c>
    </row>
    <row r="38" spans="5:122" ht="12.95" customHeight="1" thickBot="1">
      <c r="E38" s="82">
        <v>135</v>
      </c>
      <c r="F38" s="82">
        <v>74.400000000000006</v>
      </c>
      <c r="G38" s="82">
        <v>33.299999999999997</v>
      </c>
      <c r="H38" s="82">
        <v>29.1</v>
      </c>
      <c r="I38" s="82">
        <v>41.5</v>
      </c>
      <c r="J38" s="82">
        <v>47.9</v>
      </c>
      <c r="K38" s="45"/>
      <c r="L38" s="45"/>
      <c r="M38" s="35"/>
      <c r="U38" s="49"/>
      <c r="V38" s="48"/>
      <c r="X38" s="721"/>
      <c r="Y38" s="721"/>
      <c r="Z38" s="719"/>
      <c r="AA38" s="719"/>
      <c r="AB38" s="717"/>
      <c r="AC38" s="717"/>
      <c r="AD38" s="719"/>
      <c r="AE38" s="719"/>
      <c r="AF38" s="719"/>
      <c r="AK38" s="118"/>
      <c r="AL38" s="143"/>
      <c r="AM38" s="143"/>
      <c r="AN38" s="99"/>
      <c r="AO38" s="99"/>
      <c r="AQ38" s="42"/>
      <c r="BA38" s="189">
        <f>-($AI$13/2)</f>
        <v>0</v>
      </c>
      <c r="BB38" s="187">
        <f>IF(BA38=0,0,0)+'GPS Anthro Tool'!$B$30</f>
        <v>0</v>
      </c>
      <c r="BC38" s="50"/>
      <c r="BD38" s="189">
        <f t="shared" si="23"/>
        <v>0</v>
      </c>
      <c r="BE38" s="187">
        <f t="shared" si="24"/>
        <v>0</v>
      </c>
      <c r="BF38" s="113"/>
      <c r="BG38" s="741"/>
      <c r="BH38" s="744"/>
      <c r="BI38" s="223">
        <f>IF('GPS Anthro Tool'!$B$31=0,0,IF(BI37=0,0,-1.9))</f>
        <v>-1.9</v>
      </c>
      <c r="BJ38" s="224">
        <f>'GPS Anthro Tool'!$B$41</f>
        <v>2</v>
      </c>
      <c r="BK38" s="223">
        <f>IF('GPS Anthro Tool'!$B$31=0,0,-1.9)</f>
        <v>-1.9</v>
      </c>
      <c r="BL38" s="224">
        <f>'GPS Anthro Tool'!$B$41</f>
        <v>2</v>
      </c>
      <c r="BM38" s="225">
        <f>IF('GPS Anthro Tool'!$B$31=0,0,-1.9)</f>
        <v>-1.9</v>
      </c>
      <c r="BN38" s="224">
        <f>'GPS Anthro Tool'!$B$41</f>
        <v>2</v>
      </c>
      <c r="BP38" s="223">
        <f>IF(BP37=0,0,1.9)</f>
        <v>1.9</v>
      </c>
      <c r="BQ38" s="224">
        <f t="shared" si="17"/>
        <v>2</v>
      </c>
      <c r="BR38" s="223">
        <f>IF(BR37=0,0,1.9)</f>
        <v>1.9</v>
      </c>
      <c r="BS38" s="224">
        <f t="shared" si="18"/>
        <v>2</v>
      </c>
      <c r="BT38" s="225">
        <f>IF(BT37=0,0,1.9)</f>
        <v>1.9</v>
      </c>
      <c r="BU38" s="224">
        <f t="shared" si="19"/>
        <v>2</v>
      </c>
      <c r="BW38" t="s">
        <v>445</v>
      </c>
    </row>
    <row r="39" spans="5:122">
      <c r="E39" s="82">
        <v>140</v>
      </c>
      <c r="F39" s="82">
        <v>76.5</v>
      </c>
      <c r="G39" s="82">
        <v>34.200000000000003</v>
      </c>
      <c r="H39" s="82">
        <v>29.6</v>
      </c>
      <c r="I39" s="82">
        <v>43</v>
      </c>
      <c r="J39" s="82">
        <v>49.7</v>
      </c>
      <c r="K39" s="45"/>
      <c r="L39" s="45"/>
      <c r="M39" s="35"/>
      <c r="U39" s="49"/>
      <c r="V39" s="48"/>
      <c r="X39" s="721"/>
      <c r="Y39" s="721"/>
      <c r="Z39" s="719"/>
      <c r="AA39" s="719"/>
      <c r="AB39" s="717"/>
      <c r="AC39" s="717"/>
      <c r="AD39" s="719"/>
      <c r="AE39" s="719"/>
      <c r="AF39" s="719"/>
      <c r="AK39" s="118"/>
      <c r="AL39" s="143"/>
      <c r="AM39" s="143"/>
      <c r="AN39" s="99"/>
      <c r="AO39" s="99"/>
      <c r="AQ39" s="42"/>
      <c r="BA39" s="190">
        <f>-($AI$13/2)</f>
        <v>0</v>
      </c>
      <c r="BB39" s="188">
        <f>IF(BA39=0,0,-3.8)+'GPS Anthro Tool'!$B$30</f>
        <v>0</v>
      </c>
      <c r="BC39" s="50"/>
      <c r="BD39" s="190">
        <f t="shared" si="23"/>
        <v>0</v>
      </c>
      <c r="BE39" s="188">
        <f t="shared" si="24"/>
        <v>0</v>
      </c>
      <c r="BF39" s="113"/>
      <c r="BG39" s="741"/>
      <c r="BH39" s="742">
        <v>6</v>
      </c>
      <c r="BI39" s="217">
        <f>IF('GPS Anthro Tool'!$B$31=0,0,-'Big Data'!W71/2)</f>
        <v>0</v>
      </c>
      <c r="BJ39" s="218">
        <f>'GPS Anthro Tool'!$B$41</f>
        <v>2</v>
      </c>
      <c r="BK39" s="217">
        <f>IF('GPS Anthro Tool'!$B$31=0,0,-'Big Data'!X71/2)</f>
        <v>0</v>
      </c>
      <c r="BL39" s="218">
        <f>'GPS Anthro Tool'!$B$41</f>
        <v>2</v>
      </c>
      <c r="BM39" s="219">
        <f>IF('GPS Anthro Tool'!$B$31=0,0,-'Big Data'!Y71/2)</f>
        <v>0</v>
      </c>
      <c r="BN39" s="218">
        <f>'GPS Anthro Tool'!$B$41</f>
        <v>2</v>
      </c>
      <c r="BP39" s="217">
        <f>-BI39</f>
        <v>0</v>
      </c>
      <c r="BQ39" s="218">
        <f t="shared" si="17"/>
        <v>2</v>
      </c>
      <c r="BR39" s="217">
        <f>-BK39</f>
        <v>0</v>
      </c>
      <c r="BS39" s="218">
        <f t="shared" si="18"/>
        <v>2</v>
      </c>
      <c r="BT39" s="219">
        <f>-BM39</f>
        <v>0</v>
      </c>
      <c r="BU39" s="218">
        <f t="shared" si="19"/>
        <v>2</v>
      </c>
    </row>
    <row r="40" spans="5:122">
      <c r="E40" s="82">
        <v>145</v>
      </c>
      <c r="F40" s="82">
        <v>78.599999999999994</v>
      </c>
      <c r="G40" s="82">
        <v>35.299999999999997</v>
      </c>
      <c r="H40" s="82">
        <v>30.8</v>
      </c>
      <c r="I40" s="82">
        <v>44.5</v>
      </c>
      <c r="J40" s="82">
        <v>51.5</v>
      </c>
      <c r="K40" s="45"/>
      <c r="L40" s="45"/>
      <c r="M40" s="35"/>
      <c r="U40" s="49"/>
      <c r="V40" s="48"/>
      <c r="X40" s="721"/>
      <c r="Y40" s="721"/>
      <c r="Z40" s="719"/>
      <c r="AA40" s="719"/>
      <c r="AB40" s="717"/>
      <c r="AC40" s="717"/>
      <c r="AD40" s="719"/>
      <c r="AE40" s="719"/>
      <c r="AF40" s="719"/>
      <c r="AK40" s="467" t="str">
        <f>Y22</f>
        <v>Q0</v>
      </c>
      <c r="AL40" s="138">
        <f>-AC22/2</f>
        <v>0</v>
      </c>
      <c r="AM40" s="138">
        <f>AB22</f>
        <v>0</v>
      </c>
      <c r="AN40" s="99">
        <f>AN45*-1</f>
        <v>0</v>
      </c>
      <c r="AO40" s="99">
        <f>-'GPS Anthro Tool'!$B$42</f>
        <v>-2</v>
      </c>
      <c r="AQ40" s="42"/>
      <c r="AS40" s="113"/>
      <c r="AU40" s="113" t="s">
        <v>315</v>
      </c>
      <c r="AV40" s="113" t="s">
        <v>316</v>
      </c>
      <c r="AX40" s="113" t="s">
        <v>315</v>
      </c>
      <c r="AY40" s="113" t="s">
        <v>316</v>
      </c>
      <c r="BA40" s="189">
        <f>-($AI$12/2)</f>
        <v>0</v>
      </c>
      <c r="BB40" s="187">
        <f>IF(BA40=0,0,IF('GPS Anthro Tool'!$B$29="V",1.9,0))+'GPS Anthro Tool'!$B$30</f>
        <v>0</v>
      </c>
      <c r="BC40" s="50"/>
      <c r="BD40" s="189">
        <f t="shared" si="23"/>
        <v>0</v>
      </c>
      <c r="BE40" s="187">
        <f t="shared" si="24"/>
        <v>0</v>
      </c>
      <c r="BF40" s="113"/>
      <c r="BG40" s="741"/>
      <c r="BH40" s="743"/>
      <c r="BI40" s="220">
        <f>IF('GPS Anthro Tool'!$B$31=0,0,-'Big Data'!W71*0.9/2)</f>
        <v>0</v>
      </c>
      <c r="BJ40" s="221">
        <f>IF('GPS Anthro Tool'!$B$31=0,0,'Big Data'!AU71+'GPS Anthro Tool'!$B$41)</f>
        <v>2</v>
      </c>
      <c r="BK40" s="220">
        <f>IF('GPS Anthro Tool'!$B$31=0,0,-'Big Data'!X71*0.9/2)</f>
        <v>0</v>
      </c>
      <c r="BL40" s="221">
        <f>IF('GPS Anthro Tool'!$B$31=0,0,'Big Data'!AV71+'GPS Anthro Tool'!$B$41)</f>
        <v>2</v>
      </c>
      <c r="BM40" s="222">
        <f>IF('GPS Anthro Tool'!$B$31=0,0,-'Big Data'!Y71*0.9/2)</f>
        <v>0</v>
      </c>
      <c r="BN40" s="221">
        <f>IF('GPS Anthro Tool'!$B$31=0,0,'Big Data'!AW71+'GPS Anthro Tool'!$B$41)</f>
        <v>2</v>
      </c>
      <c r="BP40" s="220">
        <f>-BI40</f>
        <v>0</v>
      </c>
      <c r="BQ40" s="221">
        <f t="shared" si="17"/>
        <v>2</v>
      </c>
      <c r="BR40" s="220">
        <f>-BK40</f>
        <v>0</v>
      </c>
      <c r="BS40" s="221">
        <f t="shared" si="18"/>
        <v>2</v>
      </c>
      <c r="BT40" s="222">
        <f>-BM40</f>
        <v>0</v>
      </c>
      <c r="BU40" s="221">
        <f t="shared" si="19"/>
        <v>2</v>
      </c>
    </row>
    <row r="41" spans="5:122" ht="12.95" customHeight="1">
      <c r="E41" s="82">
        <v>150</v>
      </c>
      <c r="F41" s="82">
        <v>81.099999999999994</v>
      </c>
      <c r="G41" s="82">
        <v>36.4</v>
      </c>
      <c r="H41" s="82">
        <v>32</v>
      </c>
      <c r="I41" s="82">
        <v>46.3</v>
      </c>
      <c r="J41" s="85">
        <v>53.3</v>
      </c>
      <c r="K41" s="45"/>
      <c r="L41" s="45"/>
      <c r="M41" s="35"/>
      <c r="U41" s="49"/>
      <c r="V41" s="48"/>
      <c r="X41" s="721"/>
      <c r="Y41" s="721"/>
      <c r="Z41" s="720"/>
      <c r="AA41" s="720"/>
      <c r="AB41" s="718"/>
      <c r="AC41" s="718"/>
      <c r="AD41" s="720"/>
      <c r="AE41" s="720"/>
      <c r="AF41" s="720"/>
      <c r="AG41" s="572"/>
      <c r="AK41" s="118"/>
      <c r="AL41" s="138">
        <f>AC22/2</f>
        <v>0</v>
      </c>
      <c r="AM41" s="138">
        <f>AB22</f>
        <v>0</v>
      </c>
      <c r="AN41" s="99">
        <f>(AN45*-1)*0.92</f>
        <v>0</v>
      </c>
      <c r="AO41" s="99">
        <f>AO42/2</f>
        <v>-1</v>
      </c>
      <c r="AQ41" s="42"/>
      <c r="AS41" s="115" t="s">
        <v>313</v>
      </c>
      <c r="AT41" s="116"/>
      <c r="AU41" s="191">
        <f>IF(AL40=0,0,AL43)</f>
        <v>0</v>
      </c>
      <c r="AV41" s="191">
        <f>AM40</f>
        <v>0</v>
      </c>
      <c r="AW41" s="116"/>
      <c r="AX41" s="193">
        <f>-1*AU41</f>
        <v>0</v>
      </c>
      <c r="AY41" s="192">
        <f>AV41</f>
        <v>0</v>
      </c>
      <c r="BA41" s="190">
        <f>-($AI$12/2)</f>
        <v>0</v>
      </c>
      <c r="BB41" s="188">
        <f>IF(BA41=0,0,IF('GPS Anthro Tool'!$B$29="V",-1.9,-3.8))+'GPS Anthro Tool'!$B$30</f>
        <v>0</v>
      </c>
      <c r="BC41" s="50"/>
      <c r="BD41" s="190">
        <f t="shared" si="23"/>
        <v>0</v>
      </c>
      <c r="BE41" s="188">
        <f t="shared" si="24"/>
        <v>0</v>
      </c>
      <c r="BF41" s="113"/>
      <c r="BG41" s="741"/>
      <c r="BH41" s="743"/>
      <c r="BI41" s="220">
        <f>IF('GPS Anthro Tool'!$B$31=0,0,-'Big Data'!W71*0.1/2-1.9)</f>
        <v>-1.9</v>
      </c>
      <c r="BJ41" s="221">
        <f>IF('GPS Anthro Tool'!$B$31=0,0,'Big Data'!AU71+'GPS Anthro Tool'!$B$41)</f>
        <v>2</v>
      </c>
      <c r="BK41" s="220">
        <f>IF('GPS Anthro Tool'!$B$31=0,0,-'Big Data'!X71*0.1/2-1.9)</f>
        <v>-1.9</v>
      </c>
      <c r="BL41" s="221">
        <f>IF('GPS Anthro Tool'!$B$31=0,0,'Big Data'!AV71+'GPS Anthro Tool'!$B$41)</f>
        <v>2</v>
      </c>
      <c r="BM41" s="222">
        <f>IF('GPS Anthro Tool'!$B$31=0,0,-'Big Data'!Y71*0.1/2-1.9)</f>
        <v>-1.9</v>
      </c>
      <c r="BN41" s="221">
        <f>IF('GPS Anthro Tool'!$B$31=0,0,'Big Data'!AW71+'GPS Anthro Tool'!$B$41)</f>
        <v>2</v>
      </c>
      <c r="BP41" s="220">
        <f>-BI41</f>
        <v>1.9</v>
      </c>
      <c r="BQ41" s="221">
        <f t="shared" si="17"/>
        <v>2</v>
      </c>
      <c r="BR41" s="220">
        <f>-BK41</f>
        <v>1.9</v>
      </c>
      <c r="BS41" s="221">
        <f t="shared" si="18"/>
        <v>2</v>
      </c>
      <c r="BT41" s="222">
        <f>-BM41</f>
        <v>1.9</v>
      </c>
      <c r="BU41" s="221">
        <f t="shared" si="19"/>
        <v>2</v>
      </c>
      <c r="BY41" t="s">
        <v>458</v>
      </c>
      <c r="BZ41" s="266">
        <v>1</v>
      </c>
      <c r="CA41" t="s">
        <v>452</v>
      </c>
    </row>
    <row r="42" spans="5:122" ht="13.5" thickBot="1">
      <c r="X42" s="702" t="s">
        <v>381</v>
      </c>
      <c r="Y42" s="702" t="s">
        <v>13</v>
      </c>
      <c r="Z42" s="703">
        <v>0</v>
      </c>
      <c r="AA42" s="703">
        <v>7.8</v>
      </c>
      <c r="AB42" s="703">
        <v>0</v>
      </c>
      <c r="AC42" s="704">
        <v>64</v>
      </c>
      <c r="AD42" s="705">
        <f>IF('GPS Anthro Tool'!$B$4=0,0,IF('GPS Anthro Tool'!$B$17&lt;=$AA$42,IF('GPS Anthro Tool'!$B$16&gt;=$Z$42,1,0),0))</f>
        <v>1</v>
      </c>
      <c r="AE42" s="705">
        <f>IF('GPS Anthro Tool'!$B$2&gt;3,0,IF('GPS Anthro Tool'!$B$4=0,0,IF('GPS Anthro Tool'!$B$15&lt;=AC42,IF('GPS Anthro Tool'!$B$14&gt;=$AB$42,1,0),0)))</f>
        <v>1</v>
      </c>
      <c r="AF42" s="706">
        <f>IF('GPS Anthro Tool'!$B$44=1,IF($AD$42=1,IF($AE$42=1,1,IF('GPS Anthro Tool'!$B$2=8,1,0)),0),IF('GPS Anthro Tool'!$B$60=1,1,0))</f>
        <v>1</v>
      </c>
      <c r="AG42" s="572"/>
      <c r="AK42" s="118"/>
      <c r="AL42" s="84">
        <v>-6.4418181818181814</v>
      </c>
      <c r="AM42" s="143"/>
      <c r="AN42" s="162">
        <v>0</v>
      </c>
      <c r="AO42" s="466">
        <f>-AF22-'GPS Anthro Tool'!$B$42</f>
        <v>-2</v>
      </c>
      <c r="AQ42" s="42"/>
      <c r="AS42" s="115" t="s">
        <v>312</v>
      </c>
      <c r="AT42" s="116"/>
      <c r="AU42" s="191">
        <f>((AU43-AU41)/2)+AU41*1.05</f>
        <v>0</v>
      </c>
      <c r="AV42" s="191">
        <f>((AV41-AV43)*0.75)+AV43</f>
        <v>0</v>
      </c>
      <c r="AW42" s="116"/>
      <c r="AX42" s="193">
        <f>-1*AU42</f>
        <v>0</v>
      </c>
      <c r="AY42" s="192">
        <f>AV42</f>
        <v>0</v>
      </c>
      <c r="BA42" s="189">
        <f>-$AI$11/2</f>
        <v>0</v>
      </c>
      <c r="BB42" s="187">
        <f>0+'GPS Anthro Tool'!$B$30</f>
        <v>0</v>
      </c>
      <c r="BC42" s="50"/>
      <c r="BD42" s="189">
        <f t="shared" si="23"/>
        <v>0</v>
      </c>
      <c r="BE42" s="187">
        <f t="shared" si="24"/>
        <v>0</v>
      </c>
      <c r="BF42" s="113"/>
      <c r="BG42" s="741"/>
      <c r="BH42" s="744"/>
      <c r="BI42" s="223">
        <f>IF('GPS Anthro Tool'!$B$31=0,0,IF(BI41=0,0,-1.9))</f>
        <v>-1.9</v>
      </c>
      <c r="BJ42" s="224">
        <f>'GPS Anthro Tool'!$B$41</f>
        <v>2</v>
      </c>
      <c r="BK42" s="223">
        <f>IF('GPS Anthro Tool'!$B$31=0,0,-1.9)</f>
        <v>-1.9</v>
      </c>
      <c r="BL42" s="224">
        <f>'GPS Anthro Tool'!$B$41</f>
        <v>2</v>
      </c>
      <c r="BM42" s="225">
        <f>IF('GPS Anthro Tool'!$B$31=0,0,-1.9)</f>
        <v>-1.9</v>
      </c>
      <c r="BN42" s="224">
        <f>'GPS Anthro Tool'!$B$41</f>
        <v>2</v>
      </c>
      <c r="BP42" s="223">
        <f>IF(BP41=0,0,1.9)</f>
        <v>1.9</v>
      </c>
      <c r="BQ42" s="224">
        <f t="shared" si="17"/>
        <v>2</v>
      </c>
      <c r="BR42" s="223">
        <f>IF(BR41=0,0,1.9)</f>
        <v>1.9</v>
      </c>
      <c r="BS42" s="224">
        <f t="shared" si="18"/>
        <v>2</v>
      </c>
      <c r="BT42" s="225">
        <f>IF(BT41=0,0,1.9)</f>
        <v>1.9</v>
      </c>
      <c r="BU42" s="224">
        <f t="shared" si="19"/>
        <v>2</v>
      </c>
      <c r="BY42" t="s">
        <v>459</v>
      </c>
      <c r="BZ42" s="266">
        <v>2</v>
      </c>
      <c r="CA42" t="s">
        <v>457</v>
      </c>
    </row>
    <row r="43" spans="5:122">
      <c r="X43" s="707">
        <v>213</v>
      </c>
      <c r="Y43" s="708" t="s">
        <v>3542</v>
      </c>
      <c r="Z43" s="709">
        <v>0</v>
      </c>
      <c r="AA43" s="709">
        <v>10</v>
      </c>
      <c r="AB43" s="709">
        <v>0</v>
      </c>
      <c r="AC43" s="710">
        <v>65</v>
      </c>
      <c r="AD43" s="705">
        <f>IF('GPS Anthro Tool'!$B$4=0,0,IF('GPS Anthro Tool'!$B$17&lt;=$AA$43,IF('GPS Anthro Tool'!$B$16&gt;=$Z$43,1,0),0))</f>
        <v>1</v>
      </c>
      <c r="AE43" s="705">
        <f>IF('GPS Anthro Tool'!$B$2&gt;3,0,IF('GPS Anthro Tool'!$B$4=0,0,IF('GPS Anthro Tool'!$B$15&lt;=AC43,IF('GPS Anthro Tool'!$B$14&gt;=$AB$43,1,0),0)))</f>
        <v>1</v>
      </c>
      <c r="AF43" s="706">
        <f>IF('GPS Anthro Tool'!$B$44=1,IF($AD$43=1,IF($AE$43=1,1,IF('GPS Anthro Tool'!$B$2=8,1,0)),0),IF('GPS Anthro Tool'!$B$59=1,1,0))</f>
        <v>1</v>
      </c>
      <c r="AG43" s="572"/>
      <c r="AK43" s="118"/>
      <c r="AL43" s="84">
        <v>6.4418181818181814</v>
      </c>
      <c r="AM43" s="143"/>
      <c r="AN43" s="162">
        <f>(AF22*0.95)*0.4</f>
        <v>0</v>
      </c>
      <c r="AO43" s="466">
        <f>(-AF22*0.95)-'GPS Anthro Tool'!$B$42</f>
        <v>-2</v>
      </c>
      <c r="AQ43" s="42"/>
      <c r="AS43" s="115" t="s">
        <v>314</v>
      </c>
      <c r="AT43" s="116"/>
      <c r="AU43" s="191">
        <f>AL41</f>
        <v>0</v>
      </c>
      <c r="AV43" s="191">
        <f>AV41-(AU43-AU41)</f>
        <v>0</v>
      </c>
      <c r="AW43" s="116"/>
      <c r="AX43" s="193">
        <f>-1*AU43</f>
        <v>0</v>
      </c>
      <c r="AY43" s="192">
        <f>AV43</f>
        <v>0</v>
      </c>
      <c r="BA43" s="190">
        <f>-$AI$11/2</f>
        <v>0</v>
      </c>
      <c r="BB43" s="188">
        <f>IF(BA43=0,0,IF('GPS Anthro Tool'!$B$29="V",3.8,-3.8))+'GPS Anthro Tool'!$B$30</f>
        <v>0</v>
      </c>
      <c r="BC43" s="50"/>
      <c r="BD43" s="190">
        <f t="shared" si="23"/>
        <v>0</v>
      </c>
      <c r="BE43" s="188">
        <f t="shared" si="24"/>
        <v>0</v>
      </c>
      <c r="BF43" s="113"/>
      <c r="BG43" s="741"/>
      <c r="BH43" s="742">
        <v>7</v>
      </c>
      <c r="BI43" s="217">
        <f>IF('GPS Anthro Tool'!$B$31=0,0,-'Big Data'!W74/2)</f>
        <v>0</v>
      </c>
      <c r="BJ43" s="218">
        <f>'GPS Anthro Tool'!$B$41</f>
        <v>2</v>
      </c>
      <c r="BK43" s="217">
        <f>IF('GPS Anthro Tool'!$B$31=0,0,-'Big Data'!X74/2)</f>
        <v>0</v>
      </c>
      <c r="BL43" s="218">
        <f>'GPS Anthro Tool'!$B$41</f>
        <v>2</v>
      </c>
      <c r="BM43" s="219">
        <f>IF('GPS Anthro Tool'!$B$31=0,0,-'Big Data'!Y74/2)</f>
        <v>0</v>
      </c>
      <c r="BN43" s="218">
        <f>'GPS Anthro Tool'!$B$41</f>
        <v>2</v>
      </c>
      <c r="BP43" s="217">
        <f>-BI43</f>
        <v>0</v>
      </c>
      <c r="BQ43" s="218">
        <f t="shared" si="17"/>
        <v>2</v>
      </c>
      <c r="BR43" s="217">
        <f>-BK43</f>
        <v>0</v>
      </c>
      <c r="BS43" s="218">
        <f t="shared" si="18"/>
        <v>2</v>
      </c>
      <c r="BT43" s="219">
        <f>-BM43</f>
        <v>0</v>
      </c>
      <c r="BU43" s="218">
        <f t="shared" si="19"/>
        <v>2</v>
      </c>
      <c r="BZ43" s="118"/>
    </row>
    <row r="44" spans="5:122">
      <c r="X44" s="702" t="s">
        <v>381</v>
      </c>
      <c r="Y44" s="702" t="s">
        <v>302</v>
      </c>
      <c r="Z44" s="703">
        <v>5</v>
      </c>
      <c r="AA44" s="703">
        <v>10.6</v>
      </c>
      <c r="AB44" s="703">
        <v>57</v>
      </c>
      <c r="AC44" s="704">
        <v>75</v>
      </c>
      <c r="AD44" s="705">
        <f>IF('GPS Anthro Tool'!$B$4=0,0,IF('GPS Anthro Tool'!$B$17&lt;=$AA$44,IF('GPS Anthro Tool'!$B$16&gt;=$Z$44,1,0),0))</f>
        <v>1</v>
      </c>
      <c r="AE44" s="705">
        <f>IF('GPS Anthro Tool'!$B$2&gt;3,0,IF('GPS Anthro Tool'!$B$4=0,0,IF('GPS Anthro Tool'!$B$15&lt;=AC44,IF('GPS Anthro Tool'!$B$14&gt;=$AB$44,1,0),0)))</f>
        <v>1</v>
      </c>
      <c r="AF44" s="706">
        <f>IF('GPS Anthro Tool'!$B$44=1,IF($AD$44=1,IF($AE$44=1,1,IF('GPS Anthro Tool'!$B$2=8,1,0)),0),IF('GPS Anthro Tool'!$B$58=1,1,0))</f>
        <v>1</v>
      </c>
      <c r="AG44" s="572"/>
      <c r="AK44" s="118"/>
      <c r="AL44" s="143"/>
      <c r="AM44" s="143"/>
      <c r="AN44" s="162">
        <f>(AE22/2)*0.92</f>
        <v>0</v>
      </c>
      <c r="AO44" s="162">
        <f>(-AF22/2)-'GPS Anthro Tool'!$B$42</f>
        <v>-2</v>
      </c>
      <c r="AQ44" s="42"/>
      <c r="BB44" s="104"/>
      <c r="BG44" s="741"/>
      <c r="BH44" s="743"/>
      <c r="BI44" s="220">
        <f>IF('GPS Anthro Tool'!$B$31=0,0,-'Big Data'!W74*0.9/2)</f>
        <v>0</v>
      </c>
      <c r="BJ44" s="221">
        <f>IF('GPS Anthro Tool'!$B$31=0,0,'Big Data'!AU74+'GPS Anthro Tool'!$B$41)</f>
        <v>2</v>
      </c>
      <c r="BK44" s="220">
        <f>IF('GPS Anthro Tool'!$B$31=0,0,-'Big Data'!X74*0.9/2)</f>
        <v>0</v>
      </c>
      <c r="BL44" s="221">
        <f>IF('GPS Anthro Tool'!$B$31=0,0,'Big Data'!AV74+'GPS Anthro Tool'!$B$41)</f>
        <v>2</v>
      </c>
      <c r="BM44" s="222">
        <f>IF('GPS Anthro Tool'!$B$31=0,0,-'Big Data'!Y74*0.9/2)</f>
        <v>0</v>
      </c>
      <c r="BN44" s="221">
        <f>IF('GPS Anthro Tool'!$B$31=0,0,'Big Data'!AW74+'GPS Anthro Tool'!$B$41)</f>
        <v>2</v>
      </c>
      <c r="BP44" s="220">
        <f>-BI44</f>
        <v>0</v>
      </c>
      <c r="BQ44" s="221">
        <f t="shared" si="17"/>
        <v>2</v>
      </c>
      <c r="BR44" s="220">
        <f>-BK44</f>
        <v>0</v>
      </c>
      <c r="BS44" s="221">
        <f t="shared" si="18"/>
        <v>2</v>
      </c>
      <c r="BT44" s="222">
        <f>-BM44</f>
        <v>0</v>
      </c>
      <c r="BU44" s="221">
        <f t="shared" si="19"/>
        <v>2</v>
      </c>
      <c r="BX44" s="183" t="s">
        <v>432</v>
      </c>
      <c r="BY44" s="235"/>
      <c r="BZ44" s="235"/>
      <c r="CA44" s="179">
        <f>Solution!CF36*0.8</f>
        <v>18.872</v>
      </c>
      <c r="CB44" s="167">
        <f>CA44/2.54</f>
        <v>7.4299212598425193</v>
      </c>
      <c r="CE44" s="183" t="s">
        <v>432</v>
      </c>
      <c r="CF44" s="235"/>
      <c r="CG44" s="235"/>
      <c r="CH44" s="179">
        <f>Solution!CI36*0.8</f>
        <v>26.187199999999997</v>
      </c>
      <c r="CI44" s="167">
        <f>CH44/2.54</f>
        <v>10.309921259842518</v>
      </c>
    </row>
    <row r="45" spans="5:122">
      <c r="X45" s="711" t="s">
        <v>382</v>
      </c>
      <c r="Y45" s="711" t="s">
        <v>118</v>
      </c>
      <c r="Z45" s="712">
        <v>0</v>
      </c>
      <c r="AA45" s="712">
        <v>0</v>
      </c>
      <c r="AB45" s="712">
        <v>0</v>
      </c>
      <c r="AC45" s="713">
        <v>60</v>
      </c>
      <c r="AD45" s="705">
        <f>IF('GPS Anthro Tool'!$B$5=0,0,1)</f>
        <v>0</v>
      </c>
      <c r="AE45" s="705">
        <f>IF('GPS Anthro Tool'!$B$2&gt;3,0,IF('GPS Anthro Tool'!$B$5=0,0,IF('GPS Anthro Tool'!$B$15&lt;=AC45,IF('GPS Anthro Tool'!$B$14&gt;=$AB$45,1,0),0)))</f>
        <v>0</v>
      </c>
      <c r="AF45" s="706">
        <f>IF('GPS Anthro Tool'!$B$44=1,IF($AD$45=1,IF($AE$45=1,1,IF('GPS Anthro Tool'!$B$2=8,1,0)),0),IF('GPS Anthro Tool'!$B$57=1,1,0))</f>
        <v>0</v>
      </c>
      <c r="AG45" s="572"/>
      <c r="AK45" s="118"/>
      <c r="AL45" s="143"/>
      <c r="AM45" s="143"/>
      <c r="AN45" s="466">
        <f>AE22/2</f>
        <v>0</v>
      </c>
      <c r="AO45" s="466">
        <f>-'GPS Anthro Tool'!$B$42</f>
        <v>-2</v>
      </c>
      <c r="AQ45" s="42"/>
      <c r="BG45" s="741"/>
      <c r="BH45" s="743"/>
      <c r="BI45" s="220">
        <f>IF('GPS Anthro Tool'!$B$31=0,0,-'Big Data'!W74*0.1/2-1.9)</f>
        <v>-1.9</v>
      </c>
      <c r="BJ45" s="221">
        <f>IF('GPS Anthro Tool'!$B$31=0,0,'Big Data'!AU74+'GPS Anthro Tool'!$B$41)</f>
        <v>2</v>
      </c>
      <c r="BK45" s="220">
        <f>IF('GPS Anthro Tool'!$B$31=0,0,-'Big Data'!X74*0.1/2-1.9)</f>
        <v>-1.9</v>
      </c>
      <c r="BL45" s="221">
        <f>IF('GPS Anthro Tool'!$B$31=0,0,'Big Data'!AV74+'GPS Anthro Tool'!$B$41)</f>
        <v>2</v>
      </c>
      <c r="BM45" s="222">
        <f>IF('GPS Anthro Tool'!$B$31=0,0,-'Big Data'!Y74*0.1/2-1.9)</f>
        <v>-1.9</v>
      </c>
      <c r="BN45" s="221">
        <f>IF('GPS Anthro Tool'!$B$31=0,0,'Big Data'!AW74+'GPS Anthro Tool'!$B$41)</f>
        <v>2</v>
      </c>
      <c r="BP45" s="220">
        <f>-BI45</f>
        <v>1.9</v>
      </c>
      <c r="BQ45" s="221">
        <f t="shared" si="17"/>
        <v>2</v>
      </c>
      <c r="BR45" s="220">
        <f>-BK45</f>
        <v>1.9</v>
      </c>
      <c r="BS45" s="221">
        <f t="shared" si="18"/>
        <v>2</v>
      </c>
      <c r="BT45" s="222">
        <f>-BM45</f>
        <v>1.9</v>
      </c>
      <c r="BU45" s="221">
        <f t="shared" si="19"/>
        <v>2</v>
      </c>
      <c r="BX45" s="183" t="s">
        <v>433</v>
      </c>
      <c r="BY45" s="235"/>
      <c r="BZ45" s="235"/>
      <c r="CA45" s="179">
        <f>Solution!CF32*1.3</f>
        <v>2.6</v>
      </c>
      <c r="CB45" s="167">
        <f>CA45/2.54</f>
        <v>1.0236220472440944</v>
      </c>
      <c r="CE45" s="183" t="s">
        <v>433</v>
      </c>
      <c r="CF45" s="235"/>
      <c r="CG45" s="235"/>
      <c r="CH45" s="179">
        <f>Solution!CI32*1.3</f>
        <v>12.506000000000002</v>
      </c>
      <c r="CI45" s="167">
        <f>CH45/2.54</f>
        <v>4.9236220472440948</v>
      </c>
    </row>
    <row r="46" spans="5:122" ht="13.5" thickBot="1">
      <c r="X46" s="711" t="s">
        <v>382</v>
      </c>
      <c r="Y46" s="711" t="s">
        <v>119</v>
      </c>
      <c r="Z46" s="712">
        <v>0</v>
      </c>
      <c r="AA46" s="712">
        <v>0</v>
      </c>
      <c r="AB46" s="712">
        <v>60.1</v>
      </c>
      <c r="AC46" s="713">
        <v>75</v>
      </c>
      <c r="AD46" s="705">
        <f>IF('GPS Anthro Tool'!$B$5=0,0,1)</f>
        <v>0</v>
      </c>
      <c r="AE46" s="705">
        <f>IF('GPS Anthro Tool'!$B$2&gt;3,0,IF('GPS Anthro Tool'!$B$5=0,0,IF('GPS Anthro Tool'!$B$15&lt;=AC46,IF('GPS Anthro Tool'!$B$14&gt;=$AB$46,1,0),0)))</f>
        <v>0</v>
      </c>
      <c r="AF46" s="705">
        <f>IF('GPS Anthro Tool'!$B$44=1,IF($AD$46=1,IF($AE$46=1,1,IF('GPS Anthro Tool'!$B$2=8,1,0)),0),IF('GPS Anthro Tool'!$B$56=1,1,0))</f>
        <v>0</v>
      </c>
      <c r="AG46" s="80"/>
      <c r="AH46" s="80"/>
      <c r="AK46" s="118"/>
      <c r="AL46" s="143"/>
      <c r="AM46" s="143"/>
      <c r="AN46" s="99"/>
      <c r="AO46" s="99"/>
      <c r="AQ46" s="42"/>
      <c r="BG46" s="741"/>
      <c r="BH46" s="744"/>
      <c r="BI46" s="223">
        <f>IF('GPS Anthro Tool'!$B$31=0,0,IF(BI45=0,0,-1.9))</f>
        <v>-1.9</v>
      </c>
      <c r="BJ46" s="224">
        <f>'GPS Anthro Tool'!$B$41</f>
        <v>2</v>
      </c>
      <c r="BK46" s="223">
        <f>IF('GPS Anthro Tool'!$B$31=0,0,-1.9)</f>
        <v>-1.9</v>
      </c>
      <c r="BL46" s="224">
        <f>'GPS Anthro Tool'!$B$41</f>
        <v>2</v>
      </c>
      <c r="BM46" s="225">
        <f>IF('GPS Anthro Tool'!$B$31=0,0,-1.9)</f>
        <v>-1.9</v>
      </c>
      <c r="BN46" s="224">
        <f>'GPS Anthro Tool'!$B$41</f>
        <v>2</v>
      </c>
      <c r="BP46" s="223">
        <f>IF(BP45=0,0,1.9)</f>
        <v>1.9</v>
      </c>
      <c r="BQ46" s="224">
        <f t="shared" si="17"/>
        <v>2</v>
      </c>
      <c r="BR46" s="223">
        <f>IF(BR45=0,0,1.9)</f>
        <v>1.9</v>
      </c>
      <c r="BS46" s="224">
        <f t="shared" si="18"/>
        <v>2</v>
      </c>
      <c r="BT46" s="225">
        <f>IF(BT45=0,0,1.9)</f>
        <v>1.9</v>
      </c>
      <c r="BU46" s="224">
        <f t="shared" si="19"/>
        <v>2</v>
      </c>
    </row>
    <row r="47" spans="5:122">
      <c r="X47" s="707">
        <v>213</v>
      </c>
      <c r="Y47" s="708" t="s">
        <v>3543</v>
      </c>
      <c r="Z47" s="709">
        <v>5.0999999999999996</v>
      </c>
      <c r="AA47" s="709">
        <v>18</v>
      </c>
      <c r="AB47" s="709">
        <v>65.099999999999994</v>
      </c>
      <c r="AC47" s="710">
        <v>85</v>
      </c>
      <c r="AD47" s="705">
        <f>IF('GPS Anthro Tool'!$B$4=0,0,IF('GPS Anthro Tool'!$B$17&lt;=$AA$47,IF('GPS Anthro Tool'!$B$16&gt;=$Z$47,1,0),0))</f>
        <v>1</v>
      </c>
      <c r="AE47" s="705">
        <f>IF('GPS Anthro Tool'!$B$4=0,0,IF('GPS Anthro Tool'!$B$15&lt;=$AC$47,IF('GPS Anthro Tool'!$B$14&gt;=$AB$47,1,0),0))</f>
        <v>1</v>
      </c>
      <c r="AF47" s="705">
        <f>IF('GPS Anthro Tool'!$B$44=1,IF($AD$47=1,IF($AE$47=1,1,IF('GPS Anthro Tool'!$B$2=8,1,0)),0),IF('GPS Anthro Tool'!$B$55=1,1,0))</f>
        <v>1</v>
      </c>
      <c r="AG47" s="572"/>
      <c r="AK47" s="467" t="str">
        <f>Y23</f>
        <v>Q1</v>
      </c>
      <c r="AL47" s="138">
        <f>-AC23/2</f>
        <v>0</v>
      </c>
      <c r="AM47" s="138">
        <f>AB23</f>
        <v>0</v>
      </c>
      <c r="AN47" s="99">
        <f>AN52*-1</f>
        <v>0</v>
      </c>
      <c r="AO47" s="99">
        <f>-'GPS Anthro Tool'!$B$42</f>
        <v>-2</v>
      </c>
      <c r="AQ47" s="42"/>
      <c r="AS47" s="113"/>
      <c r="AU47" s="113" t="s">
        <v>315</v>
      </c>
      <c r="AV47" s="113" t="s">
        <v>316</v>
      </c>
      <c r="AX47" s="113" t="s">
        <v>315</v>
      </c>
      <c r="AY47" s="113" t="s">
        <v>316</v>
      </c>
      <c r="BG47" s="741"/>
      <c r="BH47" s="742">
        <v>8</v>
      </c>
      <c r="BI47" s="217">
        <f>IF('GPS Anthro Tool'!$B$31=0,0,-'Big Data'!W77/2)</f>
        <v>0</v>
      </c>
      <c r="BJ47" s="218">
        <f>'GPS Anthro Tool'!$B$41</f>
        <v>2</v>
      </c>
      <c r="BK47" s="217">
        <f>IF('GPS Anthro Tool'!$B$31=0,0,-'Big Data'!X77/2)</f>
        <v>0</v>
      </c>
      <c r="BL47" s="218">
        <f>'GPS Anthro Tool'!$B$41</f>
        <v>2</v>
      </c>
      <c r="BM47" s="219">
        <f>IF('GPS Anthro Tool'!$B$31=0,0,-'Big Data'!Y77/2)</f>
        <v>0</v>
      </c>
      <c r="BN47" s="218">
        <f>'GPS Anthro Tool'!$B$41</f>
        <v>2</v>
      </c>
      <c r="BP47" s="217">
        <f>-BI47</f>
        <v>0</v>
      </c>
      <c r="BQ47" s="218">
        <f t="shared" si="17"/>
        <v>2</v>
      </c>
      <c r="BR47" s="217">
        <f>-BK47</f>
        <v>0</v>
      </c>
      <c r="BS47" s="218">
        <f t="shared" si="18"/>
        <v>2</v>
      </c>
      <c r="BT47" s="219">
        <f>-BM47</f>
        <v>0</v>
      </c>
      <c r="BU47" s="218">
        <f t="shared" si="19"/>
        <v>2</v>
      </c>
      <c r="BW47" s="737" t="s">
        <v>434</v>
      </c>
      <c r="BX47" s="738"/>
      <c r="BY47" s="738"/>
      <c r="BZ47" s="738"/>
      <c r="CA47" s="738"/>
      <c r="CB47" s="738"/>
      <c r="CC47" s="739"/>
    </row>
    <row r="48" spans="5:122">
      <c r="X48" s="711" t="s">
        <v>382</v>
      </c>
      <c r="Y48" s="711" t="s">
        <v>120</v>
      </c>
      <c r="Z48" s="712">
        <v>0</v>
      </c>
      <c r="AA48" s="712">
        <v>0</v>
      </c>
      <c r="AB48" s="712">
        <v>75.099999999999994</v>
      </c>
      <c r="AC48" s="713">
        <v>87.5</v>
      </c>
      <c r="AD48" s="705">
        <f>IF('GPS Anthro Tool'!$B$5=0,0,1)</f>
        <v>0</v>
      </c>
      <c r="AE48" s="705">
        <f>IF('GPS Anthro Tool'!$B$5=0,0,IF('GPS Anthro Tool'!$B$15&lt;=$AC$48,IF('GPS Anthro Tool'!$B$14&gt;=$AB$48,1,0),0))</f>
        <v>0</v>
      </c>
      <c r="AF48" s="705">
        <f>IF('GPS Anthro Tool'!$B$44=1,IF($AD$48=1,IF($AE$48=1,1,IF('GPS Anthro Tool'!$B$2=8,1,0)),0),IF('GPS Anthro Tool'!$B$54=1,1,0))</f>
        <v>0</v>
      </c>
      <c r="AG48" s="572"/>
      <c r="AK48" s="118"/>
      <c r="AL48" s="138">
        <f>AC23/2</f>
        <v>0</v>
      </c>
      <c r="AM48" s="138">
        <f>AB23</f>
        <v>0</v>
      </c>
      <c r="AN48" s="99">
        <f>(AN52*-1)*0.92</f>
        <v>0</v>
      </c>
      <c r="AO48" s="99">
        <f>AO49/2</f>
        <v>-1</v>
      </c>
      <c r="AQ48" s="42"/>
      <c r="AS48" s="115" t="s">
        <v>313</v>
      </c>
      <c r="AT48" s="116"/>
      <c r="AU48" s="191">
        <f>IF(AL47=0,0,AL50)</f>
        <v>0</v>
      </c>
      <c r="AV48" s="191">
        <f>AM47</f>
        <v>0</v>
      </c>
      <c r="AW48" s="116"/>
      <c r="AX48" s="193">
        <f>-1*AU48</f>
        <v>0</v>
      </c>
      <c r="AY48" s="192">
        <f>AV48</f>
        <v>0</v>
      </c>
      <c r="BG48" s="741"/>
      <c r="BH48" s="743"/>
      <c r="BI48" s="220">
        <f>IF('GPS Anthro Tool'!$B$31=0,0,-'Big Data'!W77*0.9/2)</f>
        <v>0</v>
      </c>
      <c r="BJ48" s="221">
        <f>IF('GPS Anthro Tool'!$B$31=0,0,'Big Data'!AU77+'GPS Anthro Tool'!$B$41)</f>
        <v>2</v>
      </c>
      <c r="BK48" s="220">
        <f>IF('GPS Anthro Tool'!$B$31=0,0,-'Big Data'!X77*0.9/2)</f>
        <v>0</v>
      </c>
      <c r="BL48" s="221">
        <f>IF('GPS Anthro Tool'!$B$31=0,0,'Big Data'!AV77+'GPS Anthro Tool'!$B$41)</f>
        <v>2</v>
      </c>
      <c r="BM48" s="222">
        <f>IF('GPS Anthro Tool'!$B$31=0,0,-'Big Data'!Y77*0.9/2)</f>
        <v>0</v>
      </c>
      <c r="BN48" s="221">
        <f>IF('GPS Anthro Tool'!$B$31=0,0,'Big Data'!AW77+'GPS Anthro Tool'!$B$41)</f>
        <v>2</v>
      </c>
      <c r="BP48" s="220">
        <f>-BI48</f>
        <v>0</v>
      </c>
      <c r="BQ48" s="221">
        <f t="shared" si="17"/>
        <v>2</v>
      </c>
      <c r="BR48" s="220">
        <f>-BK48</f>
        <v>0</v>
      </c>
      <c r="BS48" s="221">
        <f t="shared" si="18"/>
        <v>2</v>
      </c>
      <c r="BT48" s="222">
        <f>-BM48</f>
        <v>0</v>
      </c>
      <c r="BU48" s="221">
        <f t="shared" si="19"/>
        <v>2</v>
      </c>
      <c r="BX48" s="274" t="s">
        <v>468</v>
      </c>
      <c r="CF48" t="s">
        <v>419</v>
      </c>
    </row>
    <row r="49" spans="24:90">
      <c r="X49" s="702" t="s">
        <v>381</v>
      </c>
      <c r="Y49" s="702" t="s">
        <v>141</v>
      </c>
      <c r="Z49" s="703">
        <v>8.8000000000000007</v>
      </c>
      <c r="AA49" s="703">
        <v>18.100000000000001</v>
      </c>
      <c r="AB49" s="703">
        <v>74</v>
      </c>
      <c r="AC49" s="704">
        <v>85</v>
      </c>
      <c r="AD49" s="705">
        <f>IF('GPS Anthro Tool'!$B$4=0,0,IF('GPS Anthro Tool'!$B$17&lt;=$AA$49,IF('GPS Anthro Tool'!$B$16&gt;=$Z$49,1,0),0))</f>
        <v>1</v>
      </c>
      <c r="AE49" s="705">
        <f>IF('GPS Anthro Tool'!$B$4=0,0,IF('GPS Anthro Tool'!$B$15&lt;=$AC$49,IF('GPS Anthro Tool'!$B$14&gt;=$AB$49,1,0),0))</f>
        <v>1</v>
      </c>
      <c r="AF49" s="705">
        <f>IF('GPS Anthro Tool'!$B$44=1,IF($AD$49=1,IF($AE$49=1,1,IF('GPS Anthro Tool'!$B$2=8,1,0)),0),IF('GPS Anthro Tool'!$B$53=1,1,0))</f>
        <v>1</v>
      </c>
      <c r="AG49" s="572"/>
      <c r="AK49" s="118"/>
      <c r="AL49" s="84">
        <v>-6.9054545454545462</v>
      </c>
      <c r="AM49" s="143"/>
      <c r="AN49" s="162">
        <v>0</v>
      </c>
      <c r="AO49" s="466">
        <f>-AF23-'GPS Anthro Tool'!$B$42</f>
        <v>-2</v>
      </c>
      <c r="AS49" s="115" t="s">
        <v>312</v>
      </c>
      <c r="AT49" s="116"/>
      <c r="AU49" s="191">
        <f>((AU50-AU48)/2)+AU48*1.23</f>
        <v>0</v>
      </c>
      <c r="AV49" s="191">
        <f>((AV48-AV50)*0.75)+AV50</f>
        <v>0</v>
      </c>
      <c r="AW49" s="116"/>
      <c r="AX49" s="193">
        <f>-1*AU49</f>
        <v>0</v>
      </c>
      <c r="AY49" s="192">
        <f>AV49</f>
        <v>0</v>
      </c>
      <c r="BG49" s="741"/>
      <c r="BH49" s="743"/>
      <c r="BI49" s="220">
        <f>IF('GPS Anthro Tool'!$B$31=0,0,-'Big Data'!W77*0.1/2-1.9)</f>
        <v>-1.9</v>
      </c>
      <c r="BJ49" s="221">
        <f>IF('GPS Anthro Tool'!$B$31=0,0,'Big Data'!AU77+'GPS Anthro Tool'!$B$41)</f>
        <v>2</v>
      </c>
      <c r="BK49" s="220">
        <f>IF('GPS Anthro Tool'!$B$31=0,0,-'Big Data'!X77*0.1/2-1.9)</f>
        <v>-1.9</v>
      </c>
      <c r="BL49" s="221">
        <f>IF('GPS Anthro Tool'!$B$31=0,0,'Big Data'!AV77+'GPS Anthro Tool'!$B$41)</f>
        <v>2</v>
      </c>
      <c r="BM49" s="222">
        <f>IF('GPS Anthro Tool'!$B$31=0,0,-'Big Data'!Y77*0.1/2-1.9)</f>
        <v>-1.9</v>
      </c>
      <c r="BN49" s="221">
        <f>IF('GPS Anthro Tool'!$B$31=0,0,'Big Data'!AW77+'GPS Anthro Tool'!$B$41)</f>
        <v>2</v>
      </c>
      <c r="BP49" s="220">
        <f>-BI49</f>
        <v>1.9</v>
      </c>
      <c r="BQ49" s="221">
        <f t="shared" si="17"/>
        <v>2</v>
      </c>
      <c r="BR49" s="220">
        <f>-BK49</f>
        <v>1.9</v>
      </c>
      <c r="BS49" s="221">
        <f t="shared" si="18"/>
        <v>2</v>
      </c>
      <c r="BT49" s="222">
        <f>-BM49</f>
        <v>1.9</v>
      </c>
      <c r="BU49" s="221">
        <f t="shared" si="19"/>
        <v>2</v>
      </c>
      <c r="CA49">
        <v>0</v>
      </c>
      <c r="CC49">
        <v>0</v>
      </c>
      <c r="CF49">
        <v>-25</v>
      </c>
      <c r="CG49">
        <v>0</v>
      </c>
      <c r="CH49">
        <v>-25</v>
      </c>
      <c r="CI49">
        <v>0</v>
      </c>
      <c r="CK49">
        <v>-25</v>
      </c>
      <c r="CL49">
        <v>0</v>
      </c>
    </row>
    <row r="50" spans="24:90" ht="13.5" thickBot="1">
      <c r="X50" s="711" t="s">
        <v>382</v>
      </c>
      <c r="Y50" s="711" t="s">
        <v>121</v>
      </c>
      <c r="Z50" s="712">
        <v>0</v>
      </c>
      <c r="AA50" s="712">
        <v>0</v>
      </c>
      <c r="AB50" s="712">
        <v>87.6</v>
      </c>
      <c r="AC50" s="713">
        <v>105</v>
      </c>
      <c r="AD50" s="705">
        <f>IF('GPS Anthro Tool'!$B$5=0,0,1)</f>
        <v>0</v>
      </c>
      <c r="AE50" s="705">
        <f>IF('GPS Anthro Tool'!$B$5=0,0,IF('GPS Anthro Tool'!$B$15&lt;=$AC$50,IF('GPS Anthro Tool'!$B$14&gt;=$AB$50,1,0),0))</f>
        <v>0</v>
      </c>
      <c r="AF50" s="705">
        <f>IF('GPS Anthro Tool'!$B$44=1,IF($AD$50=1,IF($AE$50=1,1,IF('GPS Anthro Tool'!$B$2=8,1,0)),0),IF('GPS Anthro Tool'!$B$52=1,1,0))</f>
        <v>0</v>
      </c>
      <c r="AG50" s="572"/>
      <c r="AK50" s="118"/>
      <c r="AL50" s="84">
        <v>6.9054545454545462</v>
      </c>
      <c r="AM50" s="143"/>
      <c r="AN50" s="162">
        <f>(AF23*0.94)*0.4</f>
        <v>0</v>
      </c>
      <c r="AO50" s="466">
        <f>(-AF23*0.94)-'GPS Anthro Tool'!$B$42</f>
        <v>-2</v>
      </c>
      <c r="AS50" s="115" t="s">
        <v>314</v>
      </c>
      <c r="AT50" s="116"/>
      <c r="AU50" s="191">
        <f>AL48</f>
        <v>0</v>
      </c>
      <c r="AV50" s="191">
        <f>AV48-(AU50-AU48)</f>
        <v>0</v>
      </c>
      <c r="AW50" s="116"/>
      <c r="AX50" s="193">
        <f>-1*AU50</f>
        <v>0</v>
      </c>
      <c r="AY50" s="192">
        <f>AV50</f>
        <v>0</v>
      </c>
      <c r="BG50" s="741"/>
      <c r="BH50" s="744"/>
      <c r="BI50" s="223">
        <f>IF('GPS Anthro Tool'!$B$31=0,0,IF(BI49=0,0,-1.9))</f>
        <v>-1.9</v>
      </c>
      <c r="BJ50" s="224">
        <f>'GPS Anthro Tool'!$B$41</f>
        <v>2</v>
      </c>
      <c r="BK50" s="223">
        <f>IF('GPS Anthro Tool'!$B$31=0,0,-1.9)</f>
        <v>-1.9</v>
      </c>
      <c r="BL50" s="224">
        <f>'GPS Anthro Tool'!$B$41</f>
        <v>2</v>
      </c>
      <c r="BM50" s="225">
        <f>IF('GPS Anthro Tool'!$B$31=0,0,-1.9)</f>
        <v>-1.9</v>
      </c>
      <c r="BN50" s="224">
        <f>'GPS Anthro Tool'!$B$41</f>
        <v>2</v>
      </c>
      <c r="BP50" s="223">
        <f>IF(BP49=0,0,1.9)</f>
        <v>1.9</v>
      </c>
      <c r="BQ50" s="224">
        <f t="shared" si="17"/>
        <v>2</v>
      </c>
      <c r="BR50" s="223">
        <f>IF(BR49=0,0,1.9)</f>
        <v>1.9</v>
      </c>
      <c r="BS50" s="224">
        <f t="shared" si="18"/>
        <v>2</v>
      </c>
      <c r="BT50" s="225">
        <f>IF(BT49=0,0,1.9)</f>
        <v>1.9</v>
      </c>
      <c r="BU50" s="224">
        <f t="shared" si="19"/>
        <v>2</v>
      </c>
      <c r="CA50">
        <v>0</v>
      </c>
      <c r="CC50">
        <f>IF('GPS Anthro Tool'!B27=1,IF('GPS Anthro Tool'!$B$20=1,CH45,CA45),0)</f>
        <v>12.506000000000002</v>
      </c>
      <c r="CF50">
        <v>25</v>
      </c>
      <c r="CG50">
        <v>0</v>
      </c>
      <c r="CH50">
        <v>-25</v>
      </c>
      <c r="CI50">
        <v>-40</v>
      </c>
      <c r="CK50">
        <v>-25</v>
      </c>
      <c r="CL50">
        <v>40</v>
      </c>
    </row>
    <row r="51" spans="24:90">
      <c r="X51" s="707">
        <v>213</v>
      </c>
      <c r="Y51" s="708" t="s">
        <v>3544</v>
      </c>
      <c r="Z51" s="709">
        <v>10.1</v>
      </c>
      <c r="AA51" s="709">
        <v>18.100000000000001</v>
      </c>
      <c r="AB51" s="709">
        <v>85.1</v>
      </c>
      <c r="AC51" s="710">
        <v>110</v>
      </c>
      <c r="AD51" s="705">
        <f>IF('GPS Anthro Tool'!$B$4=0,0,IF('GPS Anthro Tool'!$B$17&lt;=$AA$51,IF('GPS Anthro Tool'!$B$16&gt;=$Z$51,1,0),0))</f>
        <v>0</v>
      </c>
      <c r="AE51" s="705">
        <f>IF('GPS Anthro Tool'!$B$4=0,0,IF('GPS Anthro Tool'!$B$15&lt;=$AC$51,IF('GPS Anthro Tool'!$B$14&gt;=$AB$51,1,0),0))</f>
        <v>0</v>
      </c>
      <c r="AF51" s="705">
        <f>IF('GPS Anthro Tool'!$B$44=1,IF($AD$51=1,IF($AE$51=1,1,IF('GPS Anthro Tool'!$B$2=8,1,0)),0),IF('GPS Anthro Tool'!$B$51=1,1,0))</f>
        <v>0</v>
      </c>
      <c r="AG51" s="572"/>
      <c r="AK51" s="118"/>
      <c r="AL51" s="143"/>
      <c r="AM51" s="143"/>
      <c r="AN51" s="162">
        <f>(AE23/2)*0.92</f>
        <v>0</v>
      </c>
      <c r="AO51" s="162">
        <f>(-AF23/2)-'GPS Anthro Tool'!$B$42</f>
        <v>-2</v>
      </c>
      <c r="BG51" s="741"/>
      <c r="BH51" s="742">
        <v>9</v>
      </c>
      <c r="BI51" s="217">
        <f>IF('GPS Anthro Tool'!$B$31=0,0,-'Big Data'!W80/2)</f>
        <v>0</v>
      </c>
      <c r="BJ51" s="218">
        <f>'GPS Anthro Tool'!$B$41</f>
        <v>2</v>
      </c>
      <c r="BK51" s="217">
        <f>IF('GPS Anthro Tool'!$B$31=0,0,-'Big Data'!X80/2)</f>
        <v>0</v>
      </c>
      <c r="BL51" s="218">
        <f>'GPS Anthro Tool'!$B$41</f>
        <v>2</v>
      </c>
      <c r="BM51" s="219">
        <f>IF('GPS Anthro Tool'!$B$31=0,0,-'Big Data'!Y80/2)</f>
        <v>0</v>
      </c>
      <c r="BN51" s="218">
        <f>'GPS Anthro Tool'!$B$41</f>
        <v>2</v>
      </c>
      <c r="BP51" s="217">
        <f>-BI51</f>
        <v>0</v>
      </c>
      <c r="BQ51" s="218">
        <f t="shared" ref="BQ51:BQ78" si="25">BJ51</f>
        <v>2</v>
      </c>
      <c r="BR51" s="217">
        <f>-BK51</f>
        <v>0</v>
      </c>
      <c r="BS51" s="218">
        <f t="shared" ref="BS51:BS78" si="26">BL51</f>
        <v>2</v>
      </c>
      <c r="BT51" s="219">
        <f>-BM51</f>
        <v>0</v>
      </c>
      <c r="BU51" s="218">
        <f t="shared" ref="BU51:BU78" si="27">BN51</f>
        <v>2</v>
      </c>
    </row>
    <row r="52" spans="24:90">
      <c r="X52" s="711" t="s">
        <v>382</v>
      </c>
      <c r="Y52" s="711" t="s">
        <v>122</v>
      </c>
      <c r="Z52" s="712">
        <v>0</v>
      </c>
      <c r="AA52" s="712">
        <v>0</v>
      </c>
      <c r="AB52" s="712">
        <v>105.1</v>
      </c>
      <c r="AC52" s="713">
        <v>125</v>
      </c>
      <c r="AD52" s="705">
        <f>IF('GPS Anthro Tool'!$B$5=0,0,1)</f>
        <v>0</v>
      </c>
      <c r="AE52" s="705">
        <f>IF('GPS Anthro Tool'!$B$5=0,0,IF('GPS Anthro Tool'!$B$15&lt;=$AC$52,IF('GPS Anthro Tool'!$B$14&gt;=$AB$52,1,0),0))</f>
        <v>0</v>
      </c>
      <c r="AF52" s="705">
        <f>IF('GPS Anthro Tool'!$B$44=1,IF($AD$52=1,IF($AE$52=1,1,IF('GPS Anthro Tool'!$B$2=8,1,0)),0),IF('GPS Anthro Tool'!$B$50=1,1,0))</f>
        <v>0</v>
      </c>
      <c r="AG52" s="572"/>
      <c r="AK52" s="118"/>
      <c r="AL52" s="143"/>
      <c r="AM52" s="143"/>
      <c r="AN52" s="466">
        <f>AE23/2</f>
        <v>0</v>
      </c>
      <c r="AO52" s="466">
        <f>-'GPS Anthro Tool'!$B$42</f>
        <v>-2</v>
      </c>
      <c r="BG52" s="741"/>
      <c r="BH52" s="743"/>
      <c r="BI52" s="220">
        <f>IF('GPS Anthro Tool'!$B$31=0,0,-'Big Data'!W80*0.9/2)</f>
        <v>0</v>
      </c>
      <c r="BJ52" s="221">
        <f>IF('GPS Anthro Tool'!$B$31=0,0,'Big Data'!AU80+'GPS Anthro Tool'!$B$41)</f>
        <v>2</v>
      </c>
      <c r="BK52" s="220">
        <f>IF('GPS Anthro Tool'!$B$31=0,0,-'Big Data'!X80*0.9/2)</f>
        <v>0</v>
      </c>
      <c r="BL52" s="221">
        <f>IF('GPS Anthro Tool'!$B$31=0,0,'Big Data'!AV80+'GPS Anthro Tool'!$B$41)</f>
        <v>2</v>
      </c>
      <c r="BM52" s="222">
        <f>IF('GPS Anthro Tool'!$B$31=0,0,-'Big Data'!Y80*0.9/2)</f>
        <v>0</v>
      </c>
      <c r="BN52" s="221">
        <f>IF('GPS Anthro Tool'!$B$31=0,0,'Big Data'!AW80+'GPS Anthro Tool'!$B$41)</f>
        <v>2</v>
      </c>
      <c r="BP52" s="220">
        <f>-BI52</f>
        <v>0</v>
      </c>
      <c r="BQ52" s="221">
        <f t="shared" si="25"/>
        <v>2</v>
      </c>
      <c r="BR52" s="220">
        <f>-BK52</f>
        <v>0</v>
      </c>
      <c r="BS52" s="221">
        <f t="shared" si="26"/>
        <v>2</v>
      </c>
      <c r="BT52" s="222">
        <f>-BM52</f>
        <v>0</v>
      </c>
      <c r="BU52" s="221">
        <f t="shared" si="27"/>
        <v>2</v>
      </c>
      <c r="BX52" s="274" t="s">
        <v>469</v>
      </c>
    </row>
    <row r="53" spans="24:90">
      <c r="X53" s="707">
        <v>213</v>
      </c>
      <c r="Y53" s="708" t="s">
        <v>3547</v>
      </c>
      <c r="Z53" s="709">
        <f>AA51+0.1</f>
        <v>18.200000000000003</v>
      </c>
      <c r="AA53" s="709">
        <v>22.6</v>
      </c>
      <c r="AB53" s="709">
        <v>110.1</v>
      </c>
      <c r="AC53" s="710">
        <v>125</v>
      </c>
      <c r="AD53" s="705">
        <f>IF('GPS Anthro Tool'!$B$4=0,0,IF('GPS Anthro Tool'!$B$17&lt;=$AA$53,IF('GPS Anthro Tool'!$B$16&gt;=$Z$53,1,0),0))</f>
        <v>0</v>
      </c>
      <c r="AE53" s="705">
        <f>IF('GPS Anthro Tool'!$B$4=0,0,IF('GPS Anthro Tool'!$B$15&lt;=$AC$53,IF('GPS Anthro Tool'!$B$14&gt;=$AB$53,1,0),0))</f>
        <v>0</v>
      </c>
      <c r="AF53" s="705">
        <f>IF('GPS Anthro Tool'!$B$44=1,IF($AD$53=1,IF($AE$53=1,1,IF('GPS Anthro Tool'!$B$2=8,1,0)),0),IF('GPS Anthro Tool'!$B$49=1,1,0))</f>
        <v>0</v>
      </c>
      <c r="AG53" s="572"/>
      <c r="AK53" s="118"/>
      <c r="AL53" s="143"/>
      <c r="AM53" s="143"/>
      <c r="AN53" s="99"/>
      <c r="AO53" s="99"/>
      <c r="BG53" s="741"/>
      <c r="BH53" s="743"/>
      <c r="BI53" s="220">
        <f>IF('GPS Anthro Tool'!$B$31=0,0,-'Big Data'!W80*0.1/2-1.9)</f>
        <v>-1.9</v>
      </c>
      <c r="BJ53" s="221">
        <f>IF('GPS Anthro Tool'!$B$31=0,0,'Big Data'!AU80+'GPS Anthro Tool'!$B$41)</f>
        <v>2</v>
      </c>
      <c r="BK53" s="220">
        <f>IF('GPS Anthro Tool'!$B$31=0,0,-'Big Data'!X80*0.1/2-1.9)</f>
        <v>-1.9</v>
      </c>
      <c r="BL53" s="221">
        <f>IF('GPS Anthro Tool'!$B$31=0,0,'Big Data'!AV80+'GPS Anthro Tool'!$B$41)</f>
        <v>2</v>
      </c>
      <c r="BM53" s="222">
        <f>IF('GPS Anthro Tool'!$B$31=0,0,-'Big Data'!Y80*0.1/2-1.9)</f>
        <v>-1.9</v>
      </c>
      <c r="BN53" s="221">
        <f>IF('GPS Anthro Tool'!$B$31=0,0,'Big Data'!AW80+'GPS Anthro Tool'!$B$41)</f>
        <v>2</v>
      </c>
      <c r="BP53" s="220">
        <f>-BI53</f>
        <v>1.9</v>
      </c>
      <c r="BQ53" s="221">
        <f t="shared" si="25"/>
        <v>2</v>
      </c>
      <c r="BR53" s="220">
        <f>-BK53</f>
        <v>1.9</v>
      </c>
      <c r="BS53" s="221">
        <f t="shared" si="26"/>
        <v>2</v>
      </c>
      <c r="BT53" s="222">
        <f>-BM53</f>
        <v>1.9</v>
      </c>
      <c r="BU53" s="221">
        <f t="shared" si="27"/>
        <v>2</v>
      </c>
      <c r="CA53">
        <v>0</v>
      </c>
      <c r="CC53">
        <v>0</v>
      </c>
    </row>
    <row r="54" spans="24:90" ht="13.5" thickBot="1">
      <c r="X54" s="707">
        <v>213</v>
      </c>
      <c r="Y54" s="708" t="s">
        <v>3545</v>
      </c>
      <c r="Z54" s="709">
        <f>AA53+0.1</f>
        <v>22.700000000000003</v>
      </c>
      <c r="AA54" s="709">
        <v>30</v>
      </c>
      <c r="AB54" s="709">
        <v>110.1</v>
      </c>
      <c r="AC54" s="710">
        <v>125</v>
      </c>
      <c r="AD54" s="705">
        <f>IF('GPS Anthro Tool'!$B$4=0,0,IF('GPS Anthro Tool'!$B$17&lt;=$AA$54,IF('GPS Anthro Tool'!$B$16&gt;=$Z$54,1,0),0))</f>
        <v>0</v>
      </c>
      <c r="AE54" s="705">
        <f>IF('GPS Anthro Tool'!$B$4=0,0,IF('GPS Anthro Tool'!$B$15&lt;=$AC$54,IF('GPS Anthro Tool'!$B$14&gt;=$AB$54,1,0),0))</f>
        <v>0</v>
      </c>
      <c r="AF54" s="705">
        <f>IF('GPS Anthro Tool'!$B$44=1,IF($AD$54=1,IF($AE$54=1,1,IF('GPS Anthro Tool'!$B$2=8,1,0)),0),IF('GPS Anthro Tool'!$B$48=1,1,0))</f>
        <v>0</v>
      </c>
      <c r="AG54" s="572"/>
      <c r="AK54" s="467" t="str">
        <f>Y24</f>
        <v>CRABI 12</v>
      </c>
      <c r="AL54" s="138">
        <f>-AC24/2</f>
        <v>-10.65</v>
      </c>
      <c r="AM54" s="138">
        <f>AB24</f>
        <v>32.700000000000003</v>
      </c>
      <c r="AN54" s="466">
        <f>-AE24/2</f>
        <v>-8.5</v>
      </c>
      <c r="AO54" s="466">
        <f>-'GPS Anthro Tool'!$B$42</f>
        <v>-2</v>
      </c>
      <c r="AS54" s="113"/>
      <c r="AU54" s="113" t="s">
        <v>315</v>
      </c>
      <c r="AV54" s="113" t="s">
        <v>316</v>
      </c>
      <c r="AX54" s="113" t="s">
        <v>315</v>
      </c>
      <c r="AY54" s="113" t="s">
        <v>316</v>
      </c>
      <c r="BG54" s="741"/>
      <c r="BH54" s="744"/>
      <c r="BI54" s="223">
        <f>IF('GPS Anthro Tool'!$B$31=0,0,IF(BI53=0,0,-1.9))</f>
        <v>-1.9</v>
      </c>
      <c r="BJ54" s="224">
        <f>'GPS Anthro Tool'!$B$41</f>
        <v>2</v>
      </c>
      <c r="BK54" s="223">
        <f>IF('GPS Anthro Tool'!$B$31=0,0,-1.9)</f>
        <v>-1.9</v>
      </c>
      <c r="BL54" s="224">
        <f>'GPS Anthro Tool'!$B$41</f>
        <v>2</v>
      </c>
      <c r="BM54" s="225">
        <f>IF('GPS Anthro Tool'!$B$31=0,0,-1.9)</f>
        <v>-1.9</v>
      </c>
      <c r="BN54" s="224">
        <f>'GPS Anthro Tool'!$B$41</f>
        <v>2</v>
      </c>
      <c r="BP54" s="223">
        <f>IF(BP53=0,0,1.9)</f>
        <v>1.9</v>
      </c>
      <c r="BQ54" s="224">
        <f t="shared" si="25"/>
        <v>2</v>
      </c>
      <c r="BR54" s="223">
        <f>IF(BR53=0,0,1.9)</f>
        <v>1.9</v>
      </c>
      <c r="BS54" s="224">
        <f t="shared" si="26"/>
        <v>2</v>
      </c>
      <c r="BT54" s="225">
        <f>IF(BT53=0,0,1.9)</f>
        <v>1.9</v>
      </c>
      <c r="BU54" s="224">
        <f t="shared" si="27"/>
        <v>2</v>
      </c>
      <c r="CA54">
        <v>0</v>
      </c>
      <c r="CC54">
        <f>IF('GPS Anthro Tool'!$B$27=1,IF('GPS Anthro Tool'!$B$20=1,CH44,CA44),0)</f>
        <v>26.187199999999997</v>
      </c>
    </row>
    <row r="55" spans="24:90">
      <c r="X55" s="707">
        <v>213</v>
      </c>
      <c r="Y55" s="708" t="s">
        <v>3546</v>
      </c>
      <c r="Z55" s="709">
        <f>AA54+0.1</f>
        <v>30.1</v>
      </c>
      <c r="AA55" s="709">
        <v>55</v>
      </c>
      <c r="AB55" s="709">
        <v>125.1</v>
      </c>
      <c r="AC55" s="710">
        <v>199</v>
      </c>
      <c r="AD55" s="705">
        <f>IF('GPS Anthro Tool'!$B$4=0,0,IF('GPS Anthro Tool'!$B$17&lt;=$AA$55,IF('GPS Anthro Tool'!$B$16&gt;=$Z$55,1,0),0))</f>
        <v>0</v>
      </c>
      <c r="AE55" s="705">
        <f>IF('GPS Anthro Tool'!$B$4=0,0,IF('GPS Anthro Tool'!$B$15&lt;=$AC$55,IF('GPS Anthro Tool'!$B$14&gt;=$AB$55,1,0),0))</f>
        <v>0</v>
      </c>
      <c r="AF55" s="705">
        <f>IF('GPS Anthro Tool'!$B$44=1,IF($AD$55=1,IF($AE$55=1,1,IF('GPS Anthro Tool'!$B$2=8,1,0)),0),IF('GPS Anthro Tool'!$B$47=1,1,0))</f>
        <v>0</v>
      </c>
      <c r="AG55" s="572"/>
      <c r="AK55" s="118"/>
      <c r="AL55" s="138">
        <f>AC24/2</f>
        <v>10.65</v>
      </c>
      <c r="AM55" s="138">
        <f>AB24</f>
        <v>32.700000000000003</v>
      </c>
      <c r="AN55" s="162">
        <f>(-AE24/2)*0.92</f>
        <v>-7.82</v>
      </c>
      <c r="AO55" s="162">
        <f>-AF24*0.92/2-'GPS Anthro Tool'!$B$42</f>
        <v>-7.2394000000000007</v>
      </c>
      <c r="AS55" s="115" t="s">
        <v>313</v>
      </c>
      <c r="AT55" s="116"/>
      <c r="AU55" s="191">
        <f>IF(AL54=0,0,AL57)</f>
        <v>6.9054545454545462</v>
      </c>
      <c r="AV55" s="191">
        <f>AM54</f>
        <v>32.700000000000003</v>
      </c>
      <c r="AW55" s="116"/>
      <c r="AX55" s="193">
        <f>-1*AU55</f>
        <v>-6.9054545454545462</v>
      </c>
      <c r="AY55" s="192">
        <f>AV55</f>
        <v>32.700000000000003</v>
      </c>
      <c r="BG55" s="741"/>
      <c r="BH55" s="742">
        <v>10</v>
      </c>
      <c r="BI55" s="217">
        <f>IF('GPS Anthro Tool'!$B$31=0,0,-'Big Data'!W83/2)</f>
        <v>0</v>
      </c>
      <c r="BJ55" s="218">
        <f>'GPS Anthro Tool'!$B$41</f>
        <v>2</v>
      </c>
      <c r="BK55" s="217">
        <f>IF('GPS Anthro Tool'!$B$31=0,0,-'Big Data'!X83/2)</f>
        <v>0</v>
      </c>
      <c r="BL55" s="218">
        <f>'GPS Anthro Tool'!$B$41</f>
        <v>2</v>
      </c>
      <c r="BM55" s="219">
        <f>IF('GPS Anthro Tool'!$B$31=0,0,-'Big Data'!Y83/2)</f>
        <v>0</v>
      </c>
      <c r="BN55" s="218">
        <f>'GPS Anthro Tool'!$B$41</f>
        <v>2</v>
      </c>
      <c r="BP55" s="217">
        <f>-BI55</f>
        <v>0</v>
      </c>
      <c r="BQ55" s="218">
        <f t="shared" si="25"/>
        <v>2</v>
      </c>
      <c r="BR55" s="217">
        <f>-BK55</f>
        <v>0</v>
      </c>
      <c r="BS55" s="218">
        <f t="shared" si="26"/>
        <v>2</v>
      </c>
      <c r="BT55" s="219">
        <f>-BM55</f>
        <v>0</v>
      </c>
      <c r="BU55" s="218">
        <f t="shared" si="27"/>
        <v>2</v>
      </c>
    </row>
    <row r="56" spans="24:90">
      <c r="X56" s="711" t="s">
        <v>382</v>
      </c>
      <c r="Y56" s="711" t="s">
        <v>376</v>
      </c>
      <c r="Z56" s="712">
        <v>0</v>
      </c>
      <c r="AA56" s="712">
        <v>0</v>
      </c>
      <c r="AB56" s="712">
        <v>125.1</v>
      </c>
      <c r="AC56" s="713">
        <v>199</v>
      </c>
      <c r="AD56" s="705">
        <f>IF('GPS Anthro Tool'!$B$5=0,0,1)</f>
        <v>0</v>
      </c>
      <c r="AE56" s="705">
        <f>IF('GPS Anthro Tool'!$B$5=0,0,IF('GPS Anthro Tool'!$B$15&lt;=$AC$56,IF('GPS Anthro Tool'!$B$14&gt;=$AB$56,1,0),0))</f>
        <v>0</v>
      </c>
      <c r="AF56" s="705">
        <f>IF('GPS Anthro Tool'!$B$44=1,IF($AD$56=1,IF($AE$56=1,1,IF('GPS Anthro Tool'!$B$2=8,1,0)),0),IF('GPS Anthro Tool'!$B$46=1,1,0))</f>
        <v>0</v>
      </c>
      <c r="AG56" s="572"/>
      <c r="AK56" s="118"/>
      <c r="AL56" s="84">
        <v>-6.9054545454545462</v>
      </c>
      <c r="AM56" s="143"/>
      <c r="AN56" s="162">
        <f>-AF24*0.92*0.4</f>
        <v>-4.1915200000000006</v>
      </c>
      <c r="AO56" s="466">
        <f>-AF24*0.92-'GPS Anthro Tool'!$B$42</f>
        <v>-12.478800000000001</v>
      </c>
      <c r="AS56" s="115" t="s">
        <v>312</v>
      </c>
      <c r="AT56" s="116"/>
      <c r="AU56" s="191">
        <f>(((AU55-AU57)/2)+AU57)*1.16</f>
        <v>10.182163636363635</v>
      </c>
      <c r="AV56" s="191">
        <f>((AV55-AV57)*0.75)+AV57</f>
        <v>31.763863636363638</v>
      </c>
      <c r="AW56" s="116"/>
      <c r="AX56" s="193">
        <f>-1*AU56</f>
        <v>-10.182163636363635</v>
      </c>
      <c r="AY56" s="192">
        <f>AV56</f>
        <v>31.763863636363638</v>
      </c>
      <c r="BG56" s="741"/>
      <c r="BH56" s="743"/>
      <c r="BI56" s="220">
        <f>IF('GPS Anthro Tool'!$B$31=0,0,-'Big Data'!W83*0.9/2)</f>
        <v>0</v>
      </c>
      <c r="BJ56" s="221">
        <f>IF('GPS Anthro Tool'!$B$31=0,0,'Big Data'!AU83+'GPS Anthro Tool'!$B$41)</f>
        <v>2</v>
      </c>
      <c r="BK56" s="220">
        <f>IF('GPS Anthro Tool'!$B$31=0,0,-'Big Data'!X83*0.9/2)</f>
        <v>0</v>
      </c>
      <c r="BL56" s="221">
        <f>IF('GPS Anthro Tool'!$B$31=0,0,'Big Data'!AV83+'GPS Anthro Tool'!$B$41)</f>
        <v>2</v>
      </c>
      <c r="BM56" s="222">
        <f>IF('GPS Anthro Tool'!$B$31=0,0,-'Big Data'!Y83*0.9/2)</f>
        <v>0</v>
      </c>
      <c r="BN56" s="221">
        <f>IF('GPS Anthro Tool'!$B$31=0,0,'Big Data'!AW83+'GPS Anthro Tool'!$B$41)</f>
        <v>2</v>
      </c>
      <c r="BP56" s="220">
        <f>-BI56</f>
        <v>0</v>
      </c>
      <c r="BQ56" s="221">
        <f t="shared" si="25"/>
        <v>2</v>
      </c>
      <c r="BR56" s="220">
        <f>-BK56</f>
        <v>0</v>
      </c>
      <c r="BS56" s="221">
        <f t="shared" si="26"/>
        <v>2</v>
      </c>
      <c r="BT56" s="222">
        <f>-BM56</f>
        <v>0</v>
      </c>
      <c r="BU56" s="221">
        <f t="shared" si="27"/>
        <v>2</v>
      </c>
      <c r="BX56" s="274" t="s">
        <v>470</v>
      </c>
    </row>
    <row r="57" spans="24:90">
      <c r="X57" s="702" t="s">
        <v>381</v>
      </c>
      <c r="Y57" s="702" t="s">
        <v>43</v>
      </c>
      <c r="Z57" s="703">
        <v>55.1</v>
      </c>
      <c r="AA57" s="703">
        <v>74.599999999999994</v>
      </c>
      <c r="AB57" s="703">
        <v>135</v>
      </c>
      <c r="AC57" s="703">
        <v>199</v>
      </c>
      <c r="AD57" s="705">
        <f>IF('GPS Anthro Tool'!$B$4=0,0,IF('GPS Anthro Tool'!$B$17&lt;=$AA$57,IF('GPS Anthro Tool'!$B$16&gt;=$Z$57,1,0),0))</f>
        <v>0</v>
      </c>
      <c r="AE57" s="705">
        <f>IF('GPS Anthro Tool'!$B$4=0,0,IF('GPS Anthro Tool'!$B$15&lt;=$AC$57,IF('GPS Anthro Tool'!$B$14&gt;=$AB$57,1,0),0))</f>
        <v>0</v>
      </c>
      <c r="AF57" s="705">
        <f>IF('GPS Anthro Tool'!$B$44=1,IF($AD$57=1,IF($AE$57=1,1,IF('GPS Anthro Tool'!$B$2=8,1,0)),0),IF('GPS Anthro Tool'!$B$45=1,1,0))</f>
        <v>0</v>
      </c>
      <c r="AG57" s="572"/>
      <c r="AK57" s="118"/>
      <c r="AL57" s="84">
        <v>6.9054545454545462</v>
      </c>
      <c r="AM57" s="143"/>
      <c r="AN57" s="162">
        <v>0</v>
      </c>
      <c r="AO57" s="466">
        <f>-AF24-'GPS Anthro Tool'!$B$42</f>
        <v>-13.39</v>
      </c>
      <c r="AS57" s="115" t="s">
        <v>314</v>
      </c>
      <c r="AT57" s="116"/>
      <c r="AU57" s="191">
        <f>AL55</f>
        <v>10.65</v>
      </c>
      <c r="AV57" s="191">
        <f>AV55-(AU57-AU55)</f>
        <v>28.95545454545455</v>
      </c>
      <c r="AW57" s="116"/>
      <c r="AX57" s="193">
        <f>-1*AU57</f>
        <v>-10.65</v>
      </c>
      <c r="AY57" s="192">
        <f>AV57</f>
        <v>28.95545454545455</v>
      </c>
      <c r="BG57" s="741"/>
      <c r="BH57" s="743"/>
      <c r="BI57" s="220">
        <f>IF('GPS Anthro Tool'!$B$31=0,0,-'Big Data'!W83*0.1/2-1.9)</f>
        <v>-1.9</v>
      </c>
      <c r="BJ57" s="221">
        <f>IF('GPS Anthro Tool'!$B$31=0,0,'Big Data'!AU83+'GPS Anthro Tool'!$B$41)</f>
        <v>2</v>
      </c>
      <c r="BK57" s="220">
        <f>IF('GPS Anthro Tool'!$B$31=0,0,-'Big Data'!X83*0.1/2-1.9)</f>
        <v>-1.9</v>
      </c>
      <c r="BL57" s="221">
        <f>IF('GPS Anthro Tool'!$B$31=0,0,'Big Data'!AV83+'GPS Anthro Tool'!$B$41)</f>
        <v>2</v>
      </c>
      <c r="BM57" s="222">
        <f>IF('GPS Anthro Tool'!$B$31=0,0,-'Big Data'!Y83*0.1/2-1.9)</f>
        <v>-1.9</v>
      </c>
      <c r="BN57" s="221">
        <f>IF('GPS Anthro Tool'!$B$31=0,0,'Big Data'!AW83+'GPS Anthro Tool'!$B$41)</f>
        <v>2</v>
      </c>
      <c r="BP57" s="220">
        <f>-BI57</f>
        <v>1.9</v>
      </c>
      <c r="BQ57" s="221">
        <f t="shared" si="25"/>
        <v>2</v>
      </c>
      <c r="BR57" s="220">
        <f>-BK57</f>
        <v>1.9</v>
      </c>
      <c r="BS57" s="221">
        <f t="shared" si="26"/>
        <v>2</v>
      </c>
      <c r="BT57" s="222">
        <f>-BM57</f>
        <v>1.9</v>
      </c>
      <c r="BU57" s="221">
        <f t="shared" si="27"/>
        <v>2</v>
      </c>
      <c r="CA57" s="117">
        <f>IF('GPS Anthro Tool'!$B$21=1,CA20+BX20,0)</f>
        <v>-6.7309999999999999</v>
      </c>
      <c r="CB57" s="117"/>
      <c r="CC57" s="117">
        <f>IF('GPS Anthro Tool'!$B$21=1,CC20+CF20,0)</f>
        <v>0</v>
      </c>
    </row>
    <row r="58" spans="24:90" ht="13.5" thickBot="1">
      <c r="X58" s="572"/>
      <c r="Y58" s="572"/>
      <c r="Z58" s="572"/>
      <c r="AA58" s="572"/>
      <c r="AB58" s="572"/>
      <c r="AC58" s="572"/>
      <c r="AD58" s="572"/>
      <c r="AE58" s="572"/>
      <c r="AF58" s="572"/>
      <c r="AG58" s="572"/>
      <c r="AK58" s="118"/>
      <c r="AL58" s="143"/>
      <c r="AM58" s="143"/>
      <c r="AN58" s="99"/>
      <c r="AO58" s="99"/>
      <c r="BG58" s="741"/>
      <c r="BH58" s="744"/>
      <c r="BI58" s="223">
        <f>IF('GPS Anthro Tool'!$B$31=0,0,IF(BI57=0,0,-1.9))</f>
        <v>-1.9</v>
      </c>
      <c r="BJ58" s="224">
        <f>'GPS Anthro Tool'!$B$41</f>
        <v>2</v>
      </c>
      <c r="BK58" s="223">
        <f>IF('GPS Anthro Tool'!$B$31=0,0,-1.9)</f>
        <v>-1.9</v>
      </c>
      <c r="BL58" s="224">
        <f>'GPS Anthro Tool'!$B$41</f>
        <v>2</v>
      </c>
      <c r="BM58" s="225">
        <f>IF('GPS Anthro Tool'!$B$31=0,0,-1.9)</f>
        <v>-1.9</v>
      </c>
      <c r="BN58" s="224">
        <f>'GPS Anthro Tool'!$B$41</f>
        <v>2</v>
      </c>
      <c r="BP58" s="223">
        <f>IF(BP57=0,0,1.9)</f>
        <v>1.9</v>
      </c>
      <c r="BQ58" s="224">
        <f t="shared" si="25"/>
        <v>2</v>
      </c>
      <c r="BR58" s="223">
        <f>IF(BR57=0,0,1.9)</f>
        <v>1.9</v>
      </c>
      <c r="BS58" s="224">
        <f t="shared" si="26"/>
        <v>2</v>
      </c>
      <c r="BT58" s="225">
        <f>IF(BT57=0,0,1.9)</f>
        <v>1.9</v>
      </c>
      <c r="BU58" s="224">
        <f t="shared" si="27"/>
        <v>2</v>
      </c>
      <c r="CA58" s="117">
        <v>0</v>
      </c>
      <c r="CB58" s="117"/>
      <c r="CC58" s="117">
        <f>IF('GPS Anthro Tool'!$B$21=1,CC19+BZ19,0)</f>
        <v>-1</v>
      </c>
      <c r="CG58" s="267"/>
      <c r="CH58" s="267"/>
    </row>
    <row r="59" spans="24:90">
      <c r="X59" s="572"/>
      <c r="Y59" s="572"/>
      <c r="Z59" s="572"/>
      <c r="AA59" s="572"/>
      <c r="AB59" s="572"/>
      <c r="AC59" s="572"/>
      <c r="AD59" s="572"/>
      <c r="AE59" s="572"/>
      <c r="AF59" s="572"/>
      <c r="AG59" s="572"/>
      <c r="AK59" s="118"/>
      <c r="AL59" s="143"/>
      <c r="AM59" s="143"/>
      <c r="AN59" s="99"/>
      <c r="AO59" s="99"/>
      <c r="BG59" s="741"/>
      <c r="BH59" s="742">
        <v>11</v>
      </c>
      <c r="BI59" s="217">
        <f>IF('GPS Anthro Tool'!$B$31=0,0,-'Big Data'!W86/2)</f>
        <v>0</v>
      </c>
      <c r="BJ59" s="218">
        <f>'GPS Anthro Tool'!$B$41</f>
        <v>2</v>
      </c>
      <c r="BK59" s="217">
        <f>IF('GPS Anthro Tool'!$B$31=0,0,-'Big Data'!X86/2)</f>
        <v>0</v>
      </c>
      <c r="BL59" s="218">
        <f>'GPS Anthro Tool'!$B$41</f>
        <v>2</v>
      </c>
      <c r="BM59" s="219">
        <f>IF('GPS Anthro Tool'!$B$31=0,0,-'Big Data'!Y86/2)</f>
        <v>0</v>
      </c>
      <c r="BN59" s="218">
        <f>'GPS Anthro Tool'!$B$41</f>
        <v>2</v>
      </c>
      <c r="BP59" s="217">
        <f>-BI59</f>
        <v>0</v>
      </c>
      <c r="BQ59" s="218">
        <f t="shared" si="25"/>
        <v>2</v>
      </c>
      <c r="BR59" s="217">
        <f>-BK59</f>
        <v>0</v>
      </c>
      <c r="BS59" s="218">
        <f t="shared" si="26"/>
        <v>2</v>
      </c>
      <c r="BT59" s="219">
        <f>-BM59</f>
        <v>0</v>
      </c>
      <c r="BU59" s="218">
        <f t="shared" si="27"/>
        <v>2</v>
      </c>
      <c r="CA59" s="117">
        <f>IF('GPS Anthro Tool'!$B$21=1,CG20+CD20,0)</f>
        <v>6.7309999999999999</v>
      </c>
      <c r="CB59" s="117"/>
      <c r="CC59" s="117">
        <f>IF('GPS Anthro Tool'!$B$21=1,CI20+CF20,0)</f>
        <v>0</v>
      </c>
      <c r="CG59" s="267"/>
      <c r="CH59" s="267"/>
    </row>
    <row r="60" spans="24:90">
      <c r="X60" s="572"/>
      <c r="Y60" s="572"/>
      <c r="Z60" s="572"/>
      <c r="AA60" s="572"/>
      <c r="AB60" s="572"/>
      <c r="AC60" s="572"/>
      <c r="AD60" s="572"/>
      <c r="AE60" s="572"/>
      <c r="AF60" s="572"/>
      <c r="AG60" s="572"/>
      <c r="AK60" s="118"/>
      <c r="AL60" s="143"/>
      <c r="AM60" s="143"/>
      <c r="AN60" s="99"/>
      <c r="AO60" s="99"/>
      <c r="BG60" s="741"/>
      <c r="BH60" s="743"/>
      <c r="BI60" s="220">
        <f>IF('GPS Anthro Tool'!$B$31=0,0,-'Big Data'!W86*0.9/2)</f>
        <v>0</v>
      </c>
      <c r="BJ60" s="221">
        <f>IF('GPS Anthro Tool'!$B$31=0,0,'Big Data'!AU86+'GPS Anthro Tool'!$B$41)</f>
        <v>2</v>
      </c>
      <c r="BK60" s="220">
        <f>IF('GPS Anthro Tool'!$B$31=0,0,-'Big Data'!X86*0.9/2)</f>
        <v>0</v>
      </c>
      <c r="BL60" s="221">
        <f>IF('GPS Anthro Tool'!$B$31=0,0,'Big Data'!AV86+'GPS Anthro Tool'!$B$41)</f>
        <v>2</v>
      </c>
      <c r="BM60" s="222">
        <f>IF('GPS Anthro Tool'!$B$31=0,0,-'Big Data'!Y86*0.9/2)</f>
        <v>0</v>
      </c>
      <c r="BN60" s="221">
        <f>IF('GPS Anthro Tool'!$B$31=0,0,'Big Data'!AW86+'GPS Anthro Tool'!$B$41)</f>
        <v>2</v>
      </c>
      <c r="BP60" s="220">
        <f>-BI60</f>
        <v>0</v>
      </c>
      <c r="BQ60" s="221">
        <f t="shared" si="25"/>
        <v>2</v>
      </c>
      <c r="BR60" s="220">
        <f>-BK60</f>
        <v>0</v>
      </c>
      <c r="BS60" s="221">
        <f t="shared" si="26"/>
        <v>2</v>
      </c>
      <c r="BT60" s="222">
        <f>-BM60</f>
        <v>0</v>
      </c>
      <c r="BU60" s="221">
        <f t="shared" si="27"/>
        <v>2</v>
      </c>
    </row>
    <row r="61" spans="24:90">
      <c r="X61" s="572"/>
      <c r="Y61" s="572"/>
      <c r="Z61" s="572"/>
      <c r="AA61" s="572"/>
      <c r="AB61" s="572"/>
      <c r="AC61" s="572"/>
      <c r="AD61" s="572"/>
      <c r="AE61" s="572"/>
      <c r="AF61" s="572"/>
      <c r="AG61" s="572"/>
      <c r="AK61" s="467" t="str">
        <f>Y25</f>
        <v>Q1.5</v>
      </c>
      <c r="AL61" s="138">
        <f>-AC25/2</f>
        <v>0</v>
      </c>
      <c r="AM61" s="138">
        <f>AB25</f>
        <v>0</v>
      </c>
      <c r="AN61" s="99">
        <f>AN66*-1</f>
        <v>0</v>
      </c>
      <c r="AO61" s="99">
        <f>-'GPS Anthro Tool'!$B$42</f>
        <v>-2</v>
      </c>
      <c r="AS61" s="113"/>
      <c r="AU61" s="113" t="s">
        <v>315</v>
      </c>
      <c r="AV61" s="113" t="s">
        <v>316</v>
      </c>
      <c r="AX61" s="113" t="s">
        <v>315</v>
      </c>
      <c r="AY61" s="113" t="s">
        <v>316</v>
      </c>
      <c r="BG61" s="741"/>
      <c r="BH61" s="743"/>
      <c r="BI61" s="220">
        <f>IF('GPS Anthro Tool'!$B$31=0,0,-'Big Data'!W86*0.1/2-1.9)</f>
        <v>-1.9</v>
      </c>
      <c r="BJ61" s="221">
        <f>IF('GPS Anthro Tool'!$B$31=0,0,'Big Data'!AU86+'GPS Anthro Tool'!$B$41)</f>
        <v>2</v>
      </c>
      <c r="BK61" s="220">
        <f>IF('GPS Anthro Tool'!$B$31=0,0,-'Big Data'!X86*0.1/2-1.9)</f>
        <v>-1.9</v>
      </c>
      <c r="BL61" s="221">
        <f>IF('GPS Anthro Tool'!$B$31=0,0,'Big Data'!AV86+'GPS Anthro Tool'!$B$41)</f>
        <v>2</v>
      </c>
      <c r="BM61" s="222">
        <f>IF('GPS Anthro Tool'!$B$31=0,0,-'Big Data'!Y86*0.1/2-1.9)</f>
        <v>-1.9</v>
      </c>
      <c r="BN61" s="221">
        <f>IF('GPS Anthro Tool'!$B$31=0,0,'Big Data'!AW86+'GPS Anthro Tool'!$B$41)</f>
        <v>2</v>
      </c>
      <c r="BP61" s="220">
        <f>-BI61</f>
        <v>1.9</v>
      </c>
      <c r="BQ61" s="221">
        <f t="shared" si="25"/>
        <v>2</v>
      </c>
      <c r="BR61" s="220">
        <f>-BK61</f>
        <v>1.9</v>
      </c>
      <c r="BS61" s="221">
        <f t="shared" si="26"/>
        <v>2</v>
      </c>
      <c r="BT61" s="222">
        <f>-BM61</f>
        <v>1.9</v>
      </c>
      <c r="BU61" s="221">
        <f t="shared" si="27"/>
        <v>2</v>
      </c>
      <c r="BX61" t="s">
        <v>467</v>
      </c>
    </row>
    <row r="62" spans="24:90" ht="13.5" thickBot="1">
      <c r="X62" s="572"/>
      <c r="Y62" s="572"/>
      <c r="Z62" s="572"/>
      <c r="AA62" s="572"/>
      <c r="AB62" s="572"/>
      <c r="AC62" s="572"/>
      <c r="AD62" s="572"/>
      <c r="AE62" s="572"/>
      <c r="AF62" s="572"/>
      <c r="AG62" s="572"/>
      <c r="AK62" s="118"/>
      <c r="AL62" s="138">
        <f>AC25/2</f>
        <v>0</v>
      </c>
      <c r="AM62" s="138">
        <f>AB25</f>
        <v>0</v>
      </c>
      <c r="AN62" s="99">
        <f>(AN66*-1)*0.9</f>
        <v>0</v>
      </c>
      <c r="AO62" s="99">
        <f>AO63/2</f>
        <v>-1</v>
      </c>
      <c r="AP62" s="98"/>
      <c r="AQ62" s="42"/>
      <c r="AR62" s="113"/>
      <c r="AS62" s="115" t="s">
        <v>313</v>
      </c>
      <c r="AT62" s="116"/>
      <c r="AU62" s="191">
        <f>IF(AL61=0,0,AL64)</f>
        <v>0</v>
      </c>
      <c r="AV62" s="191">
        <f>AM61</f>
        <v>0</v>
      </c>
      <c r="AW62" s="116"/>
      <c r="AX62" s="193">
        <f>-1*AU62</f>
        <v>0</v>
      </c>
      <c r="AY62" s="192">
        <f>AV62</f>
        <v>0</v>
      </c>
      <c r="BG62" s="741"/>
      <c r="BH62" s="744"/>
      <c r="BI62" s="223">
        <f>IF('GPS Anthro Tool'!$B$31=0,0,IF(BI61=0,0,-1.9))</f>
        <v>-1.9</v>
      </c>
      <c r="BJ62" s="224">
        <f>'GPS Anthro Tool'!$B$41</f>
        <v>2</v>
      </c>
      <c r="BK62" s="223">
        <f>IF('GPS Anthro Tool'!$B$31=0,0,-1.9)</f>
        <v>-1.9</v>
      </c>
      <c r="BL62" s="224">
        <f>'GPS Anthro Tool'!$B$41</f>
        <v>2</v>
      </c>
      <c r="BM62" s="225">
        <f>IF('GPS Anthro Tool'!$B$31=0,0,-1.9)</f>
        <v>-1.9</v>
      </c>
      <c r="BN62" s="224">
        <f>'GPS Anthro Tool'!$B$41</f>
        <v>2</v>
      </c>
      <c r="BP62" s="223">
        <f>IF(BP61=0,0,1.9)</f>
        <v>1.9</v>
      </c>
      <c r="BQ62" s="224">
        <f t="shared" si="25"/>
        <v>2</v>
      </c>
      <c r="BR62" s="223">
        <f>IF(BR61=0,0,1.9)</f>
        <v>1.9</v>
      </c>
      <c r="BS62" s="224">
        <f t="shared" si="26"/>
        <v>2</v>
      </c>
      <c r="BT62" s="225">
        <f>IF(BT61=0,0,1.9)</f>
        <v>1.9</v>
      </c>
      <c r="BU62" s="224">
        <f t="shared" si="27"/>
        <v>2</v>
      </c>
      <c r="CA62" s="267">
        <f>IF('GPS Anthro Tool'!$B$27=1,IF('GPS Anthro Tool'!$B$21=1,IF('GPS Anthro Tool'!$B$20=1,CA36,BX36),0),0)</f>
        <v>-7.2289999999999992</v>
      </c>
      <c r="CB62" s="267">
        <f>IF('GPS Anthro Tool'!$B$27=1,IF('GPS Anthro Tool'!$B$21=1,IF('GPS Anthro Tool'!$B$20=1,$CI$36,$CF$36),0),0)</f>
        <v>32.733999999999995</v>
      </c>
      <c r="CC62" s="267">
        <f>IF('GPS Anthro Tool'!$B$27=1,IF('GPS Anthro Tool'!$B$20=1,CG36,CD36),0)</f>
        <v>7.2289999999999992</v>
      </c>
      <c r="CD62" s="267">
        <f>IF('GPS Anthro Tool'!$B$27=1,IF('GPS Anthro Tool'!$B$20=1,$CI$36,$CF$36),0)</f>
        <v>32.733999999999995</v>
      </c>
    </row>
    <row r="63" spans="24:90">
      <c r="AK63" s="118"/>
      <c r="AL63" s="84">
        <v>-6.9054545454545462</v>
      </c>
      <c r="AM63" s="143"/>
      <c r="AN63" s="162">
        <v>0</v>
      </c>
      <c r="AO63" s="466">
        <f>-AF25-'GPS Anthro Tool'!$B$42</f>
        <v>-2</v>
      </c>
      <c r="AP63" s="98"/>
      <c r="AQ63" s="42"/>
      <c r="AR63" s="113"/>
      <c r="AS63" s="115" t="s">
        <v>312</v>
      </c>
      <c r="AT63" s="116"/>
      <c r="AU63" s="191">
        <f>((AU64-AU62)/2)+AU62*1.23</f>
        <v>0</v>
      </c>
      <c r="AV63" s="191">
        <f>((AV62-AV64)*0.75)+AV64</f>
        <v>0</v>
      </c>
      <c r="AW63" s="116"/>
      <c r="AX63" s="193">
        <f>-1*AU63</f>
        <v>0</v>
      </c>
      <c r="AY63" s="192">
        <f>AV63</f>
        <v>0</v>
      </c>
      <c r="BG63" s="741"/>
      <c r="BH63" s="742">
        <v>12</v>
      </c>
      <c r="BI63" s="217">
        <f>IF('GPS Anthro Tool'!$B$31=0,0,-'Big Data'!W89/2)</f>
        <v>0</v>
      </c>
      <c r="BJ63" s="218">
        <f>'GPS Anthro Tool'!$B$41</f>
        <v>2</v>
      </c>
      <c r="BK63" s="217">
        <f>IF('GPS Anthro Tool'!$B$31=0,0,-'Big Data'!X89/2)</f>
        <v>0</v>
      </c>
      <c r="BL63" s="218">
        <f>'GPS Anthro Tool'!$B$41</f>
        <v>2</v>
      </c>
      <c r="BM63" s="219">
        <f>IF('GPS Anthro Tool'!$B$31=0,0,-'Big Data'!Y89/2)</f>
        <v>0</v>
      </c>
      <c r="BN63" s="218">
        <f>'GPS Anthro Tool'!$B$41</f>
        <v>2</v>
      </c>
      <c r="BP63" s="217">
        <f>-BI63</f>
        <v>0</v>
      </c>
      <c r="BQ63" s="218">
        <f t="shared" si="25"/>
        <v>2</v>
      </c>
      <c r="BR63" s="217">
        <f>-BK63</f>
        <v>0</v>
      </c>
      <c r="BS63" s="218">
        <f t="shared" si="26"/>
        <v>2</v>
      </c>
      <c r="BT63" s="219">
        <f>-BM63</f>
        <v>0</v>
      </c>
      <c r="BU63" s="218">
        <f t="shared" si="27"/>
        <v>2</v>
      </c>
      <c r="CA63" s="267">
        <f>IF('GPS Anthro Tool'!$B$27=1,IF('GPS Anthro Tool'!$B$21=1,IF('GPS Anthro Tool'!$B$20=1,CA37,BX37),0),0)</f>
        <v>-2.2289999999999992</v>
      </c>
      <c r="CB63" s="267">
        <f>IF('GPS Anthro Tool'!$B$27=1,IF('GPS Anthro Tool'!$B$21=1,IF('GPS Anthro Tool'!$B$20=1,$CI$37,$CF$37),0),0)</f>
        <v>27.733999999999995</v>
      </c>
      <c r="CC63" s="267">
        <f>IF('GPS Anthro Tool'!$B$27=1,IF('GPS Anthro Tool'!$B$20=1,CG37,CD37),0)</f>
        <v>2.2289999999999992</v>
      </c>
      <c r="CD63" s="714">
        <f>IF('GPS Anthro Tool'!$B$27=1,IF('GPS Anthro Tool'!$B$20=1,$CI$37,$CF$37),0)</f>
        <v>27.733999999999995</v>
      </c>
    </row>
    <row r="64" spans="24:90">
      <c r="Y64" s="483"/>
      <c r="AK64" s="118"/>
      <c r="AL64" s="84">
        <v>6.9054545454545462</v>
      </c>
      <c r="AM64" s="143"/>
      <c r="AN64" s="162">
        <f>(AF25*0.94)*0.4</f>
        <v>0</v>
      </c>
      <c r="AO64" s="466">
        <f>(-AF25*0.94)-'GPS Anthro Tool'!$B$42</f>
        <v>-2</v>
      </c>
      <c r="AP64" s="98"/>
      <c r="AQ64" s="42"/>
      <c r="AR64" s="113"/>
      <c r="AS64" s="115" t="s">
        <v>314</v>
      </c>
      <c r="AT64" s="116"/>
      <c r="AU64" s="191">
        <f>AL62</f>
        <v>0</v>
      </c>
      <c r="AV64" s="191">
        <f>AV62-(AU64-AU62)</f>
        <v>0</v>
      </c>
      <c r="AW64" s="116"/>
      <c r="AX64" s="193">
        <f>-1*AU64</f>
        <v>0</v>
      </c>
      <c r="AY64" s="192">
        <f>AV64</f>
        <v>0</v>
      </c>
      <c r="BG64" s="741"/>
      <c r="BH64" s="743"/>
      <c r="BI64" s="220">
        <f>IF('GPS Anthro Tool'!$B$31=0,0,-'Big Data'!W89*0.9/2)</f>
        <v>0</v>
      </c>
      <c r="BJ64" s="221">
        <f>IF('GPS Anthro Tool'!$B$31=0,0,'Big Data'!AU89+'GPS Anthro Tool'!$B$41)</f>
        <v>2</v>
      </c>
      <c r="BK64" s="220">
        <f>IF('GPS Anthro Tool'!$B$31=0,0,-'Big Data'!X89*0.9/2)</f>
        <v>0</v>
      </c>
      <c r="BL64" s="221">
        <f>IF('GPS Anthro Tool'!$B$31=0,0,'Big Data'!AV89+'GPS Anthro Tool'!$B$41)</f>
        <v>2</v>
      </c>
      <c r="BM64" s="222">
        <f>IF('GPS Anthro Tool'!$B$31=0,0,-'Big Data'!Y89*0.9/2)</f>
        <v>0</v>
      </c>
      <c r="BN64" s="221">
        <f>IF('GPS Anthro Tool'!$B$31=0,0,'Big Data'!AW89+'GPS Anthro Tool'!$B$41)</f>
        <v>2</v>
      </c>
      <c r="BP64" s="220">
        <f>-BI64</f>
        <v>0</v>
      </c>
      <c r="BQ64" s="221">
        <f t="shared" si="25"/>
        <v>2</v>
      </c>
      <c r="BR64" s="220">
        <f>-BK64</f>
        <v>0</v>
      </c>
      <c r="BS64" s="221">
        <f t="shared" si="26"/>
        <v>2</v>
      </c>
      <c r="BT64" s="222">
        <f>-BM64</f>
        <v>0</v>
      </c>
      <c r="BU64" s="221">
        <f t="shared" si="27"/>
        <v>2</v>
      </c>
    </row>
    <row r="65" spans="24:90">
      <c r="Y65" s="483"/>
      <c r="AK65" s="118"/>
      <c r="AL65" s="143"/>
      <c r="AM65" s="143"/>
      <c r="AN65" s="162">
        <f>(AE25/2)*0.9</f>
        <v>0</v>
      </c>
      <c r="AO65" s="162">
        <f>(-AF25/2)-'GPS Anthro Tool'!$B$42</f>
        <v>-2</v>
      </c>
      <c r="AP65" s="98"/>
      <c r="AQ65" s="42"/>
      <c r="AR65" s="113"/>
      <c r="BG65" s="741"/>
      <c r="BH65" s="743"/>
      <c r="BI65" s="220">
        <f>IF('GPS Anthro Tool'!$B$31=0,0,-'Big Data'!W89*0.1/2-1.9)</f>
        <v>-1.9</v>
      </c>
      <c r="BJ65" s="221">
        <f>IF('GPS Anthro Tool'!$B$31=0,0,'Big Data'!AU89+'GPS Anthro Tool'!$B$41)</f>
        <v>2</v>
      </c>
      <c r="BK65" s="220">
        <f>IF('GPS Anthro Tool'!$B$31=0,0,-'Big Data'!X89*0.1/2-1.9)</f>
        <v>-1.9</v>
      </c>
      <c r="BL65" s="221">
        <f>IF('GPS Anthro Tool'!$B$31=0,0,'Big Data'!AV89+'GPS Anthro Tool'!$B$41)</f>
        <v>2</v>
      </c>
      <c r="BM65" s="222">
        <f>IF('GPS Anthro Tool'!$B$31=0,0,-'Big Data'!Y89*0.1/2-1.9)</f>
        <v>-1.9</v>
      </c>
      <c r="BN65" s="221">
        <f>IF('GPS Anthro Tool'!$B$31=0,0,'Big Data'!AW89+'GPS Anthro Tool'!$B$41)</f>
        <v>2</v>
      </c>
      <c r="BP65" s="220">
        <f>-BI65</f>
        <v>1.9</v>
      </c>
      <c r="BQ65" s="221">
        <f t="shared" si="25"/>
        <v>2</v>
      </c>
      <c r="BR65" s="220">
        <f>-BK65</f>
        <v>1.9</v>
      </c>
      <c r="BS65" s="221">
        <f t="shared" si="26"/>
        <v>2</v>
      </c>
      <c r="BT65" s="222">
        <f>-BM65</f>
        <v>1.9</v>
      </c>
      <c r="BU65" s="221">
        <f t="shared" si="27"/>
        <v>2</v>
      </c>
      <c r="CC65" s="272">
        <v>0</v>
      </c>
      <c r="CD65" s="272">
        <v>0</v>
      </c>
    </row>
    <row r="66" spans="24:90" ht="13.5" thickBot="1">
      <c r="X66" s="152"/>
      <c r="Y66" s="484"/>
      <c r="Z66" s="483"/>
      <c r="AA66" s="483"/>
      <c r="AB66" s="483"/>
      <c r="AC66" s="483"/>
      <c r="AD66" s="483"/>
      <c r="AE66" s="483"/>
      <c r="AF66" s="483"/>
      <c r="AG66" s="483"/>
      <c r="AK66" s="118"/>
      <c r="AL66" s="143"/>
      <c r="AM66" s="143"/>
      <c r="AN66" s="466">
        <f>AE25/2</f>
        <v>0</v>
      </c>
      <c r="AO66" s="466">
        <f>-'GPS Anthro Tool'!$B$42</f>
        <v>-2</v>
      </c>
      <c r="AP66" s="98"/>
      <c r="AQ66" s="42"/>
      <c r="AR66" s="113"/>
      <c r="BG66" s="741"/>
      <c r="BH66" s="744"/>
      <c r="BI66" s="457">
        <f>IF('GPS Anthro Tool'!$B$31=0,0,IF(BI65=0,0,-1.9))</f>
        <v>-1.9</v>
      </c>
      <c r="BJ66" s="456">
        <f>'GPS Anthro Tool'!$B$41</f>
        <v>2</v>
      </c>
      <c r="BK66" s="223">
        <f>IF('GPS Anthro Tool'!$B$31=0,0,-1.9)</f>
        <v>-1.9</v>
      </c>
      <c r="BL66" s="224">
        <f>'GPS Anthro Tool'!$B$41</f>
        <v>2</v>
      </c>
      <c r="BM66" s="225">
        <f>IF('GPS Anthro Tool'!$B$31=0,0,-1.9)</f>
        <v>-1.9</v>
      </c>
      <c r="BN66" s="224">
        <f>'GPS Anthro Tool'!$B$41</f>
        <v>2</v>
      </c>
      <c r="BP66" s="223">
        <f>IF(BP65=0,0,1.9)</f>
        <v>1.9</v>
      </c>
      <c r="BQ66" s="224">
        <f t="shared" si="25"/>
        <v>2</v>
      </c>
      <c r="BR66" s="223">
        <f>IF(BR65=0,0,1.9)</f>
        <v>1.9</v>
      </c>
      <c r="BS66" s="224">
        <f t="shared" si="26"/>
        <v>2</v>
      </c>
      <c r="BT66" s="225">
        <f>IF(BT65=0,0,1.9)</f>
        <v>1.9</v>
      </c>
      <c r="BU66" s="224">
        <f t="shared" si="27"/>
        <v>2</v>
      </c>
      <c r="CC66" s="272">
        <v>0</v>
      </c>
      <c r="CD66" s="273">
        <f>CD63</f>
        <v>27.733999999999995</v>
      </c>
    </row>
    <row r="67" spans="24:90">
      <c r="X67" s="185"/>
      <c r="Z67" s="483"/>
      <c r="AA67" s="483"/>
      <c r="AB67" s="483"/>
      <c r="AC67" s="483"/>
      <c r="AD67" s="483"/>
      <c r="AE67" s="483"/>
      <c r="AF67" s="483"/>
      <c r="AG67" s="483"/>
      <c r="AK67" s="118"/>
      <c r="AL67" s="143"/>
      <c r="AM67" s="143"/>
      <c r="AN67" s="99"/>
      <c r="AO67" s="99"/>
      <c r="AP67" s="98"/>
      <c r="AQ67" s="42"/>
      <c r="AR67" s="113"/>
      <c r="BG67" s="741"/>
      <c r="BH67" s="742">
        <v>13</v>
      </c>
      <c r="BI67" s="217">
        <f>IF('GPS Anthro Tool'!$B$31=0,0,-'Big Data'!W92/2)</f>
        <v>0</v>
      </c>
      <c r="BJ67" s="218">
        <f>'GPS Anthro Tool'!$B$41</f>
        <v>2</v>
      </c>
      <c r="BK67" s="219">
        <f>IF('GPS Anthro Tool'!$B$31=0,0,-'Big Data'!X92/2)</f>
        <v>0</v>
      </c>
      <c r="BL67" s="218">
        <f>'GPS Anthro Tool'!$B$41</f>
        <v>2</v>
      </c>
      <c r="BM67" s="219">
        <f>IF('GPS Anthro Tool'!$B$31=0,0,-'Big Data'!Y92/2)</f>
        <v>0</v>
      </c>
      <c r="BN67" s="218">
        <f>'GPS Anthro Tool'!$B$41</f>
        <v>2</v>
      </c>
      <c r="BP67" s="217">
        <f>-BI67</f>
        <v>0</v>
      </c>
      <c r="BQ67" s="218">
        <f t="shared" si="25"/>
        <v>2</v>
      </c>
      <c r="BR67" s="217">
        <f>-BK67</f>
        <v>0</v>
      </c>
      <c r="BS67" s="218">
        <f t="shared" si="26"/>
        <v>2</v>
      </c>
      <c r="BT67" s="219">
        <f>-BM67</f>
        <v>0</v>
      </c>
      <c r="BU67" s="218">
        <f t="shared" si="27"/>
        <v>2</v>
      </c>
    </row>
    <row r="68" spans="24:90">
      <c r="X68" s="185"/>
      <c r="Y68" s="483"/>
      <c r="Z68" s="483"/>
      <c r="AA68" s="483"/>
      <c r="AB68" s="483"/>
      <c r="AC68" s="483"/>
      <c r="AD68" s="483"/>
      <c r="AE68" s="483"/>
      <c r="AF68" s="483"/>
      <c r="AG68" s="483"/>
      <c r="AK68" s="467" t="str">
        <f>Y26</f>
        <v>CRABI 18</v>
      </c>
      <c r="AL68" s="138">
        <f>-AC26/2</f>
        <v>-11.2</v>
      </c>
      <c r="AM68" s="138">
        <f>AB26</f>
        <v>34.5</v>
      </c>
      <c r="AN68" s="466">
        <f>-AE26/2</f>
        <v>-8.5</v>
      </c>
      <c r="AO68" s="466">
        <f>-'GPS Anthro Tool'!$B$42</f>
        <v>-2</v>
      </c>
      <c r="AP68" s="98"/>
      <c r="AQ68" s="42"/>
      <c r="AR68" s="113"/>
      <c r="AS68" s="113"/>
      <c r="AU68" s="113" t="s">
        <v>315</v>
      </c>
      <c r="AV68" s="113" t="s">
        <v>316</v>
      </c>
      <c r="AX68" s="113" t="s">
        <v>315</v>
      </c>
      <c r="AY68" s="113" t="s">
        <v>316</v>
      </c>
      <c r="BG68" s="741"/>
      <c r="BH68" s="743"/>
      <c r="BI68" s="220">
        <f>IF('GPS Anthro Tool'!$B$31=0,0,-'Big Data'!W92*0.9/2)</f>
        <v>0</v>
      </c>
      <c r="BJ68" s="310">
        <f>IF('GPS Anthro Tool'!$B$31=0,0,'Big Data'!AU92+'GPS Anthro Tool'!$B$41)</f>
        <v>2</v>
      </c>
      <c r="BK68" s="222">
        <f>IF('GPS Anthro Tool'!$B$31=0,0,-'Big Data'!X92*0.9/2)</f>
        <v>0</v>
      </c>
      <c r="BL68" s="221">
        <f>IF('GPS Anthro Tool'!$B$31=0,0,'Big Data'!AV92+'GPS Anthro Tool'!$B$41)</f>
        <v>2</v>
      </c>
      <c r="BM68" s="222">
        <f>IF('GPS Anthro Tool'!$B$31=0,0,-'Big Data'!Y92*0.9/2)</f>
        <v>0</v>
      </c>
      <c r="BN68" s="221">
        <f>IF('GPS Anthro Tool'!$B$31=0,0,'Big Data'!AW92+'GPS Anthro Tool'!$B$41)</f>
        <v>2</v>
      </c>
      <c r="BP68" s="220">
        <f>-BI68</f>
        <v>0</v>
      </c>
      <c r="BQ68" s="221">
        <f t="shared" si="25"/>
        <v>2</v>
      </c>
      <c r="BR68" s="220">
        <f>-BK68</f>
        <v>0</v>
      </c>
      <c r="BS68" s="221">
        <f t="shared" si="26"/>
        <v>2</v>
      </c>
      <c r="BT68" s="222">
        <f>-BM68</f>
        <v>0</v>
      </c>
      <c r="BU68" s="221">
        <f t="shared" si="27"/>
        <v>2</v>
      </c>
    </row>
    <row r="69" spans="24:90">
      <c r="X69" s="185"/>
      <c r="Y69" s="483"/>
      <c r="Z69" s="483"/>
      <c r="AA69" s="483"/>
      <c r="AB69" s="483"/>
      <c r="AC69" s="483"/>
      <c r="AD69" s="483"/>
      <c r="AE69" s="483"/>
      <c r="AF69" s="483"/>
      <c r="AG69" s="483"/>
      <c r="AK69" s="118"/>
      <c r="AL69" s="138">
        <f>AC26/2</f>
        <v>11.2</v>
      </c>
      <c r="AM69" s="138">
        <f>AB26</f>
        <v>34.5</v>
      </c>
      <c r="AN69" s="162">
        <f>(-AE26/2)*0.92</f>
        <v>-7.82</v>
      </c>
      <c r="AO69" s="162">
        <f>-AF26*0.92/2-'GPS Anthro Tool'!$B$42</f>
        <v>-7.2394000000000007</v>
      </c>
      <c r="AP69" s="98"/>
      <c r="AQ69" s="42"/>
      <c r="AR69" s="113"/>
      <c r="AS69" s="115" t="s">
        <v>313</v>
      </c>
      <c r="AT69" s="116"/>
      <c r="AU69" s="191">
        <f>IF(AL68=0,0,AL71)</f>
        <v>7.1372727272727277</v>
      </c>
      <c r="AV69" s="191">
        <f>AM68</f>
        <v>34.5</v>
      </c>
      <c r="AW69" s="116"/>
      <c r="AX69" s="193">
        <f>-1*AU69</f>
        <v>-7.1372727272727277</v>
      </c>
      <c r="AY69" s="192">
        <f>AV69</f>
        <v>34.5</v>
      </c>
      <c r="BG69" s="741"/>
      <c r="BH69" s="743"/>
      <c r="BI69" s="220">
        <f>IF('GPS Anthro Tool'!$B$31=0,0,-'Big Data'!W92*0.1/2-1.9)</f>
        <v>-1.9</v>
      </c>
      <c r="BJ69" s="221">
        <f>IF('GPS Anthro Tool'!$B$31=0,0,'Big Data'!AU92+'GPS Anthro Tool'!$B$41)</f>
        <v>2</v>
      </c>
      <c r="BK69" s="222">
        <f>IF('GPS Anthro Tool'!$B$31=0,0,-'Big Data'!X92*0.1/2-1.9)</f>
        <v>-1.9</v>
      </c>
      <c r="BL69" s="221">
        <f>IF('GPS Anthro Tool'!$B$31=0,0,'Big Data'!AV92+'GPS Anthro Tool'!$B$41)</f>
        <v>2</v>
      </c>
      <c r="BM69" s="222">
        <f>IF('GPS Anthro Tool'!$B$31=0,0,-'Big Data'!Y92*0.1/2-1.9)</f>
        <v>-1.9</v>
      </c>
      <c r="BN69" s="221">
        <f>IF('GPS Anthro Tool'!$B$31=0,0,'Big Data'!AW92+'GPS Anthro Tool'!$B$41)</f>
        <v>2</v>
      </c>
      <c r="BP69" s="220">
        <f>-BI69</f>
        <v>1.9</v>
      </c>
      <c r="BQ69" s="221">
        <f t="shared" si="25"/>
        <v>2</v>
      </c>
      <c r="BR69" s="220">
        <f>-BK69</f>
        <v>1.9</v>
      </c>
      <c r="BS69" s="221">
        <f t="shared" si="26"/>
        <v>2</v>
      </c>
      <c r="BT69" s="222">
        <f>-BM69</f>
        <v>1.9</v>
      </c>
      <c r="BU69" s="221">
        <f t="shared" si="27"/>
        <v>2</v>
      </c>
      <c r="BX69" t="s">
        <v>466</v>
      </c>
      <c r="CC69" s="147">
        <v>0</v>
      </c>
      <c r="CD69" s="147">
        <v>0</v>
      </c>
    </row>
    <row r="70" spans="24:90" ht="13.5" thickBot="1">
      <c r="X70" s="185"/>
      <c r="Y70" s="483"/>
      <c r="Z70" s="483"/>
      <c r="AA70" s="483"/>
      <c r="AB70" s="483"/>
      <c r="AC70" s="483"/>
      <c r="AD70" s="483"/>
      <c r="AE70" s="483"/>
      <c r="AF70" s="483"/>
      <c r="AG70" s="483"/>
      <c r="AK70" s="118"/>
      <c r="AL70" s="84">
        <v>-7.1372727272727277</v>
      </c>
      <c r="AM70" s="143"/>
      <c r="AN70" s="162">
        <f>-AF26*0.92*0.4</f>
        <v>-4.1915200000000006</v>
      </c>
      <c r="AO70" s="466">
        <f>-AF26*0.92-'GPS Anthro Tool'!$B$42</f>
        <v>-12.478800000000001</v>
      </c>
      <c r="AP70" s="98"/>
      <c r="AQ70" s="42"/>
      <c r="AR70" s="113"/>
      <c r="AS70" s="115" t="s">
        <v>312</v>
      </c>
      <c r="AT70" s="116"/>
      <c r="AU70" s="191">
        <f>(((AU69-AU71)/2)+AU71)*1.17</f>
        <v>10.727304545454544</v>
      </c>
      <c r="AV70" s="191">
        <f>((AV69-AV71)*0.75)+AV71</f>
        <v>33.484318181818182</v>
      </c>
      <c r="AW70" s="116"/>
      <c r="AX70" s="193">
        <f>-1*AU70</f>
        <v>-10.727304545454544</v>
      </c>
      <c r="AY70" s="192">
        <f>AV70</f>
        <v>33.484318181818182</v>
      </c>
      <c r="BG70" s="741"/>
      <c r="BH70" s="744"/>
      <c r="BI70" s="223">
        <f>IF('GPS Anthro Tool'!$B$31=0,0,IF(BI69=0,0,-1.9))</f>
        <v>-1.9</v>
      </c>
      <c r="BJ70" s="224">
        <f>'GPS Anthro Tool'!$B$41</f>
        <v>2</v>
      </c>
      <c r="BK70" s="225">
        <f>IF('GPS Anthro Tool'!$B$31=0,0,-1.9)</f>
        <v>-1.9</v>
      </c>
      <c r="BL70" s="224">
        <f>'GPS Anthro Tool'!$B$41</f>
        <v>2</v>
      </c>
      <c r="BM70" s="225">
        <f>IF('GPS Anthro Tool'!$B$31=0,0,-1.9)</f>
        <v>-1.9</v>
      </c>
      <c r="BN70" s="224">
        <f>'GPS Anthro Tool'!$B$41</f>
        <v>2</v>
      </c>
      <c r="BP70" s="223">
        <f>IF(BP69=0,0,1.9)</f>
        <v>1.9</v>
      </c>
      <c r="BQ70" s="224">
        <f t="shared" si="25"/>
        <v>2</v>
      </c>
      <c r="BR70" s="223">
        <f>IF(BR69=0,0,1.9)</f>
        <v>1.9</v>
      </c>
      <c r="BS70" s="224">
        <f t="shared" si="26"/>
        <v>2</v>
      </c>
      <c r="BT70" s="225">
        <f>IF(BT69=0,0,1.9)</f>
        <v>1.9</v>
      </c>
      <c r="BU70" s="224">
        <f t="shared" si="27"/>
        <v>2</v>
      </c>
      <c r="CC70" s="147">
        <v>0</v>
      </c>
      <c r="CD70" s="147">
        <f>IF('GPS Anthro Tool'!$B$25=0,0,MIN('Big Data'!$AM$3:$AO$45))</f>
        <v>-19.434560000000001</v>
      </c>
    </row>
    <row r="71" spans="24:90">
      <c r="X71" s="185"/>
      <c r="Y71" s="484"/>
      <c r="Z71" s="483"/>
      <c r="AA71" s="483"/>
      <c r="AB71" s="483"/>
      <c r="AC71" s="483"/>
      <c r="AD71" s="483"/>
      <c r="AE71" s="483"/>
      <c r="AF71" s="483"/>
      <c r="AG71" s="483"/>
      <c r="AK71" s="118"/>
      <c r="AL71" s="84">
        <v>7.1372727272727277</v>
      </c>
      <c r="AM71" s="143"/>
      <c r="AN71" s="162">
        <v>0</v>
      </c>
      <c r="AO71" s="466">
        <f>-AF26-'GPS Anthro Tool'!$B$42</f>
        <v>-13.39</v>
      </c>
      <c r="AP71" s="98"/>
      <c r="AQ71" s="42"/>
      <c r="AR71" s="113"/>
      <c r="AS71" s="115" t="s">
        <v>314</v>
      </c>
      <c r="AT71" s="116"/>
      <c r="AU71" s="191">
        <f>AL69</f>
        <v>11.2</v>
      </c>
      <c r="AV71" s="191">
        <f>AV69-(AU71-AU69)</f>
        <v>30.437272727272727</v>
      </c>
      <c r="AW71" s="116"/>
      <c r="AX71" s="193">
        <f>-1*AU71</f>
        <v>-11.2</v>
      </c>
      <c r="AY71" s="192">
        <f>AV71</f>
        <v>30.437272727272727</v>
      </c>
      <c r="BG71" s="741"/>
      <c r="BH71" s="742">
        <v>14</v>
      </c>
      <c r="BI71" s="217">
        <f>IF('GPS Anthro Tool'!$B$31=0,0,-'Big Data'!W95/2)</f>
        <v>0</v>
      </c>
      <c r="BJ71" s="218">
        <f>'GPS Anthro Tool'!$B$41</f>
        <v>2</v>
      </c>
      <c r="BK71" s="217">
        <f>IF('GPS Anthro Tool'!$B$31=0,0,-'Big Data'!X95/2)</f>
        <v>0</v>
      </c>
      <c r="BL71" s="218">
        <f>'GPS Anthro Tool'!$B$41</f>
        <v>2</v>
      </c>
      <c r="BM71" s="219">
        <f>IF('GPS Anthro Tool'!$B$31=0,0,-'Big Data'!Y95/2)</f>
        <v>0</v>
      </c>
      <c r="BN71" s="218">
        <f>'GPS Anthro Tool'!$B$41</f>
        <v>2</v>
      </c>
      <c r="BP71" s="217">
        <f>-BI71</f>
        <v>0</v>
      </c>
      <c r="BQ71" s="218">
        <f t="shared" si="25"/>
        <v>2</v>
      </c>
      <c r="BR71" s="217">
        <f>-BK71</f>
        <v>0</v>
      </c>
      <c r="BS71" s="218">
        <f t="shared" si="26"/>
        <v>2</v>
      </c>
      <c r="BT71" s="219">
        <f>-BM71</f>
        <v>0</v>
      </c>
      <c r="BU71" s="218">
        <f t="shared" si="27"/>
        <v>2</v>
      </c>
    </row>
    <row r="72" spans="24:90">
      <c r="X72" s="185"/>
      <c r="Y72" s="483"/>
      <c r="Z72" s="483"/>
      <c r="AA72" s="483"/>
      <c r="AB72" s="483"/>
      <c r="AC72" s="483"/>
      <c r="AD72" s="483"/>
      <c r="AE72" s="483"/>
      <c r="AF72" s="483"/>
      <c r="AG72" s="483"/>
      <c r="AK72" s="118"/>
      <c r="AL72" s="143"/>
      <c r="AM72" s="143"/>
      <c r="AN72" s="99"/>
      <c r="AO72" s="99"/>
      <c r="AP72" s="98"/>
      <c r="AQ72" s="42"/>
      <c r="AR72" s="113"/>
      <c r="AS72" s="113"/>
      <c r="AU72" s="113"/>
      <c r="AV72" s="113"/>
      <c r="BG72" s="741"/>
      <c r="BH72" s="743"/>
      <c r="BI72" s="220">
        <f>IF('GPS Anthro Tool'!$B$31=0,0,-'Big Data'!W95*0.9/2)</f>
        <v>0</v>
      </c>
      <c r="BJ72" s="221">
        <f>IF('GPS Anthro Tool'!$B$31=0,0,'Big Data'!AU95+'GPS Anthro Tool'!$B$41)</f>
        <v>2</v>
      </c>
      <c r="BK72" s="220">
        <f>IF('GPS Anthro Tool'!$B$31=0,0,-'Big Data'!X95*0.9/2)</f>
        <v>0</v>
      </c>
      <c r="BL72" s="221">
        <f>IF('GPS Anthro Tool'!$B$31=0,0,'Big Data'!AV95+'GPS Anthro Tool'!$B$41)</f>
        <v>2</v>
      </c>
      <c r="BM72" s="222">
        <f>IF('GPS Anthro Tool'!$B$31=0,0,-'Big Data'!Y95*0.9/2)</f>
        <v>0</v>
      </c>
      <c r="BN72" s="221">
        <f>IF('GPS Anthro Tool'!$B$31=0,0,'Big Data'!AW95+'GPS Anthro Tool'!$B$41)</f>
        <v>2</v>
      </c>
      <c r="BP72" s="220">
        <f>-BI72</f>
        <v>0</v>
      </c>
      <c r="BQ72" s="221">
        <f t="shared" si="25"/>
        <v>2</v>
      </c>
      <c r="BR72" s="220">
        <f>-BK72</f>
        <v>0</v>
      </c>
      <c r="BS72" s="221">
        <f t="shared" si="26"/>
        <v>2</v>
      </c>
      <c r="BT72" s="222">
        <f>-BM72</f>
        <v>0</v>
      </c>
      <c r="BU72" s="221">
        <f t="shared" si="27"/>
        <v>2</v>
      </c>
    </row>
    <row r="73" spans="24:90">
      <c r="X73" s="185"/>
      <c r="Y73" s="483"/>
      <c r="Z73" s="483"/>
      <c r="AA73" s="483"/>
      <c r="AB73" s="483"/>
      <c r="AC73" s="483"/>
      <c r="AD73" s="483"/>
      <c r="AE73" s="483"/>
      <c r="AF73" s="483"/>
      <c r="AG73" s="483"/>
      <c r="AK73" s="118"/>
      <c r="AL73" s="143"/>
      <c r="AM73" s="143"/>
      <c r="AN73" s="99"/>
      <c r="AO73" s="99"/>
      <c r="AP73" s="98"/>
      <c r="AQ73" s="42"/>
      <c r="AR73" s="113"/>
      <c r="AS73" s="113"/>
      <c r="AU73" s="113"/>
      <c r="AV73" s="113"/>
      <c r="BG73" s="741"/>
      <c r="BH73" s="743"/>
      <c r="BI73" s="220">
        <f>IF('GPS Anthro Tool'!$B$31=0,0,-'Big Data'!W95*0.1/2-1.9)</f>
        <v>-1.9</v>
      </c>
      <c r="BJ73" s="221">
        <f>IF('GPS Anthro Tool'!$B$31=0,0,'Big Data'!AU95+'GPS Anthro Tool'!$B$41)</f>
        <v>2</v>
      </c>
      <c r="BK73" s="220">
        <f>IF('GPS Anthro Tool'!$B$31=0,0,-'Big Data'!X95*0.1/2-1.9)</f>
        <v>-1.9</v>
      </c>
      <c r="BL73" s="221">
        <f>IF('GPS Anthro Tool'!$B$31=0,0,'Big Data'!AV95+'GPS Anthro Tool'!$B$41)</f>
        <v>2</v>
      </c>
      <c r="BM73" s="222">
        <f>IF('GPS Anthro Tool'!$B$31=0,0,-'Big Data'!Y95*0.1/2-1.9)</f>
        <v>-1.9</v>
      </c>
      <c r="BN73" s="221">
        <f>IF('GPS Anthro Tool'!$B$31=0,0,'Big Data'!AW95+'GPS Anthro Tool'!$B$41)</f>
        <v>2</v>
      </c>
      <c r="BP73" s="220">
        <f>-BI73</f>
        <v>1.9</v>
      </c>
      <c r="BQ73" s="221">
        <f t="shared" si="25"/>
        <v>2</v>
      </c>
      <c r="BR73" s="220">
        <f>-BK73</f>
        <v>1.9</v>
      </c>
      <c r="BS73" s="221">
        <f t="shared" si="26"/>
        <v>2</v>
      </c>
      <c r="BT73" s="222">
        <f>-BM73</f>
        <v>1.9</v>
      </c>
      <c r="BU73" s="221">
        <f t="shared" si="27"/>
        <v>2</v>
      </c>
      <c r="BX73" t="s">
        <v>472</v>
      </c>
      <c r="CG73" t="s">
        <v>472</v>
      </c>
    </row>
    <row r="74" spans="24:90" ht="13.5" thickBot="1">
      <c r="X74" s="185" t="s">
        <v>381</v>
      </c>
      <c r="Y74" s="483"/>
      <c r="Z74" s="483"/>
      <c r="AA74" s="483"/>
      <c r="AB74" s="483"/>
      <c r="AC74" s="483"/>
      <c r="AD74" s="483"/>
      <c r="AE74" s="483"/>
      <c r="AF74" s="483"/>
      <c r="AG74" s="483"/>
      <c r="AK74" s="118"/>
      <c r="AL74" s="143"/>
      <c r="AM74" s="143"/>
      <c r="AN74" s="99"/>
      <c r="AO74" s="99"/>
      <c r="AP74" s="98"/>
      <c r="AQ74" s="42"/>
      <c r="AR74" s="113"/>
      <c r="AS74" s="113"/>
      <c r="AU74" s="113"/>
      <c r="AV74" s="113"/>
      <c r="BG74" s="741"/>
      <c r="BH74" s="744"/>
      <c r="BI74" s="223">
        <f>IF('GPS Anthro Tool'!$B$31=0,0,IF(BI73=0,0,-1.9))</f>
        <v>-1.9</v>
      </c>
      <c r="BJ74" s="224">
        <f>'GPS Anthro Tool'!$B$41</f>
        <v>2</v>
      </c>
      <c r="BK74" s="223">
        <f>IF('GPS Anthro Tool'!$B$31=0,0,-1.9)</f>
        <v>-1.9</v>
      </c>
      <c r="BL74" s="224">
        <f>'GPS Anthro Tool'!$B$41</f>
        <v>2</v>
      </c>
      <c r="BM74" s="225">
        <f>IF('GPS Anthro Tool'!$B$31=0,0,-1.9)</f>
        <v>-1.9</v>
      </c>
      <c r="BN74" s="224">
        <f>'GPS Anthro Tool'!$B$41</f>
        <v>2</v>
      </c>
      <c r="BP74" s="223">
        <f>IF(BP73=0,0,1.9)</f>
        <v>1.9</v>
      </c>
      <c r="BQ74" s="224">
        <f t="shared" si="25"/>
        <v>2</v>
      </c>
      <c r="BR74" s="223">
        <f>IF(BR73=0,0,1.9)</f>
        <v>1.9</v>
      </c>
      <c r="BS74" s="224">
        <f t="shared" si="26"/>
        <v>2</v>
      </c>
      <c r="BT74" s="225">
        <f>IF(BT73=0,0,1.9)</f>
        <v>1.9</v>
      </c>
      <c r="BU74" s="224">
        <f t="shared" si="27"/>
        <v>2</v>
      </c>
    </row>
    <row r="75" spans="24:90">
      <c r="X75" s="185" t="s">
        <v>382</v>
      </c>
      <c r="Y75" s="152" t="s">
        <v>121</v>
      </c>
      <c r="Z75" s="483"/>
      <c r="AA75" s="483"/>
      <c r="AB75" s="483"/>
      <c r="AC75" s="483"/>
      <c r="AD75" s="483"/>
      <c r="AE75" s="483"/>
      <c r="AF75" s="483"/>
      <c r="AG75" s="483"/>
      <c r="AK75" s="467" t="str">
        <f>Y27</f>
        <v>Q3</v>
      </c>
      <c r="AL75" s="138">
        <f>-AC27/2</f>
        <v>0</v>
      </c>
      <c r="AM75" s="138">
        <f>AB27</f>
        <v>0</v>
      </c>
      <c r="AN75" s="99">
        <f>AN80*-1</f>
        <v>0</v>
      </c>
      <c r="AO75" s="99">
        <f>-'GPS Anthro Tool'!$B$42</f>
        <v>-2</v>
      </c>
      <c r="AP75" s="98"/>
      <c r="AQ75" s="42"/>
      <c r="AR75" s="113"/>
      <c r="AS75" s="113"/>
      <c r="AU75" s="113" t="s">
        <v>315</v>
      </c>
      <c r="AV75" s="113" t="s">
        <v>316</v>
      </c>
      <c r="AX75" s="113" t="s">
        <v>315</v>
      </c>
      <c r="AY75" s="113" t="s">
        <v>316</v>
      </c>
      <c r="BG75" s="741"/>
      <c r="BH75" s="742">
        <v>15</v>
      </c>
      <c r="BI75" s="217">
        <f>IF('GPS Anthro Tool'!$B$31=0,0,-'Big Data'!W98/2)</f>
        <v>0</v>
      </c>
      <c r="BJ75" s="218">
        <f>'GPS Anthro Tool'!$B$41</f>
        <v>2</v>
      </c>
      <c r="BK75" s="217">
        <f>IF('GPS Anthro Tool'!$B$31=0,0,-'Big Data'!X98/2)</f>
        <v>0</v>
      </c>
      <c r="BL75" s="218">
        <f>'GPS Anthro Tool'!$B$41</f>
        <v>2</v>
      </c>
      <c r="BM75" s="219">
        <f>IF('GPS Anthro Tool'!$B$31=0,0,-'Big Data'!Y98/2)</f>
        <v>0</v>
      </c>
      <c r="BN75" s="218">
        <f>'GPS Anthro Tool'!$B$41</f>
        <v>2</v>
      </c>
      <c r="BP75" s="217">
        <f>-BI75</f>
        <v>0</v>
      </c>
      <c r="BQ75" s="218">
        <f t="shared" si="25"/>
        <v>2</v>
      </c>
      <c r="BR75" s="217">
        <f>-BK75</f>
        <v>0</v>
      </c>
      <c r="BS75" s="218">
        <f t="shared" si="26"/>
        <v>2</v>
      </c>
      <c r="BT75" s="219">
        <f>-BM75</f>
        <v>0</v>
      </c>
      <c r="BU75" s="218">
        <f t="shared" si="27"/>
        <v>2</v>
      </c>
      <c r="CB75" s="42" t="s">
        <v>471</v>
      </c>
      <c r="CC75" s="42" t="s">
        <v>316</v>
      </c>
      <c r="CK75" s="42" t="s">
        <v>471</v>
      </c>
      <c r="CL75" s="42" t="s">
        <v>316</v>
      </c>
    </row>
    <row r="76" spans="24:90">
      <c r="X76" s="733" t="s">
        <v>399</v>
      </c>
      <c r="Y76" s="733"/>
      <c r="AK76" s="118"/>
      <c r="AL76" s="138">
        <f>AC27/2</f>
        <v>0</v>
      </c>
      <c r="AM76" s="138">
        <f>AB27</f>
        <v>0</v>
      </c>
      <c r="AN76" s="99">
        <f>(AN80*-1)*0.92</f>
        <v>0</v>
      </c>
      <c r="AO76" s="99">
        <f>AO77/2</f>
        <v>-1</v>
      </c>
      <c r="AP76" s="98"/>
      <c r="AQ76" s="42"/>
      <c r="AR76" s="113"/>
      <c r="AS76" s="115" t="s">
        <v>313</v>
      </c>
      <c r="AT76" s="116"/>
      <c r="AU76" s="191">
        <f>IF(AL75=0,0,AL78)</f>
        <v>0</v>
      </c>
      <c r="AV76" s="191">
        <f>AM75</f>
        <v>0</v>
      </c>
      <c r="AW76" s="116"/>
      <c r="AX76" s="193">
        <f>-1*AU76</f>
        <v>0</v>
      </c>
      <c r="AY76" s="192">
        <f>AV76</f>
        <v>0</v>
      </c>
      <c r="BG76" s="741"/>
      <c r="BH76" s="743"/>
      <c r="BI76" s="220">
        <f>IF('GPS Anthro Tool'!$B$31=0,0,-'Big Data'!W98*0.9/2)</f>
        <v>0</v>
      </c>
      <c r="BJ76" s="221">
        <f>IF('GPS Anthro Tool'!$B$31=0,0,'Big Data'!AU98+'GPS Anthro Tool'!$B$41)</f>
        <v>2</v>
      </c>
      <c r="BK76" s="220">
        <f>IF('GPS Anthro Tool'!$B$31=0,0,-'Big Data'!X98*0.9/2)</f>
        <v>0</v>
      </c>
      <c r="BL76" s="221">
        <f>IF('GPS Anthro Tool'!$B$31=0,0,'Big Data'!AV98+'GPS Anthro Tool'!$B$41)</f>
        <v>2</v>
      </c>
      <c r="BM76" s="222">
        <f>IF('GPS Anthro Tool'!$B$31=0,0,-'Big Data'!Y98*0.9/2)</f>
        <v>0</v>
      </c>
      <c r="BN76" s="221">
        <f>IF('GPS Anthro Tool'!$B$31=0,0,'Big Data'!AW98+'GPS Anthro Tool'!$B$41)</f>
        <v>2</v>
      </c>
      <c r="BP76" s="220">
        <f>-BI76</f>
        <v>0</v>
      </c>
      <c r="BQ76" s="221">
        <f t="shared" si="25"/>
        <v>2</v>
      </c>
      <c r="BR76" s="220">
        <f>-BK76</f>
        <v>0</v>
      </c>
      <c r="BS76" s="221">
        <f t="shared" si="26"/>
        <v>2</v>
      </c>
      <c r="BT76" s="222">
        <f>-BM76</f>
        <v>0</v>
      </c>
      <c r="BU76" s="221">
        <f t="shared" si="27"/>
        <v>2</v>
      </c>
      <c r="CA76" s="118" t="s">
        <v>465</v>
      </c>
      <c r="CB76" s="117">
        <f>-CB86</f>
        <v>-13.2</v>
      </c>
      <c r="CC76" s="117">
        <f>IF('GPS Anthro Tool'!$B$38=1,MIN('Big Data'!$AM$3:$AO$45)*0.9,0)</f>
        <v>-17.491104</v>
      </c>
      <c r="CJ76" s="118" t="s">
        <v>465</v>
      </c>
      <c r="CK76" s="117">
        <f>-CK86</f>
        <v>-11.2</v>
      </c>
      <c r="CL76" s="117">
        <f>IF('GPS Anthro Tool'!$B$38=1,MIN('Big Data'!$AM$3:$AO$45)*0.9,0)</f>
        <v>-17.491104</v>
      </c>
    </row>
    <row r="77" spans="24:90">
      <c r="X77" s="177">
        <v>213</v>
      </c>
      <c r="Y77" s="48" t="s">
        <v>287</v>
      </c>
      <c r="Z77" s="194">
        <f>IF('GPS Anthro Tool'!$B$69=0,0,35.9-2.28662420382166)</f>
        <v>0</v>
      </c>
      <c r="AA77" s="195">
        <f>IF('GPS Anthro Tool'!$B$69=0,0,((30/$AB$30)*35.9)/10)</f>
        <v>0</v>
      </c>
      <c r="AB77" s="195">
        <f>IF('GPS Anthro Tool'!$B$69=0,0,-((10/39.25)*35.9)/10)</f>
        <v>0</v>
      </c>
      <c r="AC77" s="117">
        <f>-AB77</f>
        <v>0</v>
      </c>
      <c r="AD77" s="117">
        <f>-AA77</f>
        <v>0</v>
      </c>
      <c r="AK77" s="118"/>
      <c r="AL77" s="84">
        <v>-7.1372727272727277</v>
      </c>
      <c r="AM77" s="143"/>
      <c r="AN77" s="162">
        <v>0</v>
      </c>
      <c r="AO77" s="466">
        <f>-AF27-'GPS Anthro Tool'!$B$42</f>
        <v>-2</v>
      </c>
      <c r="AP77" s="98"/>
      <c r="AQ77" s="42"/>
      <c r="AR77" s="113"/>
      <c r="AS77" s="115" t="s">
        <v>312</v>
      </c>
      <c r="AT77" s="116"/>
      <c r="AU77" s="191">
        <f>(((AU76-AU78)/2)+AU78)*1.22</f>
        <v>0</v>
      </c>
      <c r="AV77" s="191">
        <f>((AV76-AV78)*0.75)+AV78</f>
        <v>0</v>
      </c>
      <c r="AW77" s="116"/>
      <c r="AX77" s="193">
        <f>-1*AU77</f>
        <v>0</v>
      </c>
      <c r="AY77" s="192">
        <f>AV77</f>
        <v>0</v>
      </c>
      <c r="BG77" s="741"/>
      <c r="BH77" s="743"/>
      <c r="BI77" s="220">
        <f>IF('GPS Anthro Tool'!$B$31=0,0,-'Big Data'!W98*0.1/2-1.9)</f>
        <v>-1.9</v>
      </c>
      <c r="BJ77" s="221">
        <f>IF('GPS Anthro Tool'!$B$31=0,0,'Big Data'!AU98+'GPS Anthro Tool'!$B$41)</f>
        <v>2</v>
      </c>
      <c r="BK77" s="220">
        <f>IF('GPS Anthro Tool'!$B$31=0,0,-'Big Data'!X98*0.1/2-1.9)</f>
        <v>-1.9</v>
      </c>
      <c r="BL77" s="221">
        <f>IF('GPS Anthro Tool'!$B$31=0,0,'Big Data'!AV98+'GPS Anthro Tool'!$B$41)</f>
        <v>2</v>
      </c>
      <c r="BM77" s="222">
        <f>IF('GPS Anthro Tool'!$B$31=0,0,-'Big Data'!Y98*0.1/2-1.9)</f>
        <v>-1.9</v>
      </c>
      <c r="BN77" s="221">
        <f>IF('GPS Anthro Tool'!$B$31=0,0,'Big Data'!AW98+'GPS Anthro Tool'!$B$41)</f>
        <v>2</v>
      </c>
      <c r="BP77" s="220">
        <f>-BI77</f>
        <v>1.9</v>
      </c>
      <c r="BQ77" s="221">
        <f t="shared" si="25"/>
        <v>2</v>
      </c>
      <c r="BR77" s="220">
        <f>-BK77</f>
        <v>1.9</v>
      </c>
      <c r="BS77" s="221">
        <f t="shared" si="26"/>
        <v>2</v>
      </c>
      <c r="BT77" s="222">
        <f>-BM77</f>
        <v>1.9</v>
      </c>
      <c r="BU77" s="221">
        <f t="shared" si="27"/>
        <v>2</v>
      </c>
      <c r="CB77" s="117">
        <f>-CB85</f>
        <v>-14.32</v>
      </c>
      <c r="CC77" s="117">
        <f>IF('GPS Anthro Tool'!$B$38=1,MIN('Big Data'!$AM$3:$AO$45)/2,0)</f>
        <v>-9.7172800000000006</v>
      </c>
      <c r="CK77" s="117">
        <f>-CK85</f>
        <v>-12.32</v>
      </c>
      <c r="CL77" s="117">
        <f>IF('GPS Anthro Tool'!$B$38=1,MIN('Big Data'!$AM$3:$AO$45)/2,0)</f>
        <v>-9.7172800000000006</v>
      </c>
    </row>
    <row r="78" spans="24:90" ht="13.5" thickBot="1">
      <c r="X78" s="177">
        <v>213</v>
      </c>
      <c r="Y78" s="48" t="s">
        <v>288</v>
      </c>
      <c r="Z78" s="194">
        <f>IF('GPS Anthro Tool'!$B$69=0,0,39.25-2.5)</f>
        <v>0</v>
      </c>
      <c r="AA78" s="195">
        <f>IF('GPS Anthro Tool'!$B$69=0,0,3)</f>
        <v>0</v>
      </c>
      <c r="AB78" s="195">
        <f>IF('GPS Anthro Tool'!$B$69=0,0,-1)</f>
        <v>0</v>
      </c>
      <c r="AC78" s="117">
        <f>-AB78</f>
        <v>0</v>
      </c>
      <c r="AD78" s="117">
        <f>-AA78</f>
        <v>0</v>
      </c>
      <c r="AK78" s="118"/>
      <c r="AL78" s="84">
        <v>7.1372727272727277</v>
      </c>
      <c r="AM78" s="143"/>
      <c r="AN78" s="162">
        <f>(AF27*0.94)*0.4</f>
        <v>0</v>
      </c>
      <c r="AO78" s="466">
        <f>(-AF27*0.94)-'GPS Anthro Tool'!$B$42</f>
        <v>-2</v>
      </c>
      <c r="AP78" s="98"/>
      <c r="AQ78" s="42"/>
      <c r="AR78" s="113"/>
      <c r="AS78" s="115" t="s">
        <v>314</v>
      </c>
      <c r="AT78" s="116"/>
      <c r="AU78" s="191">
        <f>AL76</f>
        <v>0</v>
      </c>
      <c r="AV78" s="191">
        <f>AV76-(AU78-AU76)</f>
        <v>0</v>
      </c>
      <c r="AW78" s="116"/>
      <c r="AX78" s="193">
        <f>-1*AU78</f>
        <v>0</v>
      </c>
      <c r="AY78" s="192">
        <f>AV78</f>
        <v>0</v>
      </c>
      <c r="BG78" s="741"/>
      <c r="BH78" s="744"/>
      <c r="BI78" s="223">
        <f>IF('GPS Anthro Tool'!$B$31=0,0,IF(BI77=0,0,-1.9))</f>
        <v>-1.9</v>
      </c>
      <c r="BJ78" s="224">
        <f>'GPS Anthro Tool'!$B$41</f>
        <v>2</v>
      </c>
      <c r="BK78" s="223">
        <f>IF('GPS Anthro Tool'!$B$31=0,0,-1.9)</f>
        <v>-1.9</v>
      </c>
      <c r="BL78" s="224">
        <f>'GPS Anthro Tool'!$B$41</f>
        <v>2</v>
      </c>
      <c r="BM78" s="225">
        <f>IF('GPS Anthro Tool'!$B$31=0,0,-1.9)</f>
        <v>-1.9</v>
      </c>
      <c r="BN78" s="224">
        <f>'GPS Anthro Tool'!$B$41</f>
        <v>2</v>
      </c>
      <c r="BP78" s="223">
        <f>IF(BP77=0,0,1.9)</f>
        <v>1.9</v>
      </c>
      <c r="BQ78" s="224">
        <f t="shared" si="25"/>
        <v>2</v>
      </c>
      <c r="BR78" s="223">
        <f>IF(BR77=0,0,1.9)</f>
        <v>1.9</v>
      </c>
      <c r="BS78" s="224">
        <f t="shared" si="26"/>
        <v>2</v>
      </c>
      <c r="BT78" s="225">
        <f>IF(BT77=0,0,1.9)</f>
        <v>1.9</v>
      </c>
      <c r="BU78" s="224">
        <f t="shared" si="27"/>
        <v>2</v>
      </c>
      <c r="CB78" s="117">
        <f>-CB84</f>
        <v>-13.2</v>
      </c>
      <c r="CC78" s="117">
        <f>$CC$84</f>
        <v>0</v>
      </c>
      <c r="CF78" t="s">
        <v>473</v>
      </c>
      <c r="CK78" s="117">
        <f>-CK84</f>
        <v>-11.2</v>
      </c>
      <c r="CL78" s="117">
        <f>$CC$84</f>
        <v>0</v>
      </c>
    </row>
    <row r="79" spans="24:90">
      <c r="X79" s="177">
        <v>213</v>
      </c>
      <c r="Y79" s="48" t="s">
        <v>289</v>
      </c>
      <c r="Z79" s="194">
        <f>IF('GPS Anthro Tool'!$B$69=0,0,AB31-2.54777070063694)</f>
        <v>0</v>
      </c>
      <c r="AA79" s="195">
        <f>IF('GPS Anthro Tool'!$B$69=0,0,((30/39.25)*40)/10)</f>
        <v>0</v>
      </c>
      <c r="AB79" s="195">
        <f>IF('GPS Anthro Tool'!$B$69=0,0,-((10/39.25)*40)/10)</f>
        <v>0</v>
      </c>
      <c r="AC79" s="117">
        <f>-AB79</f>
        <v>0</v>
      </c>
      <c r="AD79" s="117">
        <f>-AA79</f>
        <v>0</v>
      </c>
      <c r="AK79" s="118"/>
      <c r="AL79" s="143"/>
      <c r="AM79" s="143"/>
      <c r="AN79" s="162">
        <f>(AE27/2)*0.92</f>
        <v>0</v>
      </c>
      <c r="AO79" s="162">
        <f>(-AF27/2)-'GPS Anthro Tool'!$B$42</f>
        <v>-2</v>
      </c>
      <c r="AP79" s="98"/>
      <c r="AQ79" s="42"/>
      <c r="AR79" s="113"/>
      <c r="AS79" s="113"/>
      <c r="AU79" s="113"/>
      <c r="AV79" s="113"/>
      <c r="CB79" s="117">
        <f>-CB83</f>
        <v>-13.2</v>
      </c>
      <c r="CC79" s="117">
        <f>IF('GPS Anthro Tool'!$B$38=1,MAX($AA$19:$AA$34,'Big Data'!K$3:M$45)/2,0)</f>
        <v>26.25</v>
      </c>
      <c r="CK79" s="117">
        <f>-CK83</f>
        <v>-11.2</v>
      </c>
      <c r="CL79" s="117">
        <f>IF('GPS Anthro Tool'!$B$38=1,MAX($AA$19:$AA$34,'Big Data'!K$3:M$45)/2,0)</f>
        <v>26.25</v>
      </c>
    </row>
    <row r="80" spans="24:90">
      <c r="X80" s="177">
        <v>213</v>
      </c>
      <c r="Y80" s="48" t="s">
        <v>290</v>
      </c>
      <c r="Z80" s="194">
        <f>IF('GPS Anthro Tool'!$B$69=0,0,40-2.8343949044586)</f>
        <v>0</v>
      </c>
      <c r="AA80" s="195">
        <f>IF('GPS Anthro Tool'!$B$69=0,0,((30/39.25)*44.5)/10)</f>
        <v>0</v>
      </c>
      <c r="AB80" s="195">
        <f>IF('GPS Anthro Tool'!$B$69=0,0,-((10/39.25)*44.5)/10)</f>
        <v>0</v>
      </c>
      <c r="AC80" s="117">
        <f>-AB80</f>
        <v>0</v>
      </c>
      <c r="AD80" s="117">
        <f>-AA80</f>
        <v>0</v>
      </c>
      <c r="AK80" s="118"/>
      <c r="AL80" s="143"/>
      <c r="AM80" s="143"/>
      <c r="AN80" s="466">
        <f>AE27/2</f>
        <v>0</v>
      </c>
      <c r="AO80" s="466">
        <f>-'GPS Anthro Tool'!$B$42</f>
        <v>-2</v>
      </c>
      <c r="AP80" s="98"/>
      <c r="AQ80" s="42"/>
      <c r="AR80" s="113"/>
      <c r="AS80" s="113"/>
      <c r="AU80" s="113"/>
      <c r="AV80" s="113"/>
      <c r="CA80" s="118" t="s">
        <v>462</v>
      </c>
      <c r="CB80" s="117">
        <f>IF('GPS Anthro Tool'!$B$38=1,-MAX($AC$19:$AC$34,'Big Data'!$W$3:$Y$45)/2,0)-'GPS Anthro Tool'!B40</f>
        <v>-13.2</v>
      </c>
      <c r="CC80" s="117">
        <f>IF('GPS Anthro Tool'!$B$38=1,MAX($AA$19:$AA$34,'Big Data'!K$3:M$45)+'GPS Anthro Tool'!$B$39,0)</f>
        <v>52.5</v>
      </c>
      <c r="CJ80" s="118" t="s">
        <v>462</v>
      </c>
      <c r="CK80" s="117">
        <f>IF('GPS Anthro Tool'!$B$40=0,0,IF('GPS Anthro Tool'!$B$38=1,-MAX($AC$19:$AC$34,'Big Data'!$W$3:$Y$45)/2,0))</f>
        <v>-11.2</v>
      </c>
      <c r="CL80" s="117">
        <f>IF('GPS Anthro Tool'!$B$38=1,MAX($AA$19:$AA$34,'Big Data'!K$3:M$45),0)</f>
        <v>52.5</v>
      </c>
    </row>
    <row r="81" spans="24:90">
      <c r="X81" s="176" t="s">
        <v>381</v>
      </c>
      <c r="Y81" s="175" t="s">
        <v>43</v>
      </c>
      <c r="Z81" s="194">
        <f>IF('GPS Anthro Tool'!$B$69=0,0,49.2-3.13375796178344)</f>
        <v>0</v>
      </c>
      <c r="AA81" s="195">
        <f>IF('GPS Anthro Tool'!$B$69=0,0,((30/39.25)*49.2)/10)</f>
        <v>0</v>
      </c>
      <c r="AB81" s="195">
        <f>IF('GPS Anthro Tool'!$B$69=0,0,-((10/39.25)*49.2)/10)</f>
        <v>0</v>
      </c>
      <c r="AC81" s="117">
        <f>-AB81</f>
        <v>0</v>
      </c>
      <c r="AD81" s="117">
        <f>-AA81</f>
        <v>0</v>
      </c>
      <c r="AK81" s="118"/>
      <c r="AL81" s="143"/>
      <c r="AM81" s="143"/>
      <c r="AN81" s="99"/>
      <c r="AO81" s="99"/>
      <c r="AP81" s="98"/>
      <c r="AQ81" s="42"/>
      <c r="AR81" s="113"/>
      <c r="AS81" s="113"/>
      <c r="AU81" s="113"/>
      <c r="AV81" s="113"/>
      <c r="CB81" s="117">
        <v>0</v>
      </c>
      <c r="CC81" s="117">
        <f>IF('GPS Anthro Tool'!$B$38=1,MAX($AA$19:$AA$34,'Big Data'!K$3:M$45)+'GPS Anthro Tool'!$B$39,0)</f>
        <v>52.5</v>
      </c>
      <c r="CK81" s="117">
        <v>0</v>
      </c>
      <c r="CL81" s="117">
        <f>IF('GPS Anthro Tool'!$B$38=1,MAX($AA$19:$AA$34,'Big Data'!K$3:M$45),0)</f>
        <v>52.5</v>
      </c>
    </row>
    <row r="82" spans="24:90">
      <c r="AK82" s="467" t="str">
        <f>Y28</f>
        <v>HIII-3yr</v>
      </c>
      <c r="AL82" s="138">
        <f>-AC28/2</f>
        <v>0</v>
      </c>
      <c r="AM82" s="138">
        <f>AB28</f>
        <v>0</v>
      </c>
      <c r="AN82" s="466">
        <f>-AE28/2</f>
        <v>0</v>
      </c>
      <c r="AO82" s="466">
        <f>-'GPS Anthro Tool'!$B$42</f>
        <v>-2</v>
      </c>
      <c r="AP82" s="98"/>
      <c r="AQ82" s="42"/>
      <c r="AR82" s="113"/>
      <c r="AS82" s="113"/>
      <c r="AU82" s="113" t="s">
        <v>315</v>
      </c>
      <c r="AV82" s="113" t="s">
        <v>316</v>
      </c>
      <c r="AX82" s="113" t="s">
        <v>315</v>
      </c>
      <c r="AY82" s="113" t="s">
        <v>316</v>
      </c>
      <c r="CB82" s="117">
        <f>IF('GPS Anthro Tool'!$B$38=1,MAX($AC$19:$AC$34,'Big Data'!$W$3:$Y$45)/2,0)+'GPS Anthro Tool'!B40</f>
        <v>13.2</v>
      </c>
      <c r="CC82" s="117">
        <f>IF('GPS Anthro Tool'!$B$38=1,MAX($AA$19:$AA$34,'Big Data'!K$3:M$45)+'GPS Anthro Tool'!$B$39,0)</f>
        <v>52.5</v>
      </c>
      <c r="CK82" s="117">
        <f>IF('GPS Anthro Tool'!$B$40=0,0,IF('GPS Anthro Tool'!$B$38=1,MAX($AC$19:$AC$34,'Big Data'!$W$3:$Y$45)/2,0))</f>
        <v>11.2</v>
      </c>
      <c r="CL82" s="117">
        <f>IF('GPS Anthro Tool'!$B$38=1,MAX($AA$19:$AA$34,'Big Data'!K$3:M$45),0)</f>
        <v>52.5</v>
      </c>
    </row>
    <row r="83" spans="24:90">
      <c r="Z83" s="110"/>
      <c r="AK83" s="118"/>
      <c r="AL83" s="138">
        <f>AC28/2</f>
        <v>0</v>
      </c>
      <c r="AM83" s="138">
        <f>AB28</f>
        <v>0</v>
      </c>
      <c r="AN83" s="162">
        <f>(-AE28/2)*0.92</f>
        <v>0</v>
      </c>
      <c r="AO83" s="162">
        <f>-AF28*0.92/2-'GPS Anthro Tool'!$B$42</f>
        <v>-2</v>
      </c>
      <c r="AP83" s="98"/>
      <c r="AQ83" s="42"/>
      <c r="AR83" s="113"/>
      <c r="AS83" s="115" t="s">
        <v>313</v>
      </c>
      <c r="AT83" s="116"/>
      <c r="AU83" s="191">
        <f>IF(AL82=0,0,AL85)</f>
        <v>0</v>
      </c>
      <c r="AV83" s="191">
        <f>AM82</f>
        <v>0</v>
      </c>
      <c r="AW83" s="116"/>
      <c r="AX83" s="193">
        <f>-1*AU83</f>
        <v>0</v>
      </c>
      <c r="AY83" s="192">
        <f>AV83</f>
        <v>0</v>
      </c>
      <c r="CA83" s="118" t="s">
        <v>463</v>
      </c>
      <c r="CB83" s="117">
        <f>IF('GPS Anthro Tool'!$B$38=1,MAX($AC$19:$AC$34,'Big Data'!$W$3:$Y$45)/2,0)+'GPS Anthro Tool'!B40</f>
        <v>13.2</v>
      </c>
      <c r="CC83" s="117">
        <f>IF('GPS Anthro Tool'!$B$38=1,MAX($AA$19:$AA$34,'Big Data'!K$3:M$45)/2,0)</f>
        <v>26.25</v>
      </c>
      <c r="CJ83" s="118" t="s">
        <v>463</v>
      </c>
      <c r="CK83" s="117">
        <f>IF('GPS Anthro Tool'!$B$40=0,0,IF('GPS Anthro Tool'!$B$38=1,MAX($AC$19:$AC$34,'Big Data'!$W$3:$Y$45)/2,0))</f>
        <v>11.2</v>
      </c>
      <c r="CL83" s="117">
        <f>IF('GPS Anthro Tool'!$B$38=1,MAX($AA$19:$AA$34,'Big Data'!K$3:M$45)/2,0)</f>
        <v>26.25</v>
      </c>
    </row>
    <row r="84" spans="24:90">
      <c r="Z84" s="110"/>
      <c r="AK84" s="118"/>
      <c r="AL84" s="84">
        <v>-7.3690909090909091</v>
      </c>
      <c r="AM84" s="143"/>
      <c r="AN84" s="162">
        <f>-AF28*0.92*0.4</f>
        <v>0</v>
      </c>
      <c r="AO84" s="466">
        <f>-AF28*0.92-'GPS Anthro Tool'!$B$42</f>
        <v>-2</v>
      </c>
      <c r="AP84" s="98"/>
      <c r="AQ84" s="42"/>
      <c r="AR84" s="113"/>
      <c r="AS84" s="115" t="s">
        <v>312</v>
      </c>
      <c r="AT84" s="116"/>
      <c r="AU84" s="191">
        <f>(((AU83-AU85)/2)+AU85)*1.18</f>
        <v>0</v>
      </c>
      <c r="AV84" s="191">
        <f>((AV83-AV85)*0.75)+AV85</f>
        <v>0</v>
      </c>
      <c r="AW84" s="116"/>
      <c r="AX84" s="193">
        <f>-1*AU84</f>
        <v>0</v>
      </c>
      <c r="AY84" s="192">
        <f>AV84</f>
        <v>0</v>
      </c>
      <c r="CB84" s="117">
        <f>IF('GPS Anthro Tool'!$B$38=1,MAX($AC$19:$AC$34,'Big Data'!$W$3:$Y$45)/2,0)+'GPS Anthro Tool'!B40</f>
        <v>13.2</v>
      </c>
      <c r="CC84" s="117">
        <v>0</v>
      </c>
      <c r="CK84" s="117">
        <f>IF('GPS Anthro Tool'!$B$40=0,0,IF('GPS Anthro Tool'!$B$38=1,MAX($AC$19:$AC$34,'Big Data'!$W$3:$Y$45)/2,0))</f>
        <v>11.2</v>
      </c>
      <c r="CL84" s="117">
        <v>0</v>
      </c>
    </row>
    <row r="85" spans="24:90">
      <c r="Z85" s="110"/>
      <c r="AK85" s="118"/>
      <c r="AL85" s="84">
        <v>7.3690909090909091</v>
      </c>
      <c r="AM85" s="143"/>
      <c r="AN85" s="162">
        <v>0</v>
      </c>
      <c r="AO85" s="466">
        <f>-AF28-'GPS Anthro Tool'!$B$42</f>
        <v>-2</v>
      </c>
      <c r="AP85" s="98"/>
      <c r="AQ85" s="42"/>
      <c r="AR85" s="113"/>
      <c r="AS85" s="115" t="s">
        <v>314</v>
      </c>
      <c r="AT85" s="116"/>
      <c r="AU85" s="191">
        <f>AL83</f>
        <v>0</v>
      </c>
      <c r="AV85" s="191">
        <f>AV83-(AU85-AU83)</f>
        <v>0</v>
      </c>
      <c r="AW85" s="116"/>
      <c r="AX85" s="193">
        <f>-1*AU85</f>
        <v>0</v>
      </c>
      <c r="AY85" s="192">
        <f>AV85</f>
        <v>0</v>
      </c>
      <c r="CB85" s="117">
        <f>IF('GPS Anthro Tool'!$B$38=1,MAX($AC$19:$AC$34,'Big Data'!$W$3:$Y$45)/2,0)*1.1+'GPS Anthro Tool'!B40</f>
        <v>14.32</v>
      </c>
      <c r="CC85" s="117">
        <f>IF('GPS Anthro Tool'!$B$38=1,MIN('Big Data'!$AM$3:$AO$45)/2,0)</f>
        <v>-9.7172800000000006</v>
      </c>
      <c r="CK85" s="117">
        <f>IF('GPS Anthro Tool'!$B$40=0,0,IF('GPS Anthro Tool'!$B$38=1,MAX($AC$19:$AC$34,'Big Data'!$W$3:$Y$45)/2,0)*1.1)</f>
        <v>12.32</v>
      </c>
      <c r="CL85" s="117">
        <f>IF('GPS Anthro Tool'!$B$38=1,MIN('Big Data'!$AM$3:$AO$45)/2,0)</f>
        <v>-9.7172800000000006</v>
      </c>
    </row>
    <row r="86" spans="24:90">
      <c r="Z86" s="110"/>
      <c r="AK86" s="118"/>
      <c r="AL86" s="143"/>
      <c r="AM86" s="143"/>
      <c r="AN86" s="99"/>
      <c r="AO86" s="99"/>
      <c r="AP86" s="98"/>
      <c r="AQ86" s="42"/>
      <c r="AR86" s="113"/>
      <c r="AS86" s="113"/>
      <c r="AU86" s="113"/>
      <c r="AV86" s="113"/>
      <c r="CB86" s="117">
        <f>IF('GPS Anthro Tool'!$B$38=1,MAX($AC$19:$AC$34,'Big Data'!$W$3:$Y$45)/2,0)+'GPS Anthro Tool'!B40</f>
        <v>13.2</v>
      </c>
      <c r="CC86" s="117">
        <f>IF('GPS Anthro Tool'!$B$38=1,MIN('Big Data'!$AM$3:$AO$45)*0.9,0)</f>
        <v>-17.491104</v>
      </c>
      <c r="CK86" s="117">
        <f>IF('GPS Anthro Tool'!$B$40=0,0,IF('GPS Anthro Tool'!$B$38=1,MAX($AC$19:$AC$34,'Big Data'!$W$3:$Y$45)/2,0))</f>
        <v>11.2</v>
      </c>
      <c r="CL86" s="117">
        <f>IF('GPS Anthro Tool'!$B$38=1,MIN('Big Data'!$AM$3:$AO$45)*0.9,0)</f>
        <v>-17.491104</v>
      </c>
    </row>
    <row r="87" spans="24:90">
      <c r="Z87" s="110"/>
      <c r="AK87" s="118"/>
      <c r="AL87" s="143"/>
      <c r="AM87" s="143"/>
      <c r="AN87" s="99"/>
      <c r="AO87" s="99"/>
      <c r="AP87" s="98"/>
      <c r="AQ87" s="42"/>
      <c r="AR87" s="113"/>
      <c r="AS87" s="113"/>
      <c r="AU87" s="113"/>
      <c r="AV87" s="113"/>
      <c r="CB87" s="117"/>
      <c r="CC87" s="117"/>
      <c r="CK87" s="117"/>
      <c r="CL87" s="117"/>
    </row>
    <row r="88" spans="24:90">
      <c r="AK88" s="118"/>
      <c r="AL88" s="143"/>
      <c r="AM88" s="143"/>
      <c r="AN88" s="99"/>
      <c r="AO88" s="99"/>
      <c r="AP88" s="98"/>
      <c r="AQ88" s="42"/>
      <c r="AR88" s="113"/>
      <c r="AS88" s="113"/>
      <c r="AU88" s="113"/>
      <c r="AV88" s="113"/>
      <c r="CA88" s="118" t="s">
        <v>464</v>
      </c>
      <c r="CB88" s="117">
        <f>IF('GPS Anthro Tool'!$B$38=1,MAX($AC$19:$AC$34,'Big Data'!$W$3:$Y$45)/2,0)+'GPS Anthro Tool'!B40</f>
        <v>13.2</v>
      </c>
      <c r="CC88" s="194">
        <f>IF('GPS Anthro Tool'!$B$38=1,MIN('Big Data'!$AM$3:$AO$45)*0.9,0)</f>
        <v>-17.491104</v>
      </c>
      <c r="CJ88" s="118"/>
      <c r="CK88" s="117"/>
      <c r="CL88" s="117"/>
    </row>
    <row r="89" spans="24:90">
      <c r="AK89" s="467" t="str">
        <f>Y29</f>
        <v>Q6</v>
      </c>
      <c r="AL89" s="138">
        <f>-AC29/2</f>
        <v>0</v>
      </c>
      <c r="AM89" s="138">
        <f>AB29</f>
        <v>0</v>
      </c>
      <c r="AN89" s="99">
        <f>AN94*-1</f>
        <v>0</v>
      </c>
      <c r="AO89" s="99">
        <f>-'GPS Anthro Tool'!$B$42</f>
        <v>-2</v>
      </c>
      <c r="AP89" s="98"/>
      <c r="AQ89" s="42"/>
      <c r="AR89" s="113"/>
      <c r="AS89" s="113"/>
      <c r="AU89" s="113" t="s">
        <v>315</v>
      </c>
      <c r="AV89" s="113" t="s">
        <v>316</v>
      </c>
      <c r="AX89" s="113" t="s">
        <v>315</v>
      </c>
      <c r="AY89" s="113" t="s">
        <v>316</v>
      </c>
      <c r="CB89" s="117">
        <v>0</v>
      </c>
      <c r="CC89" s="194">
        <f>IF('GPS Anthro Tool'!$B$38=1,MIN('Big Data'!$AM$3:$AO$45),0)</f>
        <v>-19.434560000000001</v>
      </c>
      <c r="CK89" s="117"/>
      <c r="CL89" s="117"/>
    </row>
    <row r="90" spans="24:90">
      <c r="AK90" s="118"/>
      <c r="AL90" s="138">
        <f>AC29/2</f>
        <v>0</v>
      </c>
      <c r="AM90" s="138">
        <f>AB29</f>
        <v>0</v>
      </c>
      <c r="AN90" s="99">
        <f>(AN94*-1)*0.92</f>
        <v>0</v>
      </c>
      <c r="AO90" s="99">
        <f>AO91/2</f>
        <v>-1</v>
      </c>
      <c r="AP90" s="98"/>
      <c r="AQ90" s="42"/>
      <c r="AR90" s="113"/>
      <c r="AS90" s="115" t="s">
        <v>313</v>
      </c>
      <c r="AT90" s="116"/>
      <c r="AU90" s="115">
        <f>IF(AL89=0,0,AL92)</f>
        <v>0</v>
      </c>
      <c r="AV90" s="115">
        <f>AM89</f>
        <v>0</v>
      </c>
      <c r="AW90" s="116"/>
      <c r="AX90" s="116">
        <f>-1*AU90</f>
        <v>0</v>
      </c>
      <c r="AY90" s="117">
        <f>AV90</f>
        <v>0</v>
      </c>
      <c r="CB90" s="117">
        <f>IF('GPS Anthro Tool'!$B$38=1,-MAX($AC$19:$AC$34,'Big Data'!$W$3:$Y$45)/2,0)-'GPS Anthro Tool'!B40</f>
        <v>-13.2</v>
      </c>
      <c r="CC90" s="194">
        <f>IF('GPS Anthro Tool'!$B$38=1,MIN('Big Data'!$AM$3:$AO$45)*0.9,0)</f>
        <v>-17.491104</v>
      </c>
      <c r="CK90" s="117"/>
      <c r="CL90" s="117"/>
    </row>
    <row r="91" spans="24:90">
      <c r="AK91" s="118"/>
      <c r="AL91" s="84">
        <v>-7.3690909090909091</v>
      </c>
      <c r="AM91" s="143"/>
      <c r="AN91" s="162">
        <v>0</v>
      </c>
      <c r="AO91" s="466">
        <f>-AF29-'GPS Anthro Tool'!$B$42</f>
        <v>-2</v>
      </c>
      <c r="AP91" s="98"/>
      <c r="AQ91" s="42"/>
      <c r="AR91" s="113"/>
      <c r="AS91" s="115" t="s">
        <v>312</v>
      </c>
      <c r="AT91" s="116"/>
      <c r="AU91" s="115">
        <f>(((AU90-AU92)/2)+AU92)*1.26</f>
        <v>0</v>
      </c>
      <c r="AV91" s="115">
        <f>((AV90-AV92)*0.75)+AV92</f>
        <v>0</v>
      </c>
      <c r="AW91" s="116"/>
      <c r="AX91" s="116">
        <f>-1*AU91</f>
        <v>0</v>
      </c>
      <c r="AY91" s="117">
        <f>AV91</f>
        <v>0</v>
      </c>
    </row>
    <row r="92" spans="24:90">
      <c r="AK92" s="118"/>
      <c r="AL92" s="84">
        <v>7.3690909090909091</v>
      </c>
      <c r="AM92" s="143"/>
      <c r="AN92" s="162">
        <f>(AF29*0.94)*0.4</f>
        <v>0</v>
      </c>
      <c r="AO92" s="466">
        <f>(-AF29*0.94)-'GPS Anthro Tool'!$B$42</f>
        <v>-2</v>
      </c>
      <c r="AP92" s="98"/>
      <c r="AQ92" s="42"/>
      <c r="AR92" s="113"/>
      <c r="AS92" s="115" t="s">
        <v>314</v>
      </c>
      <c r="AT92" s="116"/>
      <c r="AU92" s="115">
        <f>AL90</f>
        <v>0</v>
      </c>
      <c r="AV92" s="115">
        <f>AV90-(AU92-AU90)</f>
        <v>0</v>
      </c>
      <c r="AW92" s="116"/>
      <c r="AX92" s="116">
        <f>-1*AU92</f>
        <v>0</v>
      </c>
      <c r="AY92" s="117">
        <f>AV92</f>
        <v>0</v>
      </c>
      <c r="CA92" s="118" t="s">
        <v>3461</v>
      </c>
    </row>
    <row r="93" spans="24:90">
      <c r="AK93" s="118"/>
      <c r="AL93" s="143"/>
      <c r="AM93" s="143"/>
      <c r="AN93" s="162">
        <f>(AE29/2)*0.92</f>
        <v>0</v>
      </c>
      <c r="AO93" s="162">
        <f>(-AF29/2)-'GPS Anthro Tool'!$B$42</f>
        <v>-2</v>
      </c>
      <c r="AP93" s="98"/>
      <c r="AQ93" s="42"/>
      <c r="AR93" s="113"/>
      <c r="AS93" s="113"/>
      <c r="AU93" s="113"/>
      <c r="AV93" s="113"/>
      <c r="CB93">
        <f>IF('GPS Anthro Tool'!$B$38=1,-MAX($AC$19:$AC$34,'Big Data'!$W$3:$Y$45)/2,0)</f>
        <v>-11.2</v>
      </c>
      <c r="CC93">
        <v>0</v>
      </c>
    </row>
    <row r="94" spans="24:90">
      <c r="AK94" s="118"/>
      <c r="AL94" s="143"/>
      <c r="AM94" s="143"/>
      <c r="AN94" s="466">
        <f>AE29/2</f>
        <v>0</v>
      </c>
      <c r="AO94" s="466">
        <f>-'GPS Anthro Tool'!$B$42</f>
        <v>-2</v>
      </c>
      <c r="AP94" s="98"/>
      <c r="AQ94" s="42"/>
      <c r="AR94" s="113"/>
      <c r="AS94" s="113"/>
      <c r="AU94" s="113"/>
      <c r="AV94" s="113"/>
      <c r="CB94">
        <f>IF('GPS Anthro Tool'!$B$38=1,-MAX($AC$19:$AC$34,'Big Data'!$W$3:$Y$45)/2,0)</f>
        <v>-11.2</v>
      </c>
      <c r="CC94">
        <f>IF('GPS Anthro Tool'!$B$38=1,-'GPS Anthro Tool'!$B$42,0)</f>
        <v>-2</v>
      </c>
    </row>
    <row r="95" spans="24:90">
      <c r="AK95" s="118"/>
      <c r="AL95" s="143"/>
      <c r="AM95" s="143"/>
      <c r="AN95" s="99"/>
      <c r="AO95" s="99"/>
      <c r="AP95" s="98"/>
      <c r="AQ95" s="42"/>
      <c r="AR95" s="113"/>
      <c r="AS95" s="113"/>
      <c r="AU95" s="113"/>
      <c r="AV95" s="113"/>
      <c r="CB95" s="485">
        <f>IF('GPS Anthro Tool'!$B$38=1,MAX($AC$19:$AC$34,'Big Data'!$W$3:$Y$45)/2,0)</f>
        <v>11.2</v>
      </c>
      <c r="CC95">
        <f>IF('GPS Anthro Tool'!$B$38=1,-'GPS Anthro Tool'!$B$42,0)</f>
        <v>-2</v>
      </c>
    </row>
    <row r="96" spans="24:90">
      <c r="AK96" s="467" t="str">
        <f>Y30</f>
        <v>HIII-6yr</v>
      </c>
      <c r="AL96" s="138">
        <f>-AC30/2</f>
        <v>0</v>
      </c>
      <c r="AM96" s="138">
        <f>AB30</f>
        <v>0</v>
      </c>
      <c r="AN96" s="466">
        <f>AE30/2*-1</f>
        <v>0</v>
      </c>
      <c r="AO96" s="466">
        <f>-'GPS Anthro Tool'!$B$42</f>
        <v>-2</v>
      </c>
      <c r="AP96" s="98"/>
      <c r="AQ96" s="42"/>
      <c r="AR96" s="113"/>
      <c r="AS96" s="113"/>
      <c r="AU96" s="113" t="s">
        <v>315</v>
      </c>
      <c r="AV96" s="113" t="s">
        <v>316</v>
      </c>
      <c r="AX96" s="113" t="s">
        <v>315</v>
      </c>
      <c r="AY96" s="113" t="s">
        <v>316</v>
      </c>
      <c r="CB96" s="485">
        <f>IF('GPS Anthro Tool'!$B$38=1,MAX($AC$19:$AC$34,'Big Data'!$W$3:$Y$45)/2,0)</f>
        <v>11.2</v>
      </c>
      <c r="CC96">
        <v>0</v>
      </c>
    </row>
    <row r="97" spans="37:81">
      <c r="AK97" s="118"/>
      <c r="AL97" s="138">
        <f>AC30/2</f>
        <v>0</v>
      </c>
      <c r="AM97" s="138">
        <f>AB30</f>
        <v>0</v>
      </c>
      <c r="AN97" s="162">
        <f>(-AE30/2)*0.92</f>
        <v>0</v>
      </c>
      <c r="AO97" s="162">
        <f>-AF30*0.92/2-'GPS Anthro Tool'!$B$42</f>
        <v>-2</v>
      </c>
      <c r="AP97" s="98"/>
      <c r="AQ97" s="42"/>
      <c r="AR97" s="113"/>
      <c r="AS97" s="115" t="s">
        <v>313</v>
      </c>
      <c r="AT97" s="116"/>
      <c r="AU97" s="115">
        <f>IF(AL96=0,0,AL99)</f>
        <v>0</v>
      </c>
      <c r="AV97" s="115">
        <f>AM96</f>
        <v>0</v>
      </c>
      <c r="AW97" s="116"/>
      <c r="AX97" s="116">
        <f>-1*AU97</f>
        <v>0</v>
      </c>
      <c r="AY97" s="117">
        <f>AV97</f>
        <v>0</v>
      </c>
      <c r="CB97">
        <f>IF('GPS Anthro Tool'!$B$38=1,-MAX($AC$19:$AC$34,'Big Data'!$W$3:$Y$45)/2,0)</f>
        <v>-11.2</v>
      </c>
      <c r="CC97">
        <v>0</v>
      </c>
    </row>
    <row r="98" spans="37:81">
      <c r="AK98" s="118"/>
      <c r="AL98" s="84">
        <v>-7.6009090909090915</v>
      </c>
      <c r="AM98" s="143"/>
      <c r="AN98" s="162">
        <f>-AF30*0.92*0.4</f>
        <v>0</v>
      </c>
      <c r="AO98" s="466">
        <f>-AF30*0.92-'GPS Anthro Tool'!$B$42</f>
        <v>-2</v>
      </c>
      <c r="AP98" s="98"/>
      <c r="AQ98" s="42"/>
      <c r="AR98" s="113"/>
      <c r="AS98" s="115" t="s">
        <v>312</v>
      </c>
      <c r="AT98" s="116"/>
      <c r="AU98" s="115">
        <f>(((AU97-AU99)/2)+AU99)*1.2</f>
        <v>0</v>
      </c>
      <c r="AV98" s="115">
        <f>((AV97-AV99)*0.75)+AV99</f>
        <v>0</v>
      </c>
      <c r="AW98" s="116"/>
      <c r="AX98" s="116">
        <f>-1*AU98</f>
        <v>0</v>
      </c>
      <c r="AY98" s="117">
        <f>AV98</f>
        <v>0</v>
      </c>
    </row>
    <row r="99" spans="37:81">
      <c r="AK99" s="118"/>
      <c r="AL99" s="84">
        <v>7.6009090909090915</v>
      </c>
      <c r="AM99" s="143"/>
      <c r="AN99" s="162">
        <v>0</v>
      </c>
      <c r="AO99" s="466">
        <f>-AF30-'GPS Anthro Tool'!$B$42</f>
        <v>-2</v>
      </c>
      <c r="AP99" s="98"/>
      <c r="AQ99" s="42"/>
      <c r="AR99" s="113"/>
      <c r="AS99" s="115" t="s">
        <v>314</v>
      </c>
      <c r="AT99" s="116"/>
      <c r="AU99" s="115">
        <f>AL97</f>
        <v>0</v>
      </c>
      <c r="AV99" s="115">
        <f>AV97-(AU99-AU97)</f>
        <v>0</v>
      </c>
      <c r="AW99" s="116"/>
      <c r="AX99" s="116">
        <f>-1*AU99</f>
        <v>0</v>
      </c>
      <c r="AY99" s="117">
        <f>AV99</f>
        <v>0</v>
      </c>
      <c r="CA99" s="118" t="s">
        <v>3461</v>
      </c>
      <c r="CB99">
        <f>IF('GPS Anthro Tool'!$B$38=1,-MAX($AC$19:$AC$34,'Big Data'!$W$3:$Y$45)/2,0)</f>
        <v>-11.2</v>
      </c>
      <c r="CC99">
        <v>0</v>
      </c>
    </row>
    <row r="100" spans="37:81">
      <c r="AK100" s="118"/>
      <c r="AL100" s="143"/>
      <c r="AM100" s="143"/>
      <c r="AN100" s="99"/>
      <c r="AO100" s="99"/>
      <c r="AP100" s="98"/>
      <c r="AQ100" s="42"/>
      <c r="AR100" s="113"/>
      <c r="AS100" s="113"/>
      <c r="AU100" s="113"/>
      <c r="AV100" s="113"/>
      <c r="CB100">
        <f>IF('GPS Anthro Tool'!$B$38=1,-MAX($AC$19:$AC$34,'Big Data'!$W$3:$Y$45)/2,0)</f>
        <v>-11.2</v>
      </c>
      <c r="CC100">
        <f>IF('GPS Anthro Tool'!$B$38=1,'GPS Anthro Tool'!$B$41,0)</f>
        <v>2</v>
      </c>
    </row>
    <row r="101" spans="37:81">
      <c r="AK101" s="118"/>
      <c r="AL101" s="143"/>
      <c r="AM101" s="143"/>
      <c r="AN101" s="99"/>
      <c r="AO101" s="99"/>
      <c r="AP101" s="98"/>
      <c r="AQ101" s="42"/>
      <c r="AR101" s="113"/>
      <c r="AS101" s="113"/>
      <c r="AU101" s="113"/>
      <c r="AV101" s="113"/>
      <c r="CB101" s="485">
        <f>IF('GPS Anthro Tool'!$B$38=1,MAX($AC$19:$AC$34,'Big Data'!$W$3:$Y$45)/2,0)</f>
        <v>11.2</v>
      </c>
      <c r="CC101">
        <f>IF('GPS Anthro Tool'!$B$38=1,'GPS Anthro Tool'!$B$41,0)</f>
        <v>2</v>
      </c>
    </row>
    <row r="102" spans="37:81">
      <c r="AK102" s="118"/>
      <c r="AL102" s="143"/>
      <c r="AM102" s="143"/>
      <c r="AN102" s="99"/>
      <c r="AO102" s="99"/>
      <c r="AP102" s="98"/>
      <c r="AQ102" s="42"/>
      <c r="AR102" s="113"/>
      <c r="AS102" s="113"/>
      <c r="AU102" s="113"/>
      <c r="AV102" s="113"/>
      <c r="CB102" s="485">
        <f>IF('GPS Anthro Tool'!$B$38=1,MAX($AC$19:$AC$34,'Big Data'!$W$3:$Y$45)/2,0)</f>
        <v>11.2</v>
      </c>
      <c r="CC102">
        <v>0</v>
      </c>
    </row>
    <row r="103" spans="37:81">
      <c r="AK103" s="467" t="str">
        <f>Y31</f>
        <v>HIII-6yr wtd</v>
      </c>
      <c r="AL103" s="138">
        <f>-AC31/2</f>
        <v>0</v>
      </c>
      <c r="AM103" s="138">
        <f>AB31</f>
        <v>0</v>
      </c>
      <c r="AN103" s="466">
        <f>-AE31/2</f>
        <v>0</v>
      </c>
      <c r="AO103" s="466">
        <f>-'GPS Anthro Tool'!$B$42</f>
        <v>-2</v>
      </c>
      <c r="AP103" s="98"/>
      <c r="AQ103" s="42"/>
      <c r="AR103" s="113"/>
      <c r="AS103" s="113"/>
      <c r="AU103" s="113" t="s">
        <v>315</v>
      </c>
      <c r="AV103" s="113" t="s">
        <v>316</v>
      </c>
      <c r="AX103" s="113" t="s">
        <v>315</v>
      </c>
      <c r="AY103" s="113" t="s">
        <v>316</v>
      </c>
      <c r="CB103">
        <f>IF('GPS Anthro Tool'!$B$38=1,-MAX($AC$19:$AC$34,'Big Data'!$W$3:$Y$45)/2,0)</f>
        <v>-11.2</v>
      </c>
      <c r="CC103">
        <v>0</v>
      </c>
    </row>
    <row r="104" spans="37:81">
      <c r="AK104" s="118"/>
      <c r="AL104" s="138">
        <f>AC31/2</f>
        <v>0</v>
      </c>
      <c r="AM104" s="138">
        <f>AB31</f>
        <v>0</v>
      </c>
      <c r="AN104" s="162">
        <f>(-AE31/2)*0.92</f>
        <v>0</v>
      </c>
      <c r="AO104" s="162">
        <f>-AF31*0.92/2-'GPS Anthro Tool'!$B$42</f>
        <v>-2</v>
      </c>
      <c r="AP104" s="98"/>
      <c r="AQ104" s="42"/>
      <c r="AR104" s="113"/>
      <c r="AS104" s="115" t="s">
        <v>313</v>
      </c>
      <c r="AT104" s="116"/>
      <c r="AU104" s="115">
        <f>IF(AL103=0,0,AL106)</f>
        <v>0</v>
      </c>
      <c r="AV104" s="115">
        <f>AM103</f>
        <v>0</v>
      </c>
      <c r="AW104" s="116"/>
      <c r="AX104" s="116">
        <f>-1*AU104</f>
        <v>0</v>
      </c>
      <c r="AY104" s="117">
        <f>AV104</f>
        <v>0</v>
      </c>
    </row>
    <row r="105" spans="37:81">
      <c r="AK105" s="118"/>
      <c r="AL105" s="84">
        <v>-7.6009090909090915</v>
      </c>
      <c r="AM105" s="143"/>
      <c r="AN105" s="162">
        <f>-AF31*0.92*0.4</f>
        <v>0</v>
      </c>
      <c r="AO105" s="466">
        <f>-AF31*0.92-'GPS Anthro Tool'!$B$42</f>
        <v>-2</v>
      </c>
      <c r="AP105" s="98"/>
      <c r="AQ105" s="42"/>
      <c r="AR105" s="113"/>
      <c r="AS105" s="115" t="s">
        <v>312</v>
      </c>
      <c r="AT105" s="116"/>
      <c r="AU105" s="115">
        <f>(((AU104-AU106)/2)+AU106)*1.2</f>
        <v>0</v>
      </c>
      <c r="AV105" s="115">
        <f>((AV104-AV106)*0.75)+AV106</f>
        <v>0</v>
      </c>
      <c r="AW105" s="116"/>
      <c r="AX105" s="116">
        <f>-1*AU105</f>
        <v>0</v>
      </c>
      <c r="AY105" s="117">
        <f>AV105</f>
        <v>0</v>
      </c>
    </row>
    <row r="106" spans="37:81">
      <c r="AK106" s="118"/>
      <c r="AL106" s="84">
        <v>7.6009090909090915</v>
      </c>
      <c r="AM106" s="143"/>
      <c r="AN106" s="162">
        <v>0</v>
      </c>
      <c r="AO106" s="466">
        <f>-AF31-'GPS Anthro Tool'!$B$42</f>
        <v>-2</v>
      </c>
      <c r="AP106" s="98"/>
      <c r="AQ106" s="42"/>
      <c r="AR106" s="113"/>
      <c r="AS106" s="115" t="s">
        <v>314</v>
      </c>
      <c r="AT106" s="116"/>
      <c r="AU106" s="115">
        <f>AL104</f>
        <v>0</v>
      </c>
      <c r="AV106" s="115">
        <f>AV104-(AU106-AU104)</f>
        <v>0</v>
      </c>
      <c r="AW106" s="116"/>
      <c r="AX106" s="116">
        <f>-1*AU106</f>
        <v>0</v>
      </c>
      <c r="AY106" s="117">
        <f>AV106</f>
        <v>0</v>
      </c>
    </row>
    <row r="107" spans="37:81">
      <c r="AK107" s="118"/>
      <c r="AL107" s="143"/>
      <c r="AM107" s="143"/>
      <c r="AN107" s="99"/>
      <c r="AO107" s="99"/>
      <c r="AP107" s="98"/>
      <c r="AQ107" s="42"/>
      <c r="AR107" s="113"/>
      <c r="AS107" s="113"/>
      <c r="AU107" s="113"/>
      <c r="AV107" s="113"/>
    </row>
    <row r="108" spans="37:81" ht="14.45" customHeight="1">
      <c r="AK108" s="118"/>
      <c r="AL108" s="143"/>
      <c r="AM108" s="143"/>
      <c r="AN108" s="99"/>
      <c r="AO108" s="99"/>
      <c r="AP108" s="98"/>
      <c r="AQ108" s="42"/>
      <c r="AR108" s="113"/>
      <c r="AS108" s="113"/>
      <c r="AU108" s="113"/>
      <c r="AV108" s="113"/>
    </row>
    <row r="109" spans="37:81">
      <c r="AK109" s="118"/>
      <c r="AL109" s="143"/>
      <c r="AM109" s="143"/>
      <c r="AN109" s="99"/>
      <c r="AO109" s="99"/>
      <c r="AP109" s="98"/>
      <c r="AQ109" s="42"/>
      <c r="AR109" s="113"/>
      <c r="AS109" s="113"/>
      <c r="AU109" s="113"/>
      <c r="AV109" s="113"/>
    </row>
    <row r="110" spans="37:81">
      <c r="AK110" s="467" t="str">
        <f>Y32</f>
        <v>HIII-10yr</v>
      </c>
      <c r="AL110" s="138">
        <f>-AC32/2</f>
        <v>0</v>
      </c>
      <c r="AM110" s="138">
        <f>AB32</f>
        <v>0</v>
      </c>
      <c r="AN110" s="466">
        <f>-AE32/2</f>
        <v>0</v>
      </c>
      <c r="AO110" s="466">
        <f>-'GPS Anthro Tool'!$B$42</f>
        <v>-2</v>
      </c>
      <c r="AP110" s="98"/>
      <c r="AQ110" s="42"/>
      <c r="AR110" s="113"/>
      <c r="AS110" s="113"/>
      <c r="AU110" s="113" t="s">
        <v>315</v>
      </c>
      <c r="AV110" s="113" t="s">
        <v>316</v>
      </c>
      <c r="AX110" s="113" t="s">
        <v>315</v>
      </c>
      <c r="AY110" s="113" t="s">
        <v>316</v>
      </c>
    </row>
    <row r="111" spans="37:81">
      <c r="AK111" s="118"/>
      <c r="AL111" s="138">
        <f>AC32/2</f>
        <v>0</v>
      </c>
      <c r="AM111" s="138">
        <f>AB32</f>
        <v>0</v>
      </c>
      <c r="AN111" s="162">
        <f>(-AE32/2)*0.92</f>
        <v>0</v>
      </c>
      <c r="AO111" s="162">
        <f>-AF32*0.92/2-'GPS Anthro Tool'!$B$42</f>
        <v>-2</v>
      </c>
      <c r="AP111" s="98"/>
      <c r="AQ111" s="42"/>
      <c r="AR111" s="113"/>
      <c r="AS111" s="115" t="s">
        <v>313</v>
      </c>
      <c r="AT111" s="116"/>
      <c r="AU111" s="115">
        <f>IF(AL110=0,0,AL113)</f>
        <v>0</v>
      </c>
      <c r="AV111" s="115">
        <f>AM110</f>
        <v>0</v>
      </c>
      <c r="AW111" s="116"/>
      <c r="AX111" s="116">
        <f>-1*AU111</f>
        <v>0</v>
      </c>
      <c r="AY111" s="117">
        <f>AV111</f>
        <v>0</v>
      </c>
    </row>
    <row r="112" spans="37:81">
      <c r="AK112" s="118"/>
      <c r="AL112" s="84">
        <v>-8.0645454545454545</v>
      </c>
      <c r="AM112" s="143"/>
      <c r="AN112" s="162">
        <f>-AF32*0.92*0.4</f>
        <v>0</v>
      </c>
      <c r="AO112" s="465">
        <f>-AF32*0.92-'GPS Anthro Tool'!$B$42</f>
        <v>-2</v>
      </c>
      <c r="AP112" s="98"/>
      <c r="AQ112" s="42"/>
      <c r="AR112" s="113"/>
      <c r="AS112" s="115" t="s">
        <v>312</v>
      </c>
      <c r="AT112" s="116"/>
      <c r="AU112" s="115">
        <f>(((AU111-AU113)/2)+AU113)*1.25</f>
        <v>0</v>
      </c>
      <c r="AV112" s="115">
        <f>((AV111-AV113)*0.75)+AV113</f>
        <v>0</v>
      </c>
      <c r="AW112" s="116"/>
      <c r="AX112" s="116">
        <f>-1*AU112</f>
        <v>0</v>
      </c>
      <c r="AY112" s="117">
        <f>AV112</f>
        <v>0</v>
      </c>
    </row>
    <row r="113" spans="37:51">
      <c r="AK113" s="118"/>
      <c r="AL113" s="84">
        <v>8.0645454545454545</v>
      </c>
      <c r="AM113" s="143"/>
      <c r="AN113" s="162">
        <v>0</v>
      </c>
      <c r="AO113" s="465">
        <f>-AF32-'GPS Anthro Tool'!$B$42</f>
        <v>-2</v>
      </c>
      <c r="AP113" s="98"/>
      <c r="AQ113" s="42"/>
      <c r="AR113" s="113"/>
      <c r="AS113" s="115" t="s">
        <v>314</v>
      </c>
      <c r="AT113" s="116"/>
      <c r="AU113" s="115">
        <f>AL111</f>
        <v>0</v>
      </c>
      <c r="AV113" s="115">
        <f>AV111-(AU113-AU111)</f>
        <v>0</v>
      </c>
      <c r="AW113" s="116"/>
      <c r="AX113" s="116">
        <f>-1*AU113</f>
        <v>0</v>
      </c>
      <c r="AY113" s="117">
        <f>AV113</f>
        <v>0</v>
      </c>
    </row>
    <row r="114" spans="37:51">
      <c r="AK114" s="118"/>
      <c r="AL114" s="143"/>
      <c r="AM114" s="143"/>
      <c r="AN114" s="99"/>
      <c r="AO114" s="99"/>
      <c r="AP114" s="98"/>
      <c r="AQ114" s="42"/>
      <c r="AR114" s="113"/>
      <c r="AS114" s="115"/>
      <c r="AT114" s="116"/>
      <c r="AU114" s="115"/>
      <c r="AV114" s="115"/>
      <c r="AW114" s="116"/>
      <c r="AX114" s="116"/>
      <c r="AY114" s="116"/>
    </row>
    <row r="115" spans="37:51">
      <c r="AK115" s="118"/>
      <c r="AL115" s="143"/>
      <c r="AM115" s="143"/>
      <c r="AN115" s="99"/>
      <c r="AO115" s="99"/>
      <c r="AP115" s="98"/>
      <c r="AQ115" s="42"/>
      <c r="AR115" s="113"/>
      <c r="AS115" s="115"/>
      <c r="AT115" s="116"/>
      <c r="AU115" s="115"/>
      <c r="AV115" s="115"/>
      <c r="AW115" s="116"/>
      <c r="AX115" s="116"/>
      <c r="AY115" s="116"/>
    </row>
    <row r="116" spans="37:51">
      <c r="AK116" s="118"/>
      <c r="AL116" s="143"/>
      <c r="AM116" s="143"/>
      <c r="AN116" s="99"/>
      <c r="AO116" s="99"/>
      <c r="AP116" s="98"/>
      <c r="AQ116" s="42"/>
      <c r="AR116" s="113"/>
      <c r="AS116" s="115"/>
      <c r="AT116" s="116"/>
      <c r="AU116" s="115"/>
      <c r="AV116" s="115"/>
      <c r="AW116" s="116"/>
      <c r="AX116" s="116"/>
      <c r="AY116" s="116"/>
    </row>
    <row r="117" spans="37:51">
      <c r="AK117" s="467" t="str">
        <f>Y33</f>
        <v>Q10.5</v>
      </c>
      <c r="AL117" s="138">
        <f>-AC33/2</f>
        <v>0</v>
      </c>
      <c r="AM117" s="138">
        <f>AB33</f>
        <v>0</v>
      </c>
      <c r="AN117" s="99">
        <f>AN122*-1</f>
        <v>0</v>
      </c>
      <c r="AO117" s="99">
        <f>-'GPS Anthro Tool'!$B$42</f>
        <v>-2</v>
      </c>
      <c r="AP117" s="98"/>
      <c r="AQ117" s="42"/>
      <c r="AR117" s="113"/>
      <c r="AS117" s="115"/>
      <c r="AT117" s="116"/>
      <c r="AU117" s="113" t="s">
        <v>315</v>
      </c>
      <c r="AV117" s="113" t="s">
        <v>316</v>
      </c>
      <c r="AX117" s="113" t="s">
        <v>315</v>
      </c>
      <c r="AY117" s="113" t="s">
        <v>316</v>
      </c>
    </row>
    <row r="118" spans="37:51">
      <c r="AK118" s="118"/>
      <c r="AL118" s="138">
        <f>AC33/2</f>
        <v>0</v>
      </c>
      <c r="AM118" s="138">
        <f>AB33</f>
        <v>0</v>
      </c>
      <c r="AN118" s="99">
        <f>(AN122*-1)*0.92</f>
        <v>0</v>
      </c>
      <c r="AO118" s="99">
        <f>AO119/2</f>
        <v>-1</v>
      </c>
      <c r="AS118" s="115" t="s">
        <v>313</v>
      </c>
      <c r="AT118" s="116"/>
      <c r="AU118" s="115">
        <f>IF(AL117=0,0,AL120)</f>
        <v>0</v>
      </c>
      <c r="AV118" s="115">
        <f>AM117</f>
        <v>0</v>
      </c>
      <c r="AW118" s="116"/>
      <c r="AX118" s="116">
        <f>-1*AU118</f>
        <v>0</v>
      </c>
      <c r="AY118" s="117">
        <f>AV118</f>
        <v>0</v>
      </c>
    </row>
    <row r="119" spans="37:51">
      <c r="AK119" s="118"/>
      <c r="AL119" s="84">
        <v>-8.0645454545454545</v>
      </c>
      <c r="AM119" s="143"/>
      <c r="AN119" s="162">
        <v>0</v>
      </c>
      <c r="AO119" s="466">
        <f>-AF33-'GPS Anthro Tool'!$B$42</f>
        <v>-2</v>
      </c>
      <c r="AS119" s="115" t="s">
        <v>312</v>
      </c>
      <c r="AT119" s="116"/>
      <c r="AU119" s="115">
        <f>(((AU118-AU120)/2)+AU120)*1.25</f>
        <v>0</v>
      </c>
      <c r="AV119" s="115">
        <f>((AV118-AV120)*0.75)+AV120</f>
        <v>0</v>
      </c>
      <c r="AW119" s="116"/>
      <c r="AX119" s="116">
        <f>-1*AU119</f>
        <v>0</v>
      </c>
      <c r="AY119" s="117">
        <f>AV119</f>
        <v>0</v>
      </c>
    </row>
    <row r="120" spans="37:51">
      <c r="AK120" s="118"/>
      <c r="AL120" s="84">
        <v>8.0645454545454545</v>
      </c>
      <c r="AM120" s="143"/>
      <c r="AN120" s="162">
        <f>(AF33*0.94)*0.4</f>
        <v>0</v>
      </c>
      <c r="AO120" s="466">
        <f>(-AF33*0.94)-'GPS Anthro Tool'!$B$42</f>
        <v>-2</v>
      </c>
      <c r="AS120" s="115" t="s">
        <v>314</v>
      </c>
      <c r="AT120" s="116"/>
      <c r="AU120" s="115">
        <f>AL118</f>
        <v>0</v>
      </c>
      <c r="AV120" s="115">
        <f>AV118-(AU120-AU118)</f>
        <v>0</v>
      </c>
      <c r="AW120" s="116"/>
      <c r="AX120" s="116">
        <f>-1*AU120</f>
        <v>0</v>
      </c>
      <c r="AY120" s="117">
        <f>AV120</f>
        <v>0</v>
      </c>
    </row>
    <row r="121" spans="37:51">
      <c r="AK121" s="118"/>
      <c r="AL121" s="143"/>
      <c r="AM121" s="143"/>
      <c r="AN121" s="162">
        <f>(AE33/2)*0.92</f>
        <v>0</v>
      </c>
      <c r="AO121" s="162">
        <f>(-AF33*0.94)/2-'GPS Anthro Tool'!$B$42</f>
        <v>-2</v>
      </c>
      <c r="AS121" s="113"/>
      <c r="AU121" s="113"/>
      <c r="AV121" s="113"/>
    </row>
    <row r="122" spans="37:51">
      <c r="AK122" s="118"/>
      <c r="AL122" s="143"/>
      <c r="AM122" s="143"/>
      <c r="AN122" s="466">
        <f>AE33/2</f>
        <v>0</v>
      </c>
      <c r="AO122" s="466">
        <f>-'GPS Anthro Tool'!$B$42</f>
        <v>-2</v>
      </c>
      <c r="AS122" s="113"/>
      <c r="AU122" s="113"/>
      <c r="AV122" s="113"/>
    </row>
    <row r="123" spans="37:51">
      <c r="AN123" s="106"/>
      <c r="AO123" s="106"/>
      <c r="AS123" s="113"/>
      <c r="AU123" s="113"/>
      <c r="AV123" s="113"/>
    </row>
    <row r="124" spans="37:51">
      <c r="AK124" s="467" t="str">
        <f>Y34</f>
        <v>5th Female</v>
      </c>
      <c r="AL124" s="138">
        <f>-AC34/2</f>
        <v>0</v>
      </c>
      <c r="AM124" s="138">
        <f>AB34</f>
        <v>0</v>
      </c>
      <c r="AN124" s="466">
        <f>-AE34/2</f>
        <v>0</v>
      </c>
      <c r="AO124" s="466">
        <f>-'GPS Anthro Tool'!$B$42</f>
        <v>-2</v>
      </c>
      <c r="AP124" s="98"/>
      <c r="AQ124" s="42"/>
      <c r="AR124" s="113"/>
      <c r="AS124" s="115"/>
      <c r="AT124" s="116"/>
      <c r="AU124" s="113" t="s">
        <v>315</v>
      </c>
      <c r="AV124" s="113" t="s">
        <v>316</v>
      </c>
      <c r="AX124" s="113" t="s">
        <v>315</v>
      </c>
      <c r="AY124" s="113" t="s">
        <v>316</v>
      </c>
    </row>
    <row r="125" spans="37:51">
      <c r="AK125" s="118"/>
      <c r="AL125" s="138">
        <f>AC34/2</f>
        <v>0</v>
      </c>
      <c r="AM125" s="138">
        <f>AB34</f>
        <v>0</v>
      </c>
      <c r="AN125" s="162">
        <f>(-AE34/2)*0.92</f>
        <v>0</v>
      </c>
      <c r="AO125" s="162">
        <f>((-AF34*0.94)/2)-'GPS Anthro Tool'!$B$42</f>
        <v>-2</v>
      </c>
      <c r="AS125" s="115" t="s">
        <v>313</v>
      </c>
      <c r="AT125" s="116"/>
      <c r="AU125" s="115">
        <f>IF(AL124=0,0,AL127)</f>
        <v>0</v>
      </c>
      <c r="AV125" s="115">
        <f>AM124</f>
        <v>0</v>
      </c>
      <c r="AW125" s="116"/>
      <c r="AX125" s="116">
        <f>-1*AU125</f>
        <v>0</v>
      </c>
      <c r="AY125" s="117">
        <f>AV125</f>
        <v>0</v>
      </c>
    </row>
    <row r="126" spans="37:51">
      <c r="AK126" s="118"/>
      <c r="AL126" s="84">
        <v>-8.0645454545454545</v>
      </c>
      <c r="AM126" s="143"/>
      <c r="AN126" s="162">
        <f>-AF34*0.4</f>
        <v>0</v>
      </c>
      <c r="AO126" s="466">
        <f>(-AF34*0.94)-'GPS Anthro Tool'!$B$42</f>
        <v>-2</v>
      </c>
      <c r="AS126" s="115" t="s">
        <v>312</v>
      </c>
      <c r="AT126" s="116"/>
      <c r="AU126" s="115">
        <f>(((AU125-AU127)/2)+AU127)*1.29</f>
        <v>0</v>
      </c>
      <c r="AV126" s="115">
        <f>((AV125-AV127)*0.75)+AV127</f>
        <v>0</v>
      </c>
      <c r="AW126" s="116"/>
      <c r="AX126" s="116">
        <f>-1*AU126</f>
        <v>0</v>
      </c>
      <c r="AY126" s="117">
        <f>AV126</f>
        <v>0</v>
      </c>
    </row>
    <row r="127" spans="37:51">
      <c r="AK127" s="118"/>
      <c r="AL127" s="84">
        <v>8.0645454545454545</v>
      </c>
      <c r="AM127" s="143"/>
      <c r="AN127" s="162">
        <v>0</v>
      </c>
      <c r="AO127" s="466">
        <f>-AF34-'GPS Anthro Tool'!$B$42</f>
        <v>-2</v>
      </c>
      <c r="AS127" s="115" t="s">
        <v>314</v>
      </c>
      <c r="AT127" s="116"/>
      <c r="AU127" s="115">
        <f>AL125</f>
        <v>0</v>
      </c>
      <c r="AV127" s="115">
        <f>AV125-(AU127-AU125)</f>
        <v>0</v>
      </c>
      <c r="AW127" s="116"/>
      <c r="AX127" s="116">
        <f>-1*AU127</f>
        <v>0</v>
      </c>
      <c r="AY127" s="117">
        <f>AV127</f>
        <v>0</v>
      </c>
    </row>
    <row r="128" spans="37:51">
      <c r="AK128" s="118"/>
      <c r="AL128" s="143"/>
      <c r="AM128" s="143"/>
      <c r="AN128" s="99"/>
      <c r="AO128" s="99"/>
      <c r="AS128" s="113"/>
      <c r="AU128" s="113"/>
      <c r="AV128" s="113"/>
    </row>
    <row r="129" spans="37:48">
      <c r="AK129" s="118"/>
      <c r="AL129" s="143"/>
      <c r="AM129" s="143"/>
      <c r="AN129" s="99"/>
      <c r="AO129" s="99"/>
      <c r="AS129" s="113"/>
      <c r="AU129" s="113"/>
      <c r="AV129" s="113"/>
    </row>
  </sheetData>
  <sheetProtection password="CD1E" sheet="1" objects="1" scenarios="1"/>
  <mergeCells count="63">
    <mergeCell ref="BI15:BU15"/>
    <mergeCell ref="BG51:BG54"/>
    <mergeCell ref="BH51:BH54"/>
    <mergeCell ref="BG55:BG58"/>
    <mergeCell ref="BH55:BH58"/>
    <mergeCell ref="BG39:BG42"/>
    <mergeCell ref="BH39:BH42"/>
    <mergeCell ref="BG43:BG46"/>
    <mergeCell ref="BH43:BH46"/>
    <mergeCell ref="BG47:BG50"/>
    <mergeCell ref="BH47:BH50"/>
    <mergeCell ref="BG27:BG30"/>
    <mergeCell ref="BH27:BH30"/>
    <mergeCell ref="BG31:BG34"/>
    <mergeCell ref="BH31:BH34"/>
    <mergeCell ref="BG35:BG38"/>
    <mergeCell ref="BG59:BG62"/>
    <mergeCell ref="BH59:BH62"/>
    <mergeCell ref="BG75:BG78"/>
    <mergeCell ref="BH75:BH78"/>
    <mergeCell ref="BG63:BG66"/>
    <mergeCell ref="BH63:BH66"/>
    <mergeCell ref="BG67:BG70"/>
    <mergeCell ref="BH67:BH70"/>
    <mergeCell ref="BG71:BG74"/>
    <mergeCell ref="BH71:BH74"/>
    <mergeCell ref="AU2:BE2"/>
    <mergeCell ref="AS17:AU17"/>
    <mergeCell ref="AG5:AI5"/>
    <mergeCell ref="AF2:AH2"/>
    <mergeCell ref="AE3:AH3"/>
    <mergeCell ref="AF4:AH4"/>
    <mergeCell ref="X76:Y76"/>
    <mergeCell ref="X18:Y18"/>
    <mergeCell ref="AI6:AI10"/>
    <mergeCell ref="AJ6:AJ10"/>
    <mergeCell ref="CK12:CQ12"/>
    <mergeCell ref="CK13:CQ13"/>
    <mergeCell ref="BW47:CC47"/>
    <mergeCell ref="BX29:CI29"/>
    <mergeCell ref="CK29:CS29"/>
    <mergeCell ref="BG19:BG22"/>
    <mergeCell ref="BG23:BG26"/>
    <mergeCell ref="BH35:BH38"/>
    <mergeCell ref="BH19:BH22"/>
    <mergeCell ref="BH23:BH26"/>
    <mergeCell ref="BI16:BN16"/>
    <mergeCell ref="BP16:BU16"/>
    <mergeCell ref="CU17:DR17"/>
    <mergeCell ref="CK17:CS17"/>
    <mergeCell ref="BX18:BZ18"/>
    <mergeCell ref="CA18:CC18"/>
    <mergeCell ref="CD18:CF18"/>
    <mergeCell ref="CG18:CI18"/>
    <mergeCell ref="BX17:CI17"/>
    <mergeCell ref="AC37:AC41"/>
    <mergeCell ref="AD37:AD41"/>
    <mergeCell ref="AE37:AE41"/>
    <mergeCell ref="AF37:AF41"/>
    <mergeCell ref="X37:Y41"/>
    <mergeCell ref="Z37:Z41"/>
    <mergeCell ref="AA37:AA41"/>
    <mergeCell ref="AB37:AB41"/>
  </mergeCells>
  <phoneticPr fontId="104" type="noConversion"/>
  <conditionalFormatting sqref="AD42:AE57">
    <cfRule type="colorScale" priority="4">
      <colorScale>
        <cfvo type="min"/>
        <cfvo type="percentile" val="50"/>
        <cfvo type="max"/>
        <color theme="1" tint="0.499984740745262"/>
        <color rgb="FFFFEB84"/>
        <color rgb="FF63BE7B"/>
      </colorScale>
    </cfRule>
  </conditionalFormatting>
  <conditionalFormatting sqref="AF42:AF57">
    <cfRule type="colorScale" priority="3">
      <colorScale>
        <cfvo type="min"/>
        <cfvo type="percentile" val="50"/>
        <cfvo type="max"/>
        <color theme="1" tint="0.249977111117893"/>
        <color rgb="FFFFEB84"/>
        <color rgb="FF00B050"/>
      </colorScale>
    </cfRule>
  </conditionalFormatting>
  <conditionalFormatting sqref="X37">
    <cfRule type="containsText" dxfId="287" priority="1" operator="containsText" text="Dummy Selection Manual">
      <formula>NOT(ISERROR(SEARCH("Dummy Selection Manual",X37)))</formula>
    </cfRule>
    <cfRule type="containsText" dxfId="286" priority="2" operator="containsText" text="Dummy Selection Auto">
      <formula>NOT(ISERROR(SEARCH("Dummy Selection Auto",X37)))</formula>
    </cfRule>
  </conditionalFormatting>
  <pageMargins left="0.7" right="0.7" top="0.75" bottom="0.75" header="0.3" footer="0.3"/>
  <pageSetup paperSize="3" orientation="landscape" r:id="rId1"/>
  <cellWatches>
    <cellWatch r="CD70"/>
    <cellWatch r="CD63"/>
  </cellWatche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7030A0"/>
  </sheetPr>
  <dimension ref="A1:AJ17"/>
  <sheetViews>
    <sheetView zoomScale="50" zoomScaleNormal="50" workbookViewId="0">
      <pane ySplit="2" topLeftCell="A3" activePane="bottomLeft" state="frozen"/>
      <selection pane="bottomLeft" activeCell="D1" sqref="D1"/>
    </sheetView>
  </sheetViews>
  <sheetFormatPr defaultRowHeight="12.75"/>
  <cols>
    <col min="1" max="1" width="3.42578125" customWidth="1"/>
    <col min="2" max="2" width="27.85546875" customWidth="1"/>
    <col min="3" max="6" width="18.85546875" customWidth="1"/>
    <col min="7" max="8" width="18.85546875" hidden="1" customWidth="1"/>
    <col min="9" max="10" width="8.85546875" hidden="1" customWidth="1"/>
    <col min="11" max="11" width="54" hidden="1" customWidth="1"/>
    <col min="12" max="24" width="8.85546875" hidden="1" customWidth="1"/>
    <col min="25" max="28" width="18.85546875" hidden="1" customWidth="1"/>
    <col min="29" max="29" width="8.85546875" hidden="1" customWidth="1"/>
    <col min="30" max="30" width="10.7109375" hidden="1" customWidth="1"/>
    <col min="31" max="35" width="8.85546875" hidden="1" customWidth="1"/>
    <col min="36" max="36" width="16.5703125" customWidth="1"/>
    <col min="37" max="37" width="13.5703125" customWidth="1"/>
  </cols>
  <sheetData>
    <row r="1" spans="1:36" ht="72" customHeight="1">
      <c r="B1" s="755" t="s">
        <v>3474</v>
      </c>
      <c r="C1" s="755"/>
      <c r="D1" s="625"/>
      <c r="E1" s="625"/>
      <c r="F1" s="625"/>
      <c r="G1" s="625"/>
      <c r="K1" s="575" t="s">
        <v>3563</v>
      </c>
      <c r="L1" s="584">
        <v>0</v>
      </c>
      <c r="M1" s="584">
        <v>1</v>
      </c>
      <c r="N1" s="584">
        <v>1.5</v>
      </c>
      <c r="O1" s="584">
        <v>3</v>
      </c>
      <c r="P1" s="585">
        <v>1</v>
      </c>
      <c r="Q1" s="585">
        <v>1.5</v>
      </c>
      <c r="R1" s="585">
        <v>3</v>
      </c>
      <c r="S1" s="586">
        <v>6</v>
      </c>
      <c r="T1" s="586" t="s">
        <v>3560</v>
      </c>
      <c r="U1" s="587">
        <v>6</v>
      </c>
      <c r="V1" s="587" t="s">
        <v>3560</v>
      </c>
      <c r="W1" s="587">
        <v>10</v>
      </c>
    </row>
    <row r="2" spans="1:36" ht="20.100000000000001" customHeight="1" thickBot="1">
      <c r="B2" s="756" t="s">
        <v>3557</v>
      </c>
      <c r="C2" s="756"/>
      <c r="D2" s="42" t="s">
        <v>3481</v>
      </c>
      <c r="E2" s="42" t="s">
        <v>3564</v>
      </c>
      <c r="F2" s="42"/>
      <c r="G2" s="603" t="s">
        <v>381</v>
      </c>
      <c r="H2" s="603" t="s">
        <v>596</v>
      </c>
      <c r="J2" s="42" t="s">
        <v>3562</v>
      </c>
      <c r="K2" s="118"/>
      <c r="L2" s="574" t="s">
        <v>388</v>
      </c>
      <c r="M2" s="574" t="s">
        <v>388</v>
      </c>
      <c r="N2" s="574" t="s">
        <v>3509</v>
      </c>
      <c r="O2" s="574" t="s">
        <v>3509</v>
      </c>
      <c r="P2" s="599" t="s">
        <v>3548</v>
      </c>
      <c r="Q2" s="574" t="s">
        <v>3548</v>
      </c>
      <c r="R2" s="574" t="s">
        <v>3548</v>
      </c>
      <c r="S2" s="574" t="s">
        <v>3548</v>
      </c>
      <c r="T2" s="574"/>
      <c r="W2" s="574" t="s">
        <v>3548</v>
      </c>
      <c r="X2" s="570"/>
      <c r="AA2" s="570"/>
      <c r="AB2" s="570"/>
      <c r="AC2" s="570"/>
      <c r="AJ2" s="42"/>
    </row>
    <row r="3" spans="1:36" ht="72" customHeight="1" thickBot="1">
      <c r="A3" s="494">
        <v>1</v>
      </c>
      <c r="B3" s="497" t="s">
        <v>3469</v>
      </c>
      <c r="C3" s="624"/>
      <c r="D3" s="489" t="str">
        <f>IF('GPS Anthro Tool'!B63=1,"READY","")</f>
        <v>READY</v>
      </c>
      <c r="E3" s="580" t="str">
        <f t="shared" ref="E3:E12" si="0">IF(D3="READY","Press Home Button","")</f>
        <v>Press Home Button</v>
      </c>
      <c r="F3" s="581" t="str">
        <f>IF(D3="READY",IF('GPS Anthro Tool'!$B$93=1,"CAUTION Tool Settings Changed",""),"")</f>
        <v>CAUTION Tool Settings Changed</v>
      </c>
      <c r="G3" s="604">
        <f>IF('GPS Anthro Tool'!$B$2=1,IF((Solution!$AF$42+Solution!$AF$43+Solution!$AF$44+Solution!$AF$47)=4,1,0),"")</f>
        <v>1</v>
      </c>
      <c r="H3" s="604">
        <f>IF('GPS Anthro Tool'!$B$2=1,IF((Solution!$AF$45+Solution!$AF$46)=2,1,0),"")</f>
        <v>0</v>
      </c>
      <c r="I3" s="542" t="s">
        <v>388</v>
      </c>
      <c r="J3" s="569">
        <v>1</v>
      </c>
      <c r="K3" s="541" t="s">
        <v>3517</v>
      </c>
      <c r="L3" s="589">
        <f>IF('GPS Anthro Tool'!$B$2=1,(Solution!$AF$42+Solution!$AF$43+Solution!$AF$44+Solution!$AF$45),"")</f>
        <v>3</v>
      </c>
      <c r="M3" s="594">
        <f>IF('GPS Anthro Tool'!$B$2=1,(Solution!$AF$47+Solution!$AF$46),"")</f>
        <v>1</v>
      </c>
      <c r="N3" s="616">
        <f>IF('GPS Anthro Tool'!$B$2=1,(Solution!$AF$48+Solution!$AF$49),"")</f>
        <v>1</v>
      </c>
      <c r="O3" s="614">
        <f>IF('GPS Anthro Tool'!$B$2=1,(Solution!$AF$50+Solution!$AF$51),"")</f>
        <v>0</v>
      </c>
      <c r="P3" s="614">
        <f>IF('GPS Anthro Tool'!$B$2=1,(Solution!$AF$47+Solution!$AF$46),"")</f>
        <v>1</v>
      </c>
      <c r="Q3" s="614">
        <f>IF('GPS Anthro Tool'!$B$2=1,(Solution!$AF$48+Solution!$AF$49),"")</f>
        <v>1</v>
      </c>
      <c r="R3" s="614">
        <f>IF('GPS Anthro Tool'!$B$2=1,(Solution!$AF$50+Solution!$AF$51),"")</f>
        <v>0</v>
      </c>
      <c r="S3" s="614">
        <f>IF('GPS Anthro Tool'!$B$2=1,(Solution!$AF$52+Solution!$AF$53),"")</f>
        <v>0</v>
      </c>
      <c r="T3" s="614">
        <f>IF('GPS Anthro Tool'!$B$2=1,Solution!$AF$55,"")</f>
        <v>0</v>
      </c>
      <c r="U3" s="614">
        <f>IF('GPS Anthro Tool'!$B$2=1,(Solution!$AF$52+Solution!$AF$53),"")</f>
        <v>0</v>
      </c>
      <c r="V3" s="614">
        <f>IF('GPS Anthro Tool'!$B$2=1,Solution!$AF$55,"")</f>
        <v>0</v>
      </c>
      <c r="W3" s="614">
        <f>IF('GPS Anthro Tool'!$B$2=1,(Solution!$AF$55+Solution!$AF$56),"")</f>
        <v>0</v>
      </c>
      <c r="X3" s="570"/>
      <c r="Y3" s="604" t="str">
        <f>IF('GPS Anthro Tool'!$B$2=1,IF((Solution!$AF$42+Solution!$AF$43+Solution!$AF$44+Solution!$AF$47)=4,"Meets US Dummy Count","DNM US Dummy Count"),"")</f>
        <v>Meets US Dummy Count</v>
      </c>
      <c r="Z3" s="604" t="str">
        <f>IF('GPS Anthro Tool'!$B$2=1,IF((Solution!$AF$45+Solution!$AF$46)=2,"Meets EU Dummy Count","DNM EU Dummy Count"),"")</f>
        <v>DNM EU Dummy Count</v>
      </c>
      <c r="AA3" s="606" t="str">
        <f>IF('GPS Anthro Tool'!$B$2=1,IF(SUM(L3:W3)=8,"Ready to Calculate Global Spec",""),"")</f>
        <v/>
      </c>
      <c r="AB3" s="608">
        <f>SUM(L3:W3)</f>
        <v>7</v>
      </c>
      <c r="AE3" s="57"/>
      <c r="AF3" s="577" t="s">
        <v>494</v>
      </c>
      <c r="AG3" s="578">
        <f>'GPS Anthro Tool'!B4</f>
        <v>1</v>
      </c>
      <c r="AH3" s="542" t="s">
        <v>3549</v>
      </c>
      <c r="AI3" s="573"/>
    </row>
    <row r="4" spans="1:36" ht="72" customHeight="1" thickBot="1">
      <c r="A4" s="494">
        <v>2</v>
      </c>
      <c r="B4" s="497" t="s">
        <v>3470</v>
      </c>
      <c r="C4" s="624"/>
      <c r="D4" s="489" t="str">
        <f>IF('GPS Anthro Tool'!B64=1,"READY","")</f>
        <v/>
      </c>
      <c r="E4" s="580" t="str">
        <f t="shared" si="0"/>
        <v/>
      </c>
      <c r="F4" s="581" t="str">
        <f>IF(D4="READY",IF('GPS Anthro Tool'!$B$93=1,"CAUTION Tool Settings Changed",""),"")</f>
        <v/>
      </c>
      <c r="G4" s="604" t="str">
        <f>IF('GPS Anthro Tool'!$B$2=2,IF((Solution!$AF$42+Solution!$AF$43+Solution!$AF$44+Solution!$AF$47+Solution!$AF$49+Solution!$AF$51)=6,1,0),"")</f>
        <v/>
      </c>
      <c r="H4" s="604" t="str">
        <f>IF('GPS Anthro Tool'!$B$2=2,IF((Solution!$AF$45+Solution!$AF$46+Solution!$AF$48+Solution!$AF$50)=4,1,0),"")</f>
        <v/>
      </c>
      <c r="I4" s="542" t="s">
        <v>388</v>
      </c>
      <c r="J4" s="569">
        <v>2</v>
      </c>
      <c r="K4" s="541" t="s">
        <v>3518</v>
      </c>
      <c r="L4" s="589" t="str">
        <f>IF('GPS Anthro Tool'!$B$2=2,(Solution!$AF$42+Solution!$AF$43+Solution!$AF$44+Solution!$AF$45),"")</f>
        <v/>
      </c>
      <c r="M4" s="594" t="str">
        <f>IF('GPS Anthro Tool'!$B$2=2,(Solution!$AF$47+Solution!$AF$46),"")</f>
        <v/>
      </c>
      <c r="N4" s="588" t="str">
        <f>IF('GPS Anthro Tool'!$B$2=2,(Solution!$AF$48+Solution!$AF$49),"")</f>
        <v/>
      </c>
      <c r="O4" s="602" t="str">
        <f>IF('GPS Anthro Tool'!$B$2=2,(Solution!$AF$50+Solution!$AF$51),"")</f>
        <v/>
      </c>
      <c r="P4" s="614" t="str">
        <f>IF('GPS Anthro Tool'!$B$2=2,(Solution!$AF$47+Solution!$AF$46),"")</f>
        <v/>
      </c>
      <c r="Q4" s="614" t="str">
        <f>IF('GPS Anthro Tool'!$B$2=2,(Solution!$AF$48+Solution!$AF$49),"")</f>
        <v/>
      </c>
      <c r="R4" s="614" t="str">
        <f>IF('GPS Anthro Tool'!$B$2=2,(Solution!$AF$50+Solution!$AF$51),"")</f>
        <v/>
      </c>
      <c r="S4" s="614" t="str">
        <f>IF('GPS Anthro Tool'!$B$2=2,(Solution!$AF$52+Solution!$AF$53),"")</f>
        <v/>
      </c>
      <c r="T4" s="614" t="str">
        <f>IF('GPS Anthro Tool'!$B$2=2,Solution!$AF$55,"")</f>
        <v/>
      </c>
      <c r="U4" s="614" t="str">
        <f>IF('GPS Anthro Tool'!$B$2=2,(Solution!$AF$52+Solution!$AF$53),"")</f>
        <v/>
      </c>
      <c r="V4" s="614" t="str">
        <f>IF('GPS Anthro Tool'!$B$2=2,Solution!$AF$55,"")</f>
        <v/>
      </c>
      <c r="W4" s="614" t="str">
        <f>IF('GPS Anthro Tool'!$B$2=2,(Solution!$AF$55+Solution!$AF$56),"")</f>
        <v/>
      </c>
      <c r="X4" s="570"/>
      <c r="Y4" s="604" t="str">
        <f>IF('GPS Anthro Tool'!$B$2=2,IF((Solution!$AF$42+Solution!$AF$43+Solution!$AF$44+Solution!$AF$47+Solution!$AF$49+Solution!$AF$51)=6,"Meets US Dummy Count","DNM US Dummy Count"),"")</f>
        <v/>
      </c>
      <c r="Z4" s="604" t="str">
        <f>IF('GPS Anthro Tool'!$B$2=2,IF((Solution!$AF$45+Solution!$AF$46+Solution!$AF$48+Solution!$AF$50)=4,"Meets EU Dummy Count","DNM EU Dummy Count"),"")</f>
        <v/>
      </c>
      <c r="AA4" s="606" t="str">
        <f>IF('GPS Anthro Tool'!$B$2=2,IF(SUM(L4:W4)=16,"Ready to Calculate Global Spec",""),"")</f>
        <v/>
      </c>
      <c r="AB4" s="608">
        <f t="shared" ref="AB4:AB9" si="1">SUM(L4:W4)</f>
        <v>0</v>
      </c>
      <c r="AE4" s="57"/>
      <c r="AF4" s="577" t="s">
        <v>495</v>
      </c>
      <c r="AG4" s="578">
        <f>'GPS Anthro Tool'!$B$5</f>
        <v>0</v>
      </c>
      <c r="AH4" s="542" t="s">
        <v>3550</v>
      </c>
      <c r="AI4" s="573"/>
    </row>
    <row r="5" spans="1:36" ht="72" customHeight="1" thickBot="1">
      <c r="A5" s="494">
        <v>3</v>
      </c>
      <c r="B5" s="497" t="s">
        <v>3476</v>
      </c>
      <c r="C5" s="624"/>
      <c r="D5" s="489" t="str">
        <f>IF('GPS Anthro Tool'!B65=1,"READY","")</f>
        <v/>
      </c>
      <c r="E5" s="580" t="str">
        <f t="shared" si="0"/>
        <v/>
      </c>
      <c r="F5" s="581" t="str">
        <f>IF(D5="READY",IF('GPS Anthro Tool'!$B$93=1,"CAUTION Tool Settings Changed",""),"")</f>
        <v/>
      </c>
      <c r="G5" s="604" t="str">
        <f>IF('GPS Anthro Tool'!$B$2=3,IF((Solution!$AF$42+Solution!$AF$43+Solution!$AF$44+Solution!$AF$47+Solution!$AF$49+Solution!$AF$51+Solution!$AF$53+Solution!$AF$54+Solution!$AF$55)=9,1,0),"")</f>
        <v/>
      </c>
      <c r="H5" s="604" t="str">
        <f>IF('GPS Anthro Tool'!$B$2=3,IF((Solution!$AF$45+Solution!$AF$46+Solution!$AF$48+Solution!$AF$50+Solution!$AF$52+Solution!$AF$56)=6,1,0),"")</f>
        <v/>
      </c>
      <c r="I5" s="542" t="s">
        <v>3509</v>
      </c>
      <c r="J5" s="569">
        <v>3</v>
      </c>
      <c r="K5" s="541" t="s">
        <v>3476</v>
      </c>
      <c r="L5" s="589" t="str">
        <f>IF('GPS Anthro Tool'!$B$2=3,(Solution!$AF$42+Solution!$AF$43+Solution!$AF$44+Solution!$AF$45),"")</f>
        <v/>
      </c>
      <c r="M5" s="594" t="str">
        <f>IF('GPS Anthro Tool'!$B$2=3,(Solution!$AF$47+Solution!$AF$46),"")</f>
        <v/>
      </c>
      <c r="N5" s="588" t="str">
        <f>IF('GPS Anthro Tool'!$B$2=3,(Solution!$AF$48+Solution!$AF$49),"")</f>
        <v/>
      </c>
      <c r="O5" s="602" t="str">
        <f>IF('GPS Anthro Tool'!$B$2=3,(Solution!$AF$50+Solution!$AF$51),"")</f>
        <v/>
      </c>
      <c r="P5" s="613" t="str">
        <f>IF('GPS Anthro Tool'!$B$2=3,(Solution!$AF$47+Solution!$AF$46),"")</f>
        <v/>
      </c>
      <c r="Q5" s="590" t="str">
        <f>IF('GPS Anthro Tool'!$B$2=3,(Solution!$AF$48+Solution!$AF$49),"")</f>
        <v/>
      </c>
      <c r="R5" s="591" t="str">
        <f>IF('GPS Anthro Tool'!$B$2=3,(Solution!$AF$50+Solution!$AF$51),"")</f>
        <v/>
      </c>
      <c r="S5" s="590" t="str">
        <f>IF('GPS Anthro Tool'!$B$2=3,(Solution!$AF$52+Solution!$AF$53),"")</f>
        <v/>
      </c>
      <c r="T5" s="590" t="str">
        <f>IF('GPS Anthro Tool'!$B$2=3,Solution!$AF$55,"")</f>
        <v/>
      </c>
      <c r="U5" s="592" t="str">
        <f>IF('GPS Anthro Tool'!$B$2=3,(Solution!$AF$52+Solution!$AF$53),"")</f>
        <v/>
      </c>
      <c r="V5" s="592" t="str">
        <f>IF('GPS Anthro Tool'!$B$2=3,Solution!$AF$55,"")</f>
        <v/>
      </c>
      <c r="W5" s="592" t="str">
        <f>IF('GPS Anthro Tool'!$B$2=3,(Solution!$AF$55+Solution!$AF$56),"")</f>
        <v/>
      </c>
      <c r="X5" s="570"/>
      <c r="Y5" s="604" t="str">
        <f>IF('GPS Anthro Tool'!$B$2=3,IF((Solution!$AF$42+Solution!$AF$43+Solution!$AF$44+Solution!$AF$47+Solution!$AF$49+Solution!$AF$51+Solution!$AF$53+Solution!$AF$54+Solution!$AF$55)=9,"Meets US Dummy Count","DNM US Dummy Count"),"")</f>
        <v/>
      </c>
      <c r="Z5" s="604" t="str">
        <f>IF('GPS Anthro Tool'!$B$2=3,IF((Solution!$AF$45+Solution!$AF$46+Solution!$AF$48+Solution!$AF$50+Solution!$AF$52+Solution!$AF$56)=5,"Meets EU Dummy Count","DNM EU Dummy Count"),"")</f>
        <v/>
      </c>
      <c r="AA5" s="606" t="str">
        <f>IF('GPS Anthro Tool'!$B$2=3,IF(SUM(L5:W5)=23,"Ready to Calculate Global Spec",""),"")</f>
        <v/>
      </c>
      <c r="AB5" s="608">
        <f>SUM(L5:W5)</f>
        <v>0</v>
      </c>
      <c r="AE5" s="57"/>
      <c r="AF5" s="577" t="s">
        <v>496</v>
      </c>
      <c r="AG5" s="579">
        <f>'GPS Anthro Tool'!$B$6</f>
        <v>0</v>
      </c>
      <c r="AH5" s="542" t="s">
        <v>3551</v>
      </c>
      <c r="AI5" s="573"/>
    </row>
    <row r="6" spans="1:36" ht="72" customHeight="1" thickBot="1">
      <c r="A6" s="494">
        <v>4</v>
      </c>
      <c r="B6" s="497" t="s">
        <v>3477</v>
      </c>
      <c r="C6" s="624"/>
      <c r="D6" s="489" t="str">
        <f>IF('GPS Anthro Tool'!B66=1,"READY","")</f>
        <v/>
      </c>
      <c r="E6" s="580" t="str">
        <f t="shared" si="0"/>
        <v/>
      </c>
      <c r="F6" s="581" t="str">
        <f>IF(D6="READY",IF('GPS Anthro Tool'!$B$93=1,"CAUTION Tool Settings Changed",""),"")</f>
        <v/>
      </c>
      <c r="G6" s="604" t="str">
        <f>IF('GPS Anthro Tool'!$B$2=4,IF((Solution!$AF$47+Solution!$AF$49+Solution!$AF$51+Solution!$AF$53+Solution!$AF$54+Solution!$AF$55)=6,1,0),"")</f>
        <v/>
      </c>
      <c r="H6" s="604" t="str">
        <f>IF('GPS Anthro Tool'!$B$2=4,IF((Solution!$AF$48+Solution!$AF$50+Solution!$AF$52+Solution!$AF$56)=4,1,0),"")</f>
        <v/>
      </c>
      <c r="I6" s="542" t="s">
        <v>3510</v>
      </c>
      <c r="J6" s="569">
        <v>4</v>
      </c>
      <c r="K6" s="541" t="s">
        <v>3485</v>
      </c>
      <c r="L6" s="614" t="str">
        <f>IF('GPS Anthro Tool'!$B$2=4,(Solution!$AF$42+Solution!$AF$43+Solution!$AF$44+Solution!$AF$45),"")</f>
        <v/>
      </c>
      <c r="M6" s="615" t="str">
        <f>IF('GPS Anthro Tool'!$B$2=4,(Solution!$AF$47+Solution!$AF$46),"")</f>
        <v/>
      </c>
      <c r="N6" s="616" t="str">
        <f>IF('GPS Anthro Tool'!$B$2=4,(Solution!$AF$48+Solution!$AF$49),"")</f>
        <v/>
      </c>
      <c r="O6" s="614" t="str">
        <f>IF('GPS Anthro Tool'!$B$2=4,(Solution!$AF$50+Solution!$AF$51),"")</f>
        <v/>
      </c>
      <c r="P6" s="601" t="str">
        <f>IF('GPS Anthro Tool'!$B$2=4,(Solution!$AF$47+Solution!$AF$46),"")</f>
        <v/>
      </c>
      <c r="Q6" s="590" t="str">
        <f>IF('GPS Anthro Tool'!$B$2=4,(Solution!$AF$48+Solution!$AF$49),"")</f>
        <v/>
      </c>
      <c r="R6" s="591" t="str">
        <f>IF('GPS Anthro Tool'!$B$2=4,(Solution!$AF$50+Solution!$AF$51),"")</f>
        <v/>
      </c>
      <c r="S6" s="590" t="str">
        <f>IF('GPS Anthro Tool'!$B$2=4,(Solution!$AF$52+Solution!$AF$53),"")</f>
        <v/>
      </c>
      <c r="T6" s="590" t="str">
        <f>IF('GPS Anthro Tool'!$B$2=4,Solution!$AF$55,"")</f>
        <v/>
      </c>
      <c r="U6" s="592" t="str">
        <f>IF('GPS Anthro Tool'!$B$2=4,(Solution!$AF$52+Solution!$AF$53),"")</f>
        <v/>
      </c>
      <c r="V6" s="592" t="str">
        <f>IF('GPS Anthro Tool'!$B$2=4,Solution!$AF$55,"")</f>
        <v/>
      </c>
      <c r="W6" s="592" t="str">
        <f>IF('GPS Anthro Tool'!$B$2=4,(Solution!$AF$55+Solution!$AF$56),"")</f>
        <v/>
      </c>
      <c r="X6" s="570"/>
      <c r="Y6" s="604" t="str">
        <f>IF('GPS Anthro Tool'!$B$2=4,IF((Solution!$AF$47+Solution!$AF$49+Solution!$AF$51+Solution!$AF$53+Solution!$AF$54+Solution!$AF$55)=6,"Meets US Dummy Count","DNM US Dummy Count"),"")</f>
        <v/>
      </c>
      <c r="Z6" s="604" t="str">
        <f>IF('GPS Anthro Tool'!$B$2=4,IF((Solution!$AF$48+Solution!$AF$50+Solution!$AF$52+Solution!$AF$56)=4,"Meets EU Dummy Count","DNM EU Dummy Count"),"")</f>
        <v/>
      </c>
      <c r="AA6" s="606" t="str">
        <f>IF('GPS Anthro Tool'!$B$2=4,IF(SUM(L6:W6)=18,"Ready to Calculate Global Spec",""),"")</f>
        <v/>
      </c>
      <c r="AB6" s="608">
        <f t="shared" si="1"/>
        <v>0</v>
      </c>
      <c r="AC6" s="576"/>
      <c r="AD6" s="576"/>
      <c r="AE6" s="571"/>
      <c r="AF6" s="577" t="s">
        <v>318</v>
      </c>
      <c r="AG6" s="595">
        <f>'GPS Anthro Tool'!$B$14</f>
        <v>75</v>
      </c>
      <c r="AH6" s="542" t="s">
        <v>3552</v>
      </c>
      <c r="AI6" s="582">
        <f>'GPS Anthro Tool'!$C$14</f>
        <v>29.527559055118111</v>
      </c>
    </row>
    <row r="7" spans="1:36" ht="72" customHeight="1" thickBot="1">
      <c r="A7" s="494">
        <v>5</v>
      </c>
      <c r="B7" s="497" t="s">
        <v>3478</v>
      </c>
      <c r="C7" s="624"/>
      <c r="D7" s="489" t="str">
        <f>IF('GPS Anthro Tool'!B67=1,"READY","")</f>
        <v/>
      </c>
      <c r="E7" s="580" t="str">
        <f t="shared" si="0"/>
        <v/>
      </c>
      <c r="F7" s="581" t="str">
        <f>IF(D7="READY",IF('GPS Anthro Tool'!$B$93=1,"CAUTION Tool Settings Changed",""),"")</f>
        <v/>
      </c>
      <c r="G7" s="604" t="str">
        <f>IF('GPS Anthro Tool'!$B$2=5,IF((Solution!$AF$47+Solution!$AF$49+Solution!$AF$51+Solution!$AF$53+Solution!$AF$54+Solution!$AF$55)=6,1,0),"")</f>
        <v/>
      </c>
      <c r="H7" s="604" t="str">
        <f>IF('GPS Anthro Tool'!$B$2=5,IF((Solution!$AF$48+Solution!$AF$50+Solution!$AF$52+Solution!$AF$56)=4,1,0),"")</f>
        <v/>
      </c>
      <c r="I7" s="542" t="s">
        <v>389</v>
      </c>
      <c r="J7" s="569">
        <v>5</v>
      </c>
      <c r="K7" s="541" t="s">
        <v>3478</v>
      </c>
      <c r="L7" s="614" t="str">
        <f>IF('GPS Anthro Tool'!$B$2=5,(Solution!$AF$42+Solution!$AF$43+Solution!$AF$44+Solution!$AF$45),"")</f>
        <v/>
      </c>
      <c r="M7" s="615" t="str">
        <f>IF('GPS Anthro Tool'!$B$2=5,(Solution!$AF$47+Solution!$AF$46),"")</f>
        <v/>
      </c>
      <c r="N7" s="616" t="str">
        <f>IF('GPS Anthro Tool'!$B$2=5,(Solution!$AF$48+Solution!$AF$49),"")</f>
        <v/>
      </c>
      <c r="O7" s="614" t="str">
        <f>IF('GPS Anthro Tool'!$B$2=5,(Solution!$AF$50+Solution!$AF$51),"")</f>
        <v/>
      </c>
      <c r="P7" s="601" t="str">
        <f>IF('GPS Anthro Tool'!$B$2=5,(Solution!$AF$47+Solution!$AF$46),"")</f>
        <v/>
      </c>
      <c r="Q7" s="590" t="str">
        <f>IF('GPS Anthro Tool'!$B$2=5,(Solution!$AF$48+Solution!$AF$49),"")</f>
        <v/>
      </c>
      <c r="R7" s="591" t="str">
        <f>IF('GPS Anthro Tool'!$B$2=5,(Solution!$AF$50+Solution!$AF$51),"")</f>
        <v/>
      </c>
      <c r="S7" s="590" t="str">
        <f>IF('GPS Anthro Tool'!$B$2=5,(Solution!$AF$52+Solution!$AF$53),"")</f>
        <v/>
      </c>
      <c r="T7" s="590" t="str">
        <f>IF('GPS Anthro Tool'!$B$2=5,Solution!$AF$55,"")</f>
        <v/>
      </c>
      <c r="U7" s="592" t="str">
        <f>IF('GPS Anthro Tool'!$B$2=5,(Solution!$AF$52+Solution!$AF$53),"")</f>
        <v/>
      </c>
      <c r="V7" s="592" t="str">
        <f>IF('GPS Anthro Tool'!$B$2=5,Solution!$AF$55,"")</f>
        <v/>
      </c>
      <c r="W7" s="592" t="str">
        <f>IF('GPS Anthro Tool'!$B$2=5,(Solution!$AF$55+Solution!$AF$56),"")</f>
        <v/>
      </c>
      <c r="X7" s="570"/>
      <c r="Y7" s="604" t="str">
        <f>IF('GPS Anthro Tool'!$B$2=5,IF((Solution!$AF$47+Solution!$AF$49+Solution!$AF$51+Solution!$AF$53+Solution!$AF$54+Solution!$AF$55)=6,"Meets US Dummy Count","DNM US Dummy Count"),"")</f>
        <v/>
      </c>
      <c r="Z7" s="604" t="str">
        <f>IF('GPS Anthro Tool'!$B$2=5,IF((Solution!$AF$48+Solution!$AF$50+Solution!$AF$52+Solution!$AF$56)=4,"Meets EU Dummy Count","DNM EU Dummy Count"),"")</f>
        <v/>
      </c>
      <c r="AA7" s="606" t="str">
        <f>IF('GPS Anthro Tool'!$B$2=5,IF(SUM(L7:W7)=18,"Ready to Calculate Global Spec",""),"")</f>
        <v/>
      </c>
      <c r="AB7" s="608">
        <f t="shared" si="1"/>
        <v>0</v>
      </c>
      <c r="AC7" s="571"/>
      <c r="AD7" s="576"/>
      <c r="AE7" s="576"/>
      <c r="AF7" s="577" t="s">
        <v>319</v>
      </c>
      <c r="AG7" s="595">
        <f>'GPS Anthro Tool'!$B$15</f>
        <v>0</v>
      </c>
      <c r="AH7" s="542" t="s">
        <v>3553</v>
      </c>
      <c r="AI7" s="582">
        <f>'GPS Anthro Tool'!$C$15</f>
        <v>0</v>
      </c>
    </row>
    <row r="8" spans="1:36" ht="72" customHeight="1" thickBot="1">
      <c r="A8" s="494">
        <v>6</v>
      </c>
      <c r="B8" s="497" t="s">
        <v>3479</v>
      </c>
      <c r="C8" s="624"/>
      <c r="D8" s="489" t="str">
        <f>IF('GPS Anthro Tool'!B68=1,"READY","")</f>
        <v/>
      </c>
      <c r="E8" s="580" t="str">
        <f t="shared" si="0"/>
        <v/>
      </c>
      <c r="F8" s="581" t="str">
        <f>IF(D8="READY",IF('GPS Anthro Tool'!$B$93=1,"CAUTION Tool Settings Changed",""),"")</f>
        <v/>
      </c>
      <c r="G8" s="604" t="str">
        <f>IF('GPS Anthro Tool'!$B$2=6,IF((Solution!$AF$42+Solution!$AF$43+Solution!$AF$44+Solution!$AF$47+Solution!$AF$49+Solution!$AF$51+Solution!$AF$53+Solution!$AF$54+Solution!$AF$55+Solution!$AF$57)=0,"Meets US ZERO Count Test",0),"")</f>
        <v/>
      </c>
      <c r="H8" s="604" t="str">
        <f>IF('GPS Anthro Tool'!$B$2=6,IF((Solution!$AF$48+Solution!$AF$50+Solution!$AF$52)=3,1,0),"")</f>
        <v/>
      </c>
      <c r="I8" s="542" t="s">
        <v>570</v>
      </c>
      <c r="J8" s="569">
        <v>6</v>
      </c>
      <c r="K8" s="541" t="s">
        <v>3479</v>
      </c>
      <c r="L8" s="617" t="str">
        <f>IF('GPS Anthro Tool'!$B$2=6,(Solution!$AF$42+Solution!$AF$43+Solution!$AF$44+Solution!$AF$45),"")</f>
        <v/>
      </c>
      <c r="M8" s="618" t="str">
        <f>IF('GPS Anthro Tool'!$B$2=6,(Solution!$AF$47+Solution!$AF$46),"")</f>
        <v/>
      </c>
      <c r="N8" s="616" t="str">
        <f>IF('GPS Anthro Tool'!$B$2=6,(Solution!$AF$48+Solution!$AF$49),"")</f>
        <v/>
      </c>
      <c r="O8" s="614" t="str">
        <f>IF('GPS Anthro Tool'!$B$2=6,(Solution!$AF$50+Solution!$AF$51),"")</f>
        <v/>
      </c>
      <c r="P8" s="614" t="str">
        <f>IF('GPS Anthro Tool'!$B$2=6,(Solution!$AF$47+Solution!$AF$46),"")</f>
        <v/>
      </c>
      <c r="Q8" s="590" t="str">
        <f>IF('GPS Anthro Tool'!$B$2=6,(Solution!$AF$48+Solution!$AF$49),"")</f>
        <v/>
      </c>
      <c r="R8" s="591" t="str">
        <f>IF('GPS Anthro Tool'!$B$2=6,(Solution!$AF$50+Solution!$AF$51),"")</f>
        <v/>
      </c>
      <c r="S8" s="590" t="str">
        <f>IF('GPS Anthro Tool'!$B$2=6,(Solution!$AF$52+Solution!$AF$53),"")</f>
        <v/>
      </c>
      <c r="T8" s="614" t="str">
        <f>IF('GPS Anthro Tool'!$B$2=6,Solution!$AF$55,"")</f>
        <v/>
      </c>
      <c r="U8" s="614" t="str">
        <f>IF('GPS Anthro Tool'!$B$2=6,(Solution!$AF$52+Solution!$AF$53),"")</f>
        <v/>
      </c>
      <c r="V8" s="614" t="str">
        <f>IF('GPS Anthro Tool'!$B$2=6,Solution!$AF$55,"")</f>
        <v/>
      </c>
      <c r="W8" s="614" t="str">
        <f>IF('GPS Anthro Tool'!$B$2=6,(Solution!$AF$55+Solution!$AF$56),"")</f>
        <v/>
      </c>
      <c r="X8" s="570"/>
      <c r="Y8" s="607" t="str">
        <f>IF('GPS Anthro Tool'!$B$2=6,IF((Solution!$AF$42+Solution!$AF$43+Solution!$AF$44+Solution!$AF$47+Solution!$AF$49+Solution!$AF$51+Solution!$AF$53+Solution!$AF$54+Solution!$AF$55+Solution!$AF$57)=0,"Meets US ZERO Dummy Count","DNM US Dummy Count"),"")</f>
        <v/>
      </c>
      <c r="Z8" s="604" t="str">
        <f>IF('GPS Anthro Tool'!$B$2=6,IF((Solution!$AF$48+Solution!$AF$50+Solution!$AF$52)=3,"Meets EU Dummy Count","DNM EU Dummy Count"),"")</f>
        <v/>
      </c>
      <c r="AA8" s="606" t="str">
        <f>IF('GPS Anthro Tool'!$B$2=6,IF(SUM(L8:W8)=6,"Ready to Calculate Global Spec",""),"")</f>
        <v/>
      </c>
      <c r="AB8" s="608">
        <f t="shared" si="1"/>
        <v>0</v>
      </c>
      <c r="AC8" s="571"/>
      <c r="AD8" s="576"/>
      <c r="AE8" s="576"/>
      <c r="AF8" s="577" t="s">
        <v>364</v>
      </c>
      <c r="AG8" s="595">
        <f>'GPS Anthro Tool'!$B$16</f>
        <v>10</v>
      </c>
      <c r="AH8" s="542" t="s">
        <v>3554</v>
      </c>
      <c r="AI8" s="582">
        <f>'GPS Anthro Tool'!$C$16</f>
        <v>22.046199999999999</v>
      </c>
    </row>
    <row r="9" spans="1:36" ht="72" customHeight="1" thickBot="1">
      <c r="A9" s="494">
        <v>7</v>
      </c>
      <c r="B9" s="497" t="s">
        <v>3561</v>
      </c>
      <c r="C9" s="624"/>
      <c r="D9" s="489" t="str">
        <f>IF('GPS Anthro Tool'!B69=1,"READY","")</f>
        <v/>
      </c>
      <c r="E9" s="580" t="str">
        <f t="shared" si="0"/>
        <v/>
      </c>
      <c r="F9" s="581" t="str">
        <f>IF(D9="READY",IF('GPS Anthro Tool'!$B$93=1,"CAUTION Tool Settings Changed",""),"")</f>
        <v/>
      </c>
      <c r="G9" s="604" t="str">
        <f>IF('GPS Anthro Tool'!$B$2=7,IF((Solution!$AF$47+Solution!$AF$49+Solution!$AF$51+Solution!$AF$53+Solution!$AF$54+Solution!$AF$55)=6,1,0),"")</f>
        <v/>
      </c>
      <c r="H9" s="604" t="str">
        <f>IF('GPS Anthro Tool'!$B$2=7,IF((Solution!$AF$48+Solution!$AF$50+Solution!$AF$52+Solution!$AF$56)=4,1,0),"")</f>
        <v/>
      </c>
      <c r="I9" s="542" t="s">
        <v>313</v>
      </c>
      <c r="J9" s="569">
        <v>7</v>
      </c>
      <c r="K9" s="541" t="s">
        <v>3561</v>
      </c>
      <c r="L9" s="614" t="str">
        <f>IF('GPS Anthro Tool'!$B$2=7,(Solution!$AF$42+Solution!$AF$43+Solution!$AF$44+Solution!$AF$45),"")</f>
        <v/>
      </c>
      <c r="M9" s="615" t="str">
        <f>IF('GPS Anthro Tool'!$B$2=7,(Solution!$AF$47+Solution!$AF$46),"")</f>
        <v/>
      </c>
      <c r="N9" s="616" t="str">
        <f>IF('GPS Anthro Tool'!$B$2=7,(Solution!$AF$48+Solution!$AF$49),"")</f>
        <v/>
      </c>
      <c r="O9" s="614" t="str">
        <f>IF('GPS Anthro Tool'!$B$2=7,(Solution!$AF$50+Solution!$AF$51),"")</f>
        <v/>
      </c>
      <c r="P9" s="601" t="str">
        <f>IF('GPS Anthro Tool'!$B$2=7,(Solution!$AF$47+Solution!$AF$46),"")</f>
        <v/>
      </c>
      <c r="Q9" s="590" t="str">
        <f>IF('GPS Anthro Tool'!$B$2=7,(Solution!$AF$48+Solution!$AF$49),"")</f>
        <v/>
      </c>
      <c r="R9" s="591" t="str">
        <f>IF('GPS Anthro Tool'!$B$2=7,(Solution!$AF$50+Solution!$AF$51),"")</f>
        <v/>
      </c>
      <c r="S9" s="590" t="str">
        <f>IF('GPS Anthro Tool'!$B$2=7,(Solution!$AF$52+Solution!$AF$53),"")</f>
        <v/>
      </c>
      <c r="T9" s="590" t="str">
        <f>IF('GPS Anthro Tool'!$B$2=7,Solution!$AF$55,"")</f>
        <v/>
      </c>
      <c r="U9" s="592" t="str">
        <f>IF('GPS Anthro Tool'!$B$2=7,(Solution!$AF$52+Solution!$AF$53),"")</f>
        <v/>
      </c>
      <c r="V9" s="592" t="str">
        <f>IF('GPS Anthro Tool'!$B$2=7,Solution!$AF$55,"")</f>
        <v/>
      </c>
      <c r="W9" s="592" t="str">
        <f>IF('GPS Anthro Tool'!$B$2=7,(Solution!$AF$55+Solution!$AF$56),"")</f>
        <v/>
      </c>
      <c r="X9" s="570"/>
      <c r="Y9" s="604" t="str">
        <f>IF('GPS Anthro Tool'!$B$2=7,IF((Solution!$AF$47+Solution!$AF$49+Solution!$AF$51+Solution!$AF$53+Solution!$AF$54+Solution!$AF$55)=6,"Meets US Dummy Count","DNM US Dummy Count"),"")</f>
        <v/>
      </c>
      <c r="Z9" s="604" t="str">
        <f>IF('GPS Anthro Tool'!$B$2=7,IF((Solution!$AF$48+Solution!$AF$50+Solution!$AF$52+Solution!$AF$56)=4,"Meets EU Dummy Count","DNM EU Dummy Count"),"")</f>
        <v/>
      </c>
      <c r="AA9" s="606" t="str">
        <f>IF('GPS Anthro Tool'!$B$2=7,IF(SUM(L9:W9)=18,"Ready to Calculate Global Spec",""),"")</f>
        <v/>
      </c>
      <c r="AB9" s="608">
        <f t="shared" si="1"/>
        <v>0</v>
      </c>
      <c r="AC9" s="571"/>
      <c r="AD9" s="576"/>
      <c r="AE9" s="576"/>
      <c r="AF9" s="577" t="s">
        <v>365</v>
      </c>
      <c r="AG9" s="595">
        <f>'GPS Anthro Tool'!B17</f>
        <v>0</v>
      </c>
      <c r="AH9" s="542" t="s">
        <v>3555</v>
      </c>
      <c r="AI9" s="582">
        <f>'GPS Anthro Tool'!$C$17</f>
        <v>0</v>
      </c>
    </row>
    <row r="10" spans="1:36" ht="72" customHeight="1" thickBot="1">
      <c r="A10" s="494">
        <v>8</v>
      </c>
      <c r="B10" s="497" t="s">
        <v>3472</v>
      </c>
      <c r="C10" s="624"/>
      <c r="D10" s="489" t="str">
        <f>IF('GPS Anthro Tool'!B70=1,"READY","")</f>
        <v/>
      </c>
      <c r="E10" s="580" t="str">
        <f t="shared" si="0"/>
        <v/>
      </c>
      <c r="F10" s="581" t="str">
        <f>IF(D10="READY",IF('GPS Anthro Tool'!$B$93=1,"CAUTION Tool Settings Changed",""),"")</f>
        <v/>
      </c>
      <c r="I10" s="542" t="s">
        <v>389</v>
      </c>
      <c r="J10" s="569">
        <v>8</v>
      </c>
      <c r="K10" s="541" t="s">
        <v>3472</v>
      </c>
      <c r="L10" s="609"/>
      <c r="M10" s="610"/>
      <c r="N10" s="611"/>
      <c r="O10" s="609"/>
      <c r="P10" s="609"/>
      <c r="Q10" s="609"/>
      <c r="R10" s="609"/>
      <c r="S10" s="609"/>
      <c r="T10" s="609"/>
      <c r="U10" s="609"/>
      <c r="V10" s="609"/>
      <c r="W10" s="609"/>
      <c r="X10" s="593"/>
      <c r="AA10" s="593"/>
      <c r="AB10" s="593"/>
      <c r="AC10" s="593"/>
      <c r="AF10" s="621"/>
      <c r="AG10" s="621"/>
      <c r="AH10" s="621"/>
    </row>
    <row r="11" spans="1:36" ht="72" customHeight="1" thickBot="1">
      <c r="A11" s="494">
        <v>9</v>
      </c>
      <c r="B11" s="497" t="s">
        <v>3473</v>
      </c>
      <c r="C11" s="624"/>
      <c r="D11" s="489" t="str">
        <f>IF('GPS Anthro Tool'!B71=1,"READY","")</f>
        <v/>
      </c>
      <c r="E11" s="580" t="str">
        <f t="shared" si="0"/>
        <v/>
      </c>
      <c r="F11" s="581" t="str">
        <f>IF(D11="READY",IF('GPS Anthro Tool'!$B$93=1,"CAUTION Tool Settings Changed",""),"")</f>
        <v/>
      </c>
      <c r="I11" s="542" t="s">
        <v>389</v>
      </c>
      <c r="J11" s="569">
        <v>9</v>
      </c>
      <c r="K11" s="541" t="s">
        <v>3473</v>
      </c>
      <c r="L11" s="609"/>
      <c r="M11" s="610"/>
      <c r="N11" s="611"/>
      <c r="O11" s="609"/>
      <c r="P11" s="609"/>
      <c r="Q11" s="609"/>
      <c r="R11" s="609"/>
      <c r="S11" s="609"/>
      <c r="T11" s="609"/>
      <c r="U11" s="609"/>
      <c r="V11" s="609"/>
      <c r="W11" s="609"/>
      <c r="X11" s="593"/>
      <c r="AA11" s="593"/>
      <c r="AB11" s="593"/>
      <c r="AC11" s="593"/>
      <c r="AF11" s="621"/>
      <c r="AG11" s="621"/>
      <c r="AH11" s="621"/>
    </row>
    <row r="12" spans="1:36" ht="72" customHeight="1" thickBot="1">
      <c r="A12" s="494">
        <v>10</v>
      </c>
      <c r="B12" s="498" t="s">
        <v>3480</v>
      </c>
      <c r="C12" s="624"/>
      <c r="D12" s="596" t="str">
        <f>IF('GPS Anthro Tool'!B72=1,"READY","")</f>
        <v/>
      </c>
      <c r="E12" s="597" t="str">
        <f t="shared" si="0"/>
        <v/>
      </c>
      <c r="F12" s="598" t="str">
        <f>IF(D12="READY",IF('GPS Anthro Tool'!$B$93=1,"CAUTION Tool Settings Changed",""),"")</f>
        <v/>
      </c>
      <c r="G12" s="80"/>
      <c r="H12" s="80"/>
      <c r="I12" s="605" t="str">
        <f>IF('Easy Buttons'!D12="READY","CUSTOM SAVED SETTINGS","")</f>
        <v/>
      </c>
      <c r="J12" s="605"/>
      <c r="K12" s="605"/>
      <c r="L12" s="589">
        <f>(Solution!$AF$42+Solution!$AF$43+Solution!$AF$44+Solution!$AF$45)</f>
        <v>3</v>
      </c>
      <c r="M12" s="594">
        <f>(Solution!$AF$47+Solution!$AF$46)</f>
        <v>1</v>
      </c>
      <c r="N12" s="588">
        <f>(Solution!$AF$48+Solution!$AF$49)</f>
        <v>1</v>
      </c>
      <c r="O12" s="602">
        <f>(Solution!$AF$50+Solution!$AF$51)</f>
        <v>0</v>
      </c>
      <c r="P12" s="601">
        <f>(Solution!$AF$47+Solution!$AF$46)</f>
        <v>1</v>
      </c>
      <c r="Q12" s="590">
        <f>(Solution!$AF$48+Solution!$AF$49)</f>
        <v>1</v>
      </c>
      <c r="R12" s="591">
        <f>(Solution!$AF$50+Solution!$AF$51)</f>
        <v>0</v>
      </c>
      <c r="S12" s="590">
        <f>(Solution!$AF$52+Solution!$AF$53)</f>
        <v>0</v>
      </c>
      <c r="T12" s="590">
        <f>Solution!$AF$55</f>
        <v>0</v>
      </c>
      <c r="U12" s="592">
        <f>(Solution!$AF$52+Solution!$AF$53)</f>
        <v>0</v>
      </c>
      <c r="V12" s="592">
        <f>Solution!$AF$55</f>
        <v>0</v>
      </c>
      <c r="W12" s="592">
        <f>(Solution!$AF$55+Solution!$AF$56)</f>
        <v>0</v>
      </c>
      <c r="AF12" s="621"/>
      <c r="AG12" s="621"/>
      <c r="AH12" s="621"/>
    </row>
    <row r="13" spans="1:36">
      <c r="C13" s="625"/>
    </row>
    <row r="16" spans="1:36" ht="93.6" customHeight="1">
      <c r="S16" s="583"/>
      <c r="T16" s="583"/>
      <c r="U16" s="583"/>
      <c r="V16" s="583"/>
      <c r="W16" s="583"/>
    </row>
    <row r="17" spans="21:21">
      <c r="U17" s="42"/>
    </row>
  </sheetData>
  <mergeCells count="2">
    <mergeCell ref="B1:C1"/>
    <mergeCell ref="B2:C2"/>
  </mergeCells>
  <phoneticPr fontId="104" type="noConversion"/>
  <conditionalFormatting sqref="D3:D12">
    <cfRule type="containsText" dxfId="285" priority="56" operator="containsText" text="READY">
      <formula>NOT(ISERROR(SEARCH("READY",D3)))</formula>
    </cfRule>
  </conditionalFormatting>
  <conditionalFormatting sqref="E3:E12">
    <cfRule type="containsText" dxfId="284" priority="54" operator="containsText" text="Press Home Button">
      <formula>NOT(ISERROR(SEARCH("Press Home Button",E3)))</formula>
    </cfRule>
  </conditionalFormatting>
  <conditionalFormatting sqref="F3:F12">
    <cfRule type="containsText" dxfId="283" priority="53" operator="containsText" text="CHANGED">
      <formula>NOT(ISERROR(SEARCH("CHANGED",F3)))</formula>
    </cfRule>
  </conditionalFormatting>
  <conditionalFormatting sqref="G3:H7 G9:H9 H8">
    <cfRule type="containsText" dxfId="282" priority="20" operator="containsText" text="Meets US Count Test">
      <formula>NOT(ISERROR(SEARCH("Meets US Count Test",G3)))</formula>
    </cfRule>
    <cfRule type="containsText" dxfId="281" priority="21" operator="containsText" text="Meets EU Count Test">
      <formula>NOT(ISERROR(SEARCH("Meets EU Count Test",G3)))</formula>
    </cfRule>
    <cfRule type="containsText" dxfId="280" priority="22" operator="containsText" text="DNM Global">
      <formula>NOT(ISERROR(SEARCH("DNM Global",G3)))</formula>
    </cfRule>
    <cfRule type="containsText" dxfId="279" priority="23" operator="containsText" text="Meets Global">
      <formula>NOT(ISERROR(SEARCH("Meets Global",G3)))</formula>
    </cfRule>
  </conditionalFormatting>
  <conditionalFormatting sqref="G8">
    <cfRule type="containsText" dxfId="278" priority="6" operator="containsText" text="Meets US Count Test">
      <formula>NOT(ISERROR(SEARCH("Meets US Count Test",G8)))</formula>
    </cfRule>
    <cfRule type="containsText" dxfId="277" priority="7" operator="containsText" text="Meets EU Count Test">
      <formula>NOT(ISERROR(SEARCH("Meets EU Count Test",G8)))</formula>
    </cfRule>
    <cfRule type="containsText" dxfId="276" priority="8" operator="containsText" text="DNM Global">
      <formula>NOT(ISERROR(SEARCH("DNM Global",G8)))</formula>
    </cfRule>
    <cfRule type="containsText" dxfId="275" priority="9" operator="containsText" text="Meets Global">
      <formula>NOT(ISERROR(SEARCH("Meets Global",G8)))</formula>
    </cfRule>
  </conditionalFormatting>
  <conditionalFormatting sqref="G8">
    <cfRule type="containsText" dxfId="274" priority="4" operator="containsText" text="Meets US ZERO Count Test">
      <formula>NOT(ISERROR(SEARCH("Meets US ZERO Count Test",G8)))</formula>
    </cfRule>
    <cfRule type="colorScale" priority="5">
      <colorScale>
        <cfvo type="min"/>
        <cfvo type="percentile" val="50"/>
        <cfvo type="max"/>
        <color rgb="FFF8696B"/>
        <color rgb="FFFFEB84"/>
        <color rgb="FF63BE7B"/>
      </colorScale>
    </cfRule>
  </conditionalFormatting>
  <conditionalFormatting sqref="Y3:Z9">
    <cfRule type="containsText" dxfId="273" priority="2" operator="containsText" text="DNM">
      <formula>NOT(ISERROR(SEARCH("DNM",Y3)))</formula>
    </cfRule>
    <cfRule type="containsText" dxfId="272" priority="3" operator="containsText" text="Meets">
      <formula>NOT(ISERROR(SEARCH("Meets",Y3)))</formula>
    </cfRule>
  </conditionalFormatting>
  <conditionalFormatting sqref="AA3:AA9">
    <cfRule type="containsText" dxfId="271" priority="1" operator="containsText" text="Ready to Calculate Global Spec">
      <formula>NOT(ISERROR(SEARCH("Ready to Calculate Global Spec",AA3)))</formula>
    </cfRule>
  </conditionalFormatting>
  <pageMargins left="0.7" right="0.7" top="0.75" bottom="0.75" header="0.3" footer="0.3"/>
  <pageSetup paperSize="3"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filterMode="1">
    <tabColor theme="7" tint="0.59999389629810485"/>
  </sheetPr>
  <dimension ref="A1:T1734"/>
  <sheetViews>
    <sheetView showGridLines="0" tabSelected="1" zoomScale="75" zoomScaleNormal="75" workbookViewId="0">
      <pane ySplit="9" topLeftCell="A1292" activePane="bottomLeft" state="frozen"/>
      <selection pane="bottomLeft" activeCell="D1" sqref="D1:I2"/>
    </sheetView>
  </sheetViews>
  <sheetFormatPr defaultColWidth="12.5703125" defaultRowHeight="15"/>
  <cols>
    <col min="1" max="1" width="2.7109375" style="335" customWidth="1"/>
    <col min="2" max="2" width="16.140625" style="335" customWidth="1"/>
    <col min="3" max="3" width="25" style="356" customWidth="1"/>
    <col min="4" max="4" width="27.140625" style="341" customWidth="1"/>
    <col min="5" max="5" width="17.28515625" style="677" customWidth="1"/>
    <col min="6" max="6" width="16.42578125" style="335" customWidth="1"/>
    <col min="7" max="7" width="31.5703125" style="335" customWidth="1"/>
    <col min="8" max="9" width="45.140625" style="342" customWidth="1"/>
    <col min="10" max="10" width="22.85546875" style="344" customWidth="1"/>
    <col min="11" max="14" width="5.140625" style="335" customWidth="1"/>
    <col min="15" max="15" width="1.85546875" style="343" customWidth="1"/>
    <col min="16" max="19" width="6.28515625" style="335" customWidth="1"/>
    <col min="20" max="20" width="6" style="335" customWidth="1"/>
    <col min="21" max="16384" width="12.5703125" style="335"/>
  </cols>
  <sheetData>
    <row r="1" spans="1:20" ht="36">
      <c r="B1" s="333"/>
      <c r="C1" s="629"/>
      <c r="D1" s="760" t="s">
        <v>4326</v>
      </c>
      <c r="E1" s="761"/>
      <c r="F1" s="761"/>
      <c r="G1" s="761"/>
      <c r="H1" s="761"/>
      <c r="I1" s="762"/>
      <c r="J1" s="766"/>
      <c r="K1" s="334"/>
      <c r="L1" s="769" t="s">
        <v>578</v>
      </c>
      <c r="M1" s="769"/>
      <c r="N1" s="769"/>
      <c r="O1" s="769"/>
      <c r="P1" s="770" t="s">
        <v>3437</v>
      </c>
      <c r="Q1" s="770"/>
      <c r="R1" s="770"/>
      <c r="S1" s="770"/>
      <c r="T1" s="770"/>
    </row>
    <row r="2" spans="1:20" ht="36">
      <c r="B2" s="336"/>
      <c r="C2" s="630"/>
      <c r="D2" s="763"/>
      <c r="E2" s="764"/>
      <c r="F2" s="764"/>
      <c r="G2" s="764"/>
      <c r="H2" s="764"/>
      <c r="I2" s="765"/>
      <c r="J2" s="767"/>
      <c r="K2" s="337"/>
      <c r="L2" s="769" t="s">
        <v>579</v>
      </c>
      <c r="M2" s="769"/>
      <c r="N2" s="769"/>
      <c r="O2" s="769"/>
      <c r="P2" s="771">
        <v>43404</v>
      </c>
      <c r="Q2" s="772"/>
      <c r="R2" s="772"/>
      <c r="S2" s="772"/>
      <c r="T2" s="772"/>
    </row>
    <row r="3" spans="1:20" ht="36">
      <c r="B3" s="631" t="str">
        <f>IF('GPS Anthro Tool'!$B$93=1,"CAUTION Tool Settings Change Detected","")</f>
        <v>CAUTION Tool Settings Change Detected</v>
      </c>
      <c r="C3" s="630"/>
      <c r="D3" s="774" t="s">
        <v>3475</v>
      </c>
      <c r="E3" s="757" t="s">
        <v>3439</v>
      </c>
      <c r="F3" s="758"/>
      <c r="G3" s="758"/>
      <c r="H3" s="758"/>
      <c r="I3" s="759"/>
      <c r="J3" s="767"/>
      <c r="K3" s="337"/>
      <c r="L3" s="769" t="s">
        <v>580</v>
      </c>
      <c r="M3" s="769"/>
      <c r="N3" s="769"/>
      <c r="O3" s="769"/>
      <c r="P3" s="773" t="s">
        <v>3436</v>
      </c>
      <c r="Q3" s="773"/>
      <c r="R3" s="773"/>
      <c r="S3" s="773"/>
      <c r="T3" s="773"/>
    </row>
    <row r="4" spans="1:20" ht="36">
      <c r="B4" s="336"/>
      <c r="C4" s="630"/>
      <c r="D4" s="775"/>
      <c r="E4" s="777" t="str">
        <f>IF(SUM('GPS Anthro Tool'!$B$4:$B$6)=3,"Global Specification Selected","Regional Specification Selected")</f>
        <v>Regional Specification Selected</v>
      </c>
      <c r="F4" s="778"/>
      <c r="G4" s="778"/>
      <c r="H4" s="778"/>
      <c r="I4" s="779"/>
      <c r="J4" s="767"/>
      <c r="K4" s="337"/>
      <c r="L4" s="769" t="s">
        <v>581</v>
      </c>
      <c r="M4" s="769"/>
      <c r="N4" s="769"/>
      <c r="O4" s="769"/>
      <c r="P4" s="771">
        <v>43425</v>
      </c>
      <c r="Q4" s="772"/>
      <c r="R4" s="772"/>
      <c r="S4" s="772"/>
      <c r="T4" s="772"/>
    </row>
    <row r="5" spans="1:20" ht="36">
      <c r="B5" s="620" t="s">
        <v>3565</v>
      </c>
      <c r="C5" s="632" t="s">
        <v>3566</v>
      </c>
      <c r="D5" s="338" t="s">
        <v>582</v>
      </c>
      <c r="E5" s="776" t="str">
        <f>IF('GPS Anthro Tool'!$B$7="000","None",IF('GPS Anthro Tool'!$B$7="001","For China",IF('GPS Anthro Tool'!$B$7="010","For European Union",IF('GPS Anthro Tool'!$B$7="011","For European Union AND For China",IF('GPS Anthro Tool'!$B$7="100","For United States",IF('GPS Anthro Tool'!$B$7="101","For United States AND For China",IF('GPS Anthro Tool'!$B$7="110","For European Union AND For United States",IF('GPS Anthro Tool'!$B$7="111","For All Major Global Regions","ERROR-Check Reigons Check Boxes"))))))))</f>
        <v>For United States</v>
      </c>
      <c r="F5" s="776"/>
      <c r="G5" s="776"/>
      <c r="H5" s="776"/>
      <c r="I5" s="776"/>
      <c r="J5" s="768"/>
      <c r="K5" s="339"/>
      <c r="L5" s="769" t="s">
        <v>583</v>
      </c>
      <c r="M5" s="769"/>
      <c r="N5" s="769"/>
      <c r="O5" s="769"/>
      <c r="P5" s="773" t="s">
        <v>3436</v>
      </c>
      <c r="Q5" s="773"/>
      <c r="R5" s="773"/>
      <c r="S5" s="773"/>
      <c r="T5" s="773"/>
    </row>
    <row r="6" spans="1:20">
      <c r="C6" s="340"/>
      <c r="H6" s="335"/>
      <c r="J6" s="335"/>
    </row>
    <row r="7" spans="1:20" ht="15.75">
      <c r="B7" s="626" t="str">
        <f>IF('GPS Anthro Tool'!$B$4=1,"US Included","US Excluded")</f>
        <v>US Included</v>
      </c>
      <c r="C7" s="627" t="str">
        <f>IF('GPS Anthro Tool'!$B$5=1,"EU Included","EU Excluded")</f>
        <v>EU Excluded</v>
      </c>
      <c r="D7" s="628" t="str">
        <f>IF('GPS Anthro Tool'!$B$6=1,"CH Included","CH Excluded")</f>
        <v>CH Excluded</v>
      </c>
      <c r="F7" s="335" t="s">
        <v>4314</v>
      </c>
      <c r="G7" s="340" t="s">
        <v>4318</v>
      </c>
    </row>
    <row r="8" spans="1:20">
      <c r="C8" s="340"/>
      <c r="H8" s="335"/>
      <c r="J8" s="335"/>
    </row>
    <row r="9" spans="1:20" s="356" customFormat="1" ht="90">
      <c r="B9" s="345" t="s">
        <v>585</v>
      </c>
      <c r="C9" s="346" t="s">
        <v>586</v>
      </c>
      <c r="D9" s="346" t="s">
        <v>587</v>
      </c>
      <c r="E9" s="346" t="s">
        <v>4251</v>
      </c>
      <c r="F9" s="346" t="s">
        <v>4273</v>
      </c>
      <c r="G9" s="346" t="s">
        <v>588</v>
      </c>
      <c r="H9" s="347" t="s">
        <v>589</v>
      </c>
      <c r="I9" s="347" t="s">
        <v>590</v>
      </c>
      <c r="J9" s="348" t="s">
        <v>591</v>
      </c>
      <c r="K9" s="349" t="s">
        <v>592</v>
      </c>
      <c r="L9" s="350" t="s">
        <v>593</v>
      </c>
      <c r="M9" s="350" t="s">
        <v>594</v>
      </c>
      <c r="N9" s="351" t="s">
        <v>595</v>
      </c>
      <c r="O9" s="352"/>
      <c r="P9" s="353" t="s">
        <v>584</v>
      </c>
      <c r="Q9" s="354" t="s">
        <v>596</v>
      </c>
      <c r="R9" s="354" t="s">
        <v>597</v>
      </c>
      <c r="S9" s="354" t="s">
        <v>598</v>
      </c>
      <c r="T9" s="355" t="s">
        <v>599</v>
      </c>
    </row>
    <row r="10" spans="1:20" s="508" customFormat="1" ht="30" hidden="1">
      <c r="A10" s="518"/>
      <c r="B10" s="507" t="s">
        <v>600</v>
      </c>
      <c r="C10" s="507" t="s">
        <v>601</v>
      </c>
      <c r="D10" s="534" t="s">
        <v>602</v>
      </c>
      <c r="E10" s="519" t="str">
        <f>IF('GPS Anthro Tool'!$B$6=1,"China GB27887","")</f>
        <v/>
      </c>
      <c r="F10" s="507" t="s">
        <v>4244</v>
      </c>
      <c r="G10" s="520" t="s">
        <v>604</v>
      </c>
      <c r="H10" s="507" t="s">
        <v>3512</v>
      </c>
      <c r="I10" s="507"/>
      <c r="J10" s="519" t="s">
        <v>3960</v>
      </c>
      <c r="K10" s="521" t="s">
        <v>605</v>
      </c>
      <c r="L10" s="526" t="s">
        <v>315</v>
      </c>
      <c r="M10" s="527" t="s">
        <v>315</v>
      </c>
      <c r="N10" s="528" t="s">
        <v>315</v>
      </c>
      <c r="O10" s="663"/>
      <c r="P10" s="524"/>
      <c r="Q10" s="530"/>
      <c r="R10" s="525" t="s">
        <v>315</v>
      </c>
      <c r="S10" s="525"/>
      <c r="T10" s="665"/>
    </row>
    <row r="11" spans="1:20" s="508" customFormat="1" ht="30" hidden="1">
      <c r="A11" s="518"/>
      <c r="B11" s="507" t="s">
        <v>600</v>
      </c>
      <c r="C11" s="507" t="s">
        <v>601</v>
      </c>
      <c r="D11" s="534" t="s">
        <v>602</v>
      </c>
      <c r="E11" s="519" t="str">
        <f>IF('GPS Anthro Tool'!$B$6=1,"China GB27887","")</f>
        <v/>
      </c>
      <c r="F11" s="507" t="s">
        <v>4244</v>
      </c>
      <c r="G11" s="520" t="s">
        <v>604</v>
      </c>
      <c r="H11" s="507" t="s">
        <v>3513</v>
      </c>
      <c r="I11" s="507"/>
      <c r="J11" s="519" t="s">
        <v>3960</v>
      </c>
      <c r="K11" s="521" t="s">
        <v>605</v>
      </c>
      <c r="L11" s="526" t="s">
        <v>315</v>
      </c>
      <c r="M11" s="527" t="s">
        <v>315</v>
      </c>
      <c r="N11" s="528" t="s">
        <v>315</v>
      </c>
      <c r="O11" s="663"/>
      <c r="P11" s="524"/>
      <c r="Q11" s="530"/>
      <c r="R11" s="525" t="s">
        <v>315</v>
      </c>
      <c r="S11" s="525"/>
      <c r="T11" s="665"/>
    </row>
    <row r="12" spans="1:20" s="508" customFormat="1" ht="30" hidden="1">
      <c r="A12" s="518"/>
      <c r="B12" s="507" t="s">
        <v>600</v>
      </c>
      <c r="C12" s="507" t="s">
        <v>601</v>
      </c>
      <c r="D12" s="534" t="s">
        <v>602</v>
      </c>
      <c r="E12" s="519" t="str">
        <f>IF('GPS Anthro Tool'!$B$6=1,"China GB27887","")</f>
        <v/>
      </c>
      <c r="F12" s="507" t="s">
        <v>4244</v>
      </c>
      <c r="G12" s="520" t="s">
        <v>604</v>
      </c>
      <c r="H12" s="507" t="s">
        <v>3514</v>
      </c>
      <c r="I12" s="507"/>
      <c r="J12" s="519" t="s">
        <v>3960</v>
      </c>
      <c r="K12" s="521" t="s">
        <v>605</v>
      </c>
      <c r="L12" s="526" t="s">
        <v>315</v>
      </c>
      <c r="M12" s="527" t="s">
        <v>315</v>
      </c>
      <c r="N12" s="528" t="s">
        <v>315</v>
      </c>
      <c r="O12" s="663"/>
      <c r="P12" s="524"/>
      <c r="Q12" s="530"/>
      <c r="R12" s="525" t="s">
        <v>315</v>
      </c>
      <c r="S12" s="525"/>
      <c r="T12" s="665"/>
    </row>
    <row r="13" spans="1:20" s="508" customFormat="1" ht="30" hidden="1">
      <c r="A13" s="518"/>
      <c r="B13" s="507" t="s">
        <v>600</v>
      </c>
      <c r="C13" s="507" t="s">
        <v>601</v>
      </c>
      <c r="D13" s="534" t="s">
        <v>602</v>
      </c>
      <c r="E13" s="519" t="str">
        <f>IF('GPS Anthro Tool'!$B$6=1,"China GB27887","")</f>
        <v/>
      </c>
      <c r="F13" s="507" t="s">
        <v>4244</v>
      </c>
      <c r="G13" s="520" t="s">
        <v>604</v>
      </c>
      <c r="H13" s="507" t="s">
        <v>3515</v>
      </c>
      <c r="I13" s="507"/>
      <c r="J13" s="519" t="s">
        <v>3960</v>
      </c>
      <c r="K13" s="521" t="s">
        <v>605</v>
      </c>
      <c r="L13" s="526" t="s">
        <v>315</v>
      </c>
      <c r="M13" s="527" t="s">
        <v>315</v>
      </c>
      <c r="N13" s="528" t="s">
        <v>315</v>
      </c>
      <c r="O13" s="663"/>
      <c r="P13" s="524"/>
      <c r="Q13" s="530"/>
      <c r="R13" s="525" t="s">
        <v>315</v>
      </c>
      <c r="S13" s="525"/>
      <c r="T13" s="665"/>
    </row>
    <row r="14" spans="1:20" s="508" customFormat="1" ht="30" hidden="1">
      <c r="A14" s="518"/>
      <c r="B14" s="507" t="s">
        <v>600</v>
      </c>
      <c r="C14" s="507" t="s">
        <v>601</v>
      </c>
      <c r="D14" s="534" t="s">
        <v>602</v>
      </c>
      <c r="E14" s="519" t="str">
        <f>IF('GPS Anthro Tool'!$B$6=1,"China GB27887","")</f>
        <v/>
      </c>
      <c r="F14" s="507" t="s">
        <v>4244</v>
      </c>
      <c r="G14" s="520" t="s">
        <v>604</v>
      </c>
      <c r="H14" s="507" t="s">
        <v>3516</v>
      </c>
      <c r="I14" s="507"/>
      <c r="J14" s="519" t="s">
        <v>3960</v>
      </c>
      <c r="K14" s="521" t="s">
        <v>605</v>
      </c>
      <c r="L14" s="526" t="s">
        <v>315</v>
      </c>
      <c r="M14" s="527" t="s">
        <v>315</v>
      </c>
      <c r="N14" s="528" t="s">
        <v>315</v>
      </c>
      <c r="O14" s="663"/>
      <c r="P14" s="529"/>
      <c r="Q14" s="530"/>
      <c r="R14" s="530" t="s">
        <v>315</v>
      </c>
      <c r="S14" s="530"/>
      <c r="T14" s="667"/>
    </row>
    <row r="15" spans="1:20" s="508" customFormat="1" ht="210" hidden="1">
      <c r="A15" s="518" t="s">
        <v>3528</v>
      </c>
      <c r="B15" s="507" t="s">
        <v>699</v>
      </c>
      <c r="C15" s="534" t="s">
        <v>917</v>
      </c>
      <c r="D15" s="507" t="s">
        <v>918</v>
      </c>
      <c r="E15" s="519" t="str">
        <f>IF('GPS Anthro Tool'!$B$6=1,"China GB27887","")</f>
        <v/>
      </c>
      <c r="F15" s="507" t="s">
        <v>4244</v>
      </c>
      <c r="G15" s="520"/>
      <c r="H15" s="507" t="s">
        <v>919</v>
      </c>
      <c r="I15" s="507"/>
      <c r="J15" s="519" t="s">
        <v>3960</v>
      </c>
      <c r="K15" s="521" t="s">
        <v>605</v>
      </c>
      <c r="L15" s="526" t="s">
        <v>315</v>
      </c>
      <c r="M15" s="527" t="s">
        <v>315</v>
      </c>
      <c r="N15" s="528" t="s">
        <v>315</v>
      </c>
      <c r="O15" s="663"/>
      <c r="P15" s="666"/>
      <c r="Q15" s="566"/>
      <c r="R15" s="530" t="s">
        <v>315</v>
      </c>
      <c r="S15" s="530"/>
      <c r="T15" s="667"/>
    </row>
    <row r="16" spans="1:20" s="508" customFormat="1" ht="60" hidden="1">
      <c r="A16" s="518"/>
      <c r="B16" s="507" t="s">
        <v>699</v>
      </c>
      <c r="C16" s="534" t="s">
        <v>917</v>
      </c>
      <c r="D16" s="507" t="s">
        <v>920</v>
      </c>
      <c r="E16" s="519" t="str">
        <f>IF('GPS Anthro Tool'!$B$6=1,"China GB27887","")</f>
        <v/>
      </c>
      <c r="F16" s="507" t="s">
        <v>4244</v>
      </c>
      <c r="G16" s="520"/>
      <c r="H16" s="507" t="s">
        <v>921</v>
      </c>
      <c r="I16" s="507"/>
      <c r="J16" s="519" t="s">
        <v>3960</v>
      </c>
      <c r="K16" s="521" t="s">
        <v>605</v>
      </c>
      <c r="L16" s="526" t="s">
        <v>315</v>
      </c>
      <c r="M16" s="527" t="s">
        <v>315</v>
      </c>
      <c r="N16" s="528" t="s">
        <v>315</v>
      </c>
      <c r="O16" s="663"/>
      <c r="P16" s="666"/>
      <c r="Q16" s="566"/>
      <c r="R16" s="530" t="s">
        <v>315</v>
      </c>
      <c r="S16" s="530"/>
      <c r="T16" s="667"/>
    </row>
    <row r="17" spans="1:20" s="508" customFormat="1" ht="90" hidden="1">
      <c r="A17" s="518"/>
      <c r="B17" s="507" t="s">
        <v>699</v>
      </c>
      <c r="C17" s="534" t="s">
        <v>700</v>
      </c>
      <c r="D17" s="534" t="s">
        <v>701</v>
      </c>
      <c r="E17" s="519" t="str">
        <f>IF('GPS Anthro Tool'!$B$6=1,"China GB27887","")</f>
        <v/>
      </c>
      <c r="F17" s="507" t="s">
        <v>4244</v>
      </c>
      <c r="G17" s="520" t="s">
        <v>702</v>
      </c>
      <c r="H17" s="507" t="s">
        <v>703</v>
      </c>
      <c r="I17" s="507"/>
      <c r="J17" s="519" t="s">
        <v>3960</v>
      </c>
      <c r="K17" s="521" t="s">
        <v>605</v>
      </c>
      <c r="L17" s="526" t="s">
        <v>315</v>
      </c>
      <c r="M17" s="527" t="s">
        <v>315</v>
      </c>
      <c r="N17" s="528" t="s">
        <v>315</v>
      </c>
      <c r="O17" s="663"/>
      <c r="P17" s="666"/>
      <c r="Q17" s="566"/>
      <c r="R17" s="530" t="s">
        <v>315</v>
      </c>
      <c r="S17" s="530"/>
      <c r="T17" s="667"/>
    </row>
    <row r="18" spans="1:20" s="508" customFormat="1" ht="30" hidden="1">
      <c r="A18" s="518"/>
      <c r="B18" s="507" t="s">
        <v>699</v>
      </c>
      <c r="C18" s="534" t="s">
        <v>700</v>
      </c>
      <c r="D18" s="534" t="s">
        <v>785</v>
      </c>
      <c r="E18" s="519" t="str">
        <f>IF('GPS Anthro Tool'!$B$6=1,"China GB27887","")</f>
        <v/>
      </c>
      <c r="F18" s="507" t="s">
        <v>4244</v>
      </c>
      <c r="G18" s="520" t="s">
        <v>702</v>
      </c>
      <c r="H18" s="507" t="s">
        <v>786</v>
      </c>
      <c r="I18" s="507"/>
      <c r="J18" s="519" t="s">
        <v>3960</v>
      </c>
      <c r="K18" s="521" t="s">
        <v>605</v>
      </c>
      <c r="L18" s="526" t="s">
        <v>315</v>
      </c>
      <c r="M18" s="527" t="s">
        <v>315</v>
      </c>
      <c r="N18" s="528" t="s">
        <v>315</v>
      </c>
      <c r="O18" s="663"/>
      <c r="P18" s="666"/>
      <c r="Q18" s="566"/>
      <c r="R18" s="530" t="s">
        <v>315</v>
      </c>
      <c r="S18" s="530"/>
      <c r="T18" s="667"/>
    </row>
    <row r="19" spans="1:20" s="508" customFormat="1" ht="60" hidden="1">
      <c r="A19" s="518"/>
      <c r="B19" s="507" t="s">
        <v>699</v>
      </c>
      <c r="C19" s="534" t="s">
        <v>700</v>
      </c>
      <c r="D19" s="534" t="s">
        <v>787</v>
      </c>
      <c r="E19" s="519" t="str">
        <f>IF('GPS Anthro Tool'!$B$6=1,"China GB27887","")</f>
        <v/>
      </c>
      <c r="F19" s="507" t="s">
        <v>4244</v>
      </c>
      <c r="G19" s="520" t="s">
        <v>702</v>
      </c>
      <c r="H19" s="507" t="s">
        <v>788</v>
      </c>
      <c r="I19" s="507"/>
      <c r="J19" s="519" t="s">
        <v>3960</v>
      </c>
      <c r="K19" s="521" t="s">
        <v>605</v>
      </c>
      <c r="L19" s="522" t="s">
        <v>315</v>
      </c>
      <c r="M19" s="521" t="s">
        <v>315</v>
      </c>
      <c r="N19" s="523" t="s">
        <v>315</v>
      </c>
      <c r="O19" s="663"/>
      <c r="P19" s="664"/>
      <c r="Q19" s="695"/>
      <c r="R19" s="525" t="s">
        <v>315</v>
      </c>
      <c r="S19" s="525"/>
      <c r="T19" s="665"/>
    </row>
    <row r="20" spans="1:20" s="508" customFormat="1" ht="60" hidden="1">
      <c r="A20" s="518"/>
      <c r="B20" s="507" t="s">
        <v>699</v>
      </c>
      <c r="C20" s="534" t="s">
        <v>700</v>
      </c>
      <c r="D20" s="534" t="s">
        <v>789</v>
      </c>
      <c r="E20" s="519" t="str">
        <f>IF('GPS Anthro Tool'!$B$6=1,"China GB27887","")</f>
        <v/>
      </c>
      <c r="F20" s="507" t="s">
        <v>4244</v>
      </c>
      <c r="G20" s="520" t="s">
        <v>702</v>
      </c>
      <c r="H20" s="507" t="s">
        <v>790</v>
      </c>
      <c r="I20" s="507"/>
      <c r="J20" s="519" t="s">
        <v>3960</v>
      </c>
      <c r="K20" s="521" t="s">
        <v>605</v>
      </c>
      <c r="L20" s="522" t="s">
        <v>315</v>
      </c>
      <c r="M20" s="521" t="s">
        <v>315</v>
      </c>
      <c r="N20" s="523" t="s">
        <v>315</v>
      </c>
      <c r="O20" s="663"/>
      <c r="P20" s="664"/>
      <c r="Q20" s="695"/>
      <c r="R20" s="525" t="s">
        <v>315</v>
      </c>
      <c r="S20" s="525"/>
      <c r="T20" s="665"/>
    </row>
    <row r="21" spans="1:20" s="508" customFormat="1" ht="195" hidden="1">
      <c r="A21" s="518"/>
      <c r="B21" s="507" t="s">
        <v>699</v>
      </c>
      <c r="C21" s="534" t="s">
        <v>700</v>
      </c>
      <c r="D21" s="534" t="s">
        <v>704</v>
      </c>
      <c r="E21" s="519" t="str">
        <f>IF('GPS Anthro Tool'!$B$6=1,"China GB27887","")</f>
        <v/>
      </c>
      <c r="F21" s="507" t="s">
        <v>4244</v>
      </c>
      <c r="G21" s="520" t="s">
        <v>702</v>
      </c>
      <c r="H21" s="507" t="s">
        <v>705</v>
      </c>
      <c r="I21" s="507"/>
      <c r="J21" s="519" t="s">
        <v>3960</v>
      </c>
      <c r="K21" s="521" t="s">
        <v>605</v>
      </c>
      <c r="L21" s="522" t="s">
        <v>315</v>
      </c>
      <c r="M21" s="521" t="s">
        <v>315</v>
      </c>
      <c r="N21" s="523" t="s">
        <v>315</v>
      </c>
      <c r="O21" s="663"/>
      <c r="P21" s="664"/>
      <c r="Q21" s="695"/>
      <c r="R21" s="525" t="s">
        <v>315</v>
      </c>
      <c r="S21" s="525"/>
      <c r="T21" s="665"/>
    </row>
    <row r="22" spans="1:20" s="508" customFormat="1" ht="60" hidden="1">
      <c r="A22" s="518"/>
      <c r="B22" s="507" t="s">
        <v>699</v>
      </c>
      <c r="C22" s="534" t="s">
        <v>700</v>
      </c>
      <c r="D22" s="534" t="s">
        <v>715</v>
      </c>
      <c r="E22" s="519" t="str">
        <f>IF('GPS Anthro Tool'!$B$6=1,"China GB27887","")</f>
        <v/>
      </c>
      <c r="F22" s="507" t="s">
        <v>4244</v>
      </c>
      <c r="G22" s="520" t="s">
        <v>702</v>
      </c>
      <c r="H22" s="507" t="s">
        <v>716</v>
      </c>
      <c r="I22" s="507"/>
      <c r="J22" s="519" t="s">
        <v>3960</v>
      </c>
      <c r="K22" s="521" t="s">
        <v>605</v>
      </c>
      <c r="L22" s="522" t="s">
        <v>315</v>
      </c>
      <c r="M22" s="521" t="s">
        <v>315</v>
      </c>
      <c r="N22" s="523" t="s">
        <v>315</v>
      </c>
      <c r="O22" s="663"/>
      <c r="P22" s="664"/>
      <c r="Q22" s="695"/>
      <c r="R22" s="525" t="s">
        <v>315</v>
      </c>
      <c r="S22" s="525"/>
      <c r="T22" s="665"/>
    </row>
    <row r="23" spans="1:20" s="508" customFormat="1" ht="90" hidden="1">
      <c r="A23" s="518"/>
      <c r="B23" s="507" t="s">
        <v>699</v>
      </c>
      <c r="C23" s="534" t="s">
        <v>700</v>
      </c>
      <c r="D23" s="534" t="s">
        <v>722</v>
      </c>
      <c r="E23" s="519" t="str">
        <f>IF('GPS Anthro Tool'!$B$6=1,"China GB27887","")</f>
        <v/>
      </c>
      <c r="F23" s="507" t="s">
        <v>4244</v>
      </c>
      <c r="G23" s="520" t="s">
        <v>702</v>
      </c>
      <c r="H23" s="507" t="s">
        <v>723</v>
      </c>
      <c r="I23" s="507"/>
      <c r="J23" s="519" t="s">
        <v>3960</v>
      </c>
      <c r="K23" s="521" t="s">
        <v>605</v>
      </c>
      <c r="L23" s="526" t="s">
        <v>315</v>
      </c>
      <c r="M23" s="527" t="s">
        <v>315</v>
      </c>
      <c r="N23" s="528" t="s">
        <v>315</v>
      </c>
      <c r="O23" s="663"/>
      <c r="P23" s="666"/>
      <c r="Q23" s="566"/>
      <c r="R23" s="530" t="s">
        <v>315</v>
      </c>
      <c r="S23" s="530"/>
      <c r="T23" s="667"/>
    </row>
    <row r="24" spans="1:20" s="508" customFormat="1" ht="105" hidden="1">
      <c r="A24" s="518"/>
      <c r="B24" s="507" t="s">
        <v>699</v>
      </c>
      <c r="C24" s="534" t="s">
        <v>700</v>
      </c>
      <c r="D24" s="534" t="s">
        <v>728</v>
      </c>
      <c r="E24" s="519" t="str">
        <f>IF('GPS Anthro Tool'!$B$6=1,"China GB27887","")</f>
        <v/>
      </c>
      <c r="F24" s="507" t="s">
        <v>4244</v>
      </c>
      <c r="G24" s="520" t="s">
        <v>702</v>
      </c>
      <c r="H24" s="507" t="s">
        <v>729</v>
      </c>
      <c r="I24" s="507"/>
      <c r="J24" s="519" t="s">
        <v>3960</v>
      </c>
      <c r="K24" s="521" t="s">
        <v>605</v>
      </c>
      <c r="L24" s="526" t="s">
        <v>315</v>
      </c>
      <c r="M24" s="527" t="s">
        <v>315</v>
      </c>
      <c r="N24" s="528" t="s">
        <v>315</v>
      </c>
      <c r="O24" s="663"/>
      <c r="P24" s="666"/>
      <c r="Q24" s="566"/>
      <c r="R24" s="530" t="s">
        <v>315</v>
      </c>
      <c r="S24" s="530"/>
      <c r="T24" s="667"/>
    </row>
    <row r="25" spans="1:20" s="508" customFormat="1" ht="75" hidden="1">
      <c r="A25" s="518"/>
      <c r="B25" s="507" t="s">
        <v>699</v>
      </c>
      <c r="C25" s="534" t="s">
        <v>700</v>
      </c>
      <c r="D25" s="534" t="s">
        <v>734</v>
      </c>
      <c r="E25" s="519" t="str">
        <f>IF('GPS Anthro Tool'!$B$6=1,"China GB27887","")</f>
        <v/>
      </c>
      <c r="F25" s="507" t="s">
        <v>4244</v>
      </c>
      <c r="G25" s="520" t="s">
        <v>702</v>
      </c>
      <c r="H25" s="507" t="s">
        <v>735</v>
      </c>
      <c r="I25" s="507"/>
      <c r="J25" s="519" t="s">
        <v>3960</v>
      </c>
      <c r="K25" s="521" t="s">
        <v>605</v>
      </c>
      <c r="L25" s="526" t="s">
        <v>315</v>
      </c>
      <c r="M25" s="527" t="s">
        <v>315</v>
      </c>
      <c r="N25" s="528" t="s">
        <v>315</v>
      </c>
      <c r="O25" s="663"/>
      <c r="P25" s="666"/>
      <c r="Q25" s="566"/>
      <c r="R25" s="530" t="s">
        <v>315</v>
      </c>
      <c r="S25" s="530"/>
      <c r="T25" s="667"/>
    </row>
    <row r="26" spans="1:20" s="508" customFormat="1" ht="120" hidden="1">
      <c r="A26" s="518"/>
      <c r="B26" s="507" t="s">
        <v>699</v>
      </c>
      <c r="C26" s="534" t="s">
        <v>700</v>
      </c>
      <c r="D26" s="534" t="s">
        <v>736</v>
      </c>
      <c r="E26" s="519" t="str">
        <f>IF('GPS Anthro Tool'!$B$6=1,"China GB27887","")</f>
        <v/>
      </c>
      <c r="F26" s="507" t="s">
        <v>4244</v>
      </c>
      <c r="G26" s="520" t="s">
        <v>702</v>
      </c>
      <c r="H26" s="507" t="s">
        <v>737</v>
      </c>
      <c r="I26" s="507"/>
      <c r="J26" s="519" t="s">
        <v>3960</v>
      </c>
      <c r="K26" s="521" t="s">
        <v>605</v>
      </c>
      <c r="L26" s="526" t="s">
        <v>315</v>
      </c>
      <c r="M26" s="527" t="s">
        <v>315</v>
      </c>
      <c r="N26" s="528" t="s">
        <v>315</v>
      </c>
      <c r="O26" s="663"/>
      <c r="P26" s="666"/>
      <c r="Q26" s="566"/>
      <c r="R26" s="530" t="s">
        <v>315</v>
      </c>
      <c r="S26" s="530"/>
      <c r="T26" s="667"/>
    </row>
    <row r="27" spans="1:20" s="508" customFormat="1" ht="60" hidden="1">
      <c r="A27" s="518"/>
      <c r="B27" s="507" t="s">
        <v>699</v>
      </c>
      <c r="C27" s="534" t="s">
        <v>700</v>
      </c>
      <c r="D27" s="534" t="s">
        <v>738</v>
      </c>
      <c r="E27" s="519" t="str">
        <f>IF('GPS Anthro Tool'!$B$6=1,"China GB27887","")</f>
        <v/>
      </c>
      <c r="F27" s="507" t="s">
        <v>4244</v>
      </c>
      <c r="G27" s="520" t="s">
        <v>702</v>
      </c>
      <c r="H27" s="507" t="s">
        <v>739</v>
      </c>
      <c r="I27" s="507"/>
      <c r="J27" s="519" t="s">
        <v>3960</v>
      </c>
      <c r="K27" s="521" t="s">
        <v>605</v>
      </c>
      <c r="L27" s="526" t="s">
        <v>315</v>
      </c>
      <c r="M27" s="527" t="s">
        <v>315</v>
      </c>
      <c r="N27" s="528" t="s">
        <v>315</v>
      </c>
      <c r="O27" s="663"/>
      <c r="P27" s="666"/>
      <c r="Q27" s="566"/>
      <c r="R27" s="530" t="s">
        <v>315</v>
      </c>
      <c r="S27" s="530"/>
      <c r="T27" s="667"/>
    </row>
    <row r="28" spans="1:20" s="508" customFormat="1" ht="409.5" hidden="1">
      <c r="A28" s="518"/>
      <c r="B28" s="507" t="s">
        <v>699</v>
      </c>
      <c r="C28" s="534" t="s">
        <v>700</v>
      </c>
      <c r="D28" s="534" t="s">
        <v>740</v>
      </c>
      <c r="E28" s="519" t="str">
        <f>IF('GPS Anthro Tool'!$B$6=1,"China GB27887","")</f>
        <v/>
      </c>
      <c r="F28" s="507" t="s">
        <v>4244</v>
      </c>
      <c r="G28" s="520" t="s">
        <v>702</v>
      </c>
      <c r="H28" s="507" t="s">
        <v>741</v>
      </c>
      <c r="I28" s="507"/>
      <c r="J28" s="519" t="s">
        <v>3960</v>
      </c>
      <c r="K28" s="521" t="s">
        <v>605</v>
      </c>
      <c r="L28" s="526" t="s">
        <v>315</v>
      </c>
      <c r="M28" s="527" t="s">
        <v>315</v>
      </c>
      <c r="N28" s="528" t="s">
        <v>315</v>
      </c>
      <c r="O28" s="663"/>
      <c r="P28" s="666"/>
      <c r="Q28" s="566"/>
      <c r="R28" s="530" t="s">
        <v>315</v>
      </c>
      <c r="S28" s="530"/>
      <c r="T28" s="667"/>
    </row>
    <row r="29" spans="1:20" s="508" customFormat="1" ht="150" hidden="1">
      <c r="A29" s="518"/>
      <c r="B29" s="507" t="s">
        <v>699</v>
      </c>
      <c r="C29" s="534" t="s">
        <v>700</v>
      </c>
      <c r="D29" s="534" t="s">
        <v>742</v>
      </c>
      <c r="E29" s="519" t="str">
        <f>IF('GPS Anthro Tool'!$B$6=1,"China GB27887","")</f>
        <v/>
      </c>
      <c r="F29" s="507" t="s">
        <v>4244</v>
      </c>
      <c r="G29" s="520" t="s">
        <v>702</v>
      </c>
      <c r="H29" s="507" t="s">
        <v>743</v>
      </c>
      <c r="I29" s="507"/>
      <c r="J29" s="519" t="s">
        <v>3960</v>
      </c>
      <c r="K29" s="521" t="s">
        <v>605</v>
      </c>
      <c r="L29" s="526" t="s">
        <v>315</v>
      </c>
      <c r="M29" s="527" t="s">
        <v>315</v>
      </c>
      <c r="N29" s="528" t="s">
        <v>315</v>
      </c>
      <c r="O29" s="663"/>
      <c r="P29" s="666"/>
      <c r="Q29" s="566"/>
      <c r="R29" s="530" t="s">
        <v>315</v>
      </c>
      <c r="S29" s="530"/>
      <c r="T29" s="667"/>
    </row>
    <row r="30" spans="1:20" s="508" customFormat="1" ht="60" hidden="1">
      <c r="A30" s="518"/>
      <c r="B30" s="507" t="s">
        <v>744</v>
      </c>
      <c r="C30" s="534" t="s">
        <v>700</v>
      </c>
      <c r="D30" s="534" t="s">
        <v>745</v>
      </c>
      <c r="E30" s="519" t="str">
        <f>IF('GPS Anthro Tool'!$B$6=1,"China GB27887","")</f>
        <v/>
      </c>
      <c r="F30" s="507" t="s">
        <v>4244</v>
      </c>
      <c r="G30" s="520" t="s">
        <v>702</v>
      </c>
      <c r="H30" s="507" t="s">
        <v>746</v>
      </c>
      <c r="I30" s="507"/>
      <c r="J30" s="519" t="s">
        <v>3960</v>
      </c>
      <c r="K30" s="521" t="s">
        <v>605</v>
      </c>
      <c r="L30" s="526" t="s">
        <v>315</v>
      </c>
      <c r="M30" s="527" t="s">
        <v>315</v>
      </c>
      <c r="N30" s="528" t="s">
        <v>315</v>
      </c>
      <c r="O30" s="663"/>
      <c r="P30" s="666"/>
      <c r="Q30" s="566"/>
      <c r="R30" s="530" t="s">
        <v>315</v>
      </c>
      <c r="S30" s="530"/>
      <c r="T30" s="667"/>
    </row>
    <row r="31" spans="1:20" s="508" customFormat="1" ht="120" hidden="1">
      <c r="A31" s="518"/>
      <c r="B31" s="507" t="s">
        <v>699</v>
      </c>
      <c r="C31" s="534" t="s">
        <v>747</v>
      </c>
      <c r="D31" s="534" t="s">
        <v>748</v>
      </c>
      <c r="E31" s="519" t="str">
        <f>IF('GPS Anthro Tool'!$B$6=1,"China GB27887","")</f>
        <v/>
      </c>
      <c r="F31" s="507" t="s">
        <v>4244</v>
      </c>
      <c r="G31" s="520" t="s">
        <v>749</v>
      </c>
      <c r="H31" s="507" t="s">
        <v>750</v>
      </c>
      <c r="I31" s="507"/>
      <c r="J31" s="519" t="s">
        <v>3960</v>
      </c>
      <c r="K31" s="521" t="s">
        <v>605</v>
      </c>
      <c r="L31" s="526" t="s">
        <v>315</v>
      </c>
      <c r="M31" s="527" t="s">
        <v>315</v>
      </c>
      <c r="N31" s="528" t="s">
        <v>315</v>
      </c>
      <c r="O31" s="663"/>
      <c r="P31" s="666"/>
      <c r="Q31" s="566"/>
      <c r="R31" s="530" t="s">
        <v>315</v>
      </c>
      <c r="S31" s="530"/>
      <c r="T31" s="667"/>
    </row>
    <row r="32" spans="1:20" s="508" customFormat="1" ht="90" hidden="1">
      <c r="A32" s="518"/>
      <c r="B32" s="507" t="s">
        <v>699</v>
      </c>
      <c r="C32" s="534" t="s">
        <v>753</v>
      </c>
      <c r="D32" s="534" t="s">
        <v>754</v>
      </c>
      <c r="E32" s="519" t="str">
        <f>IF('GPS Anthro Tool'!$B$6=1,"China GB27887","")</f>
        <v/>
      </c>
      <c r="F32" s="507" t="s">
        <v>4244</v>
      </c>
      <c r="G32" s="520" t="s">
        <v>755</v>
      </c>
      <c r="H32" s="507" t="s">
        <v>756</v>
      </c>
      <c r="I32" s="507"/>
      <c r="J32" s="519" t="s">
        <v>3960</v>
      </c>
      <c r="K32" s="521" t="s">
        <v>605</v>
      </c>
      <c r="L32" s="526" t="s">
        <v>315</v>
      </c>
      <c r="M32" s="527" t="s">
        <v>315</v>
      </c>
      <c r="N32" s="528" t="s">
        <v>315</v>
      </c>
      <c r="O32" s="663"/>
      <c r="P32" s="666"/>
      <c r="Q32" s="566"/>
      <c r="R32" s="530" t="s">
        <v>315</v>
      </c>
      <c r="S32" s="530"/>
      <c r="T32" s="667"/>
    </row>
    <row r="33" spans="1:20" s="508" customFormat="1" ht="60" hidden="1">
      <c r="A33" s="518"/>
      <c r="B33" s="507" t="s">
        <v>699</v>
      </c>
      <c r="C33" s="534" t="s">
        <v>700</v>
      </c>
      <c r="D33" s="534" t="s">
        <v>772</v>
      </c>
      <c r="E33" s="519" t="str">
        <f>IF('GPS Anthro Tool'!$B$6=1,"China GB27887","")</f>
        <v/>
      </c>
      <c r="F33" s="507" t="s">
        <v>4244</v>
      </c>
      <c r="G33" s="520" t="s">
        <v>702</v>
      </c>
      <c r="H33" s="507" t="s">
        <v>773</v>
      </c>
      <c r="I33" s="507"/>
      <c r="J33" s="519" t="s">
        <v>3960</v>
      </c>
      <c r="K33" s="521" t="s">
        <v>605</v>
      </c>
      <c r="L33" s="526" t="s">
        <v>315</v>
      </c>
      <c r="M33" s="527" t="s">
        <v>315</v>
      </c>
      <c r="N33" s="528" t="s">
        <v>315</v>
      </c>
      <c r="O33" s="663"/>
      <c r="P33" s="666"/>
      <c r="Q33" s="566"/>
      <c r="R33" s="530" t="s">
        <v>315</v>
      </c>
      <c r="S33" s="530"/>
      <c r="T33" s="667"/>
    </row>
    <row r="34" spans="1:20" s="508" customFormat="1" ht="270" hidden="1">
      <c r="A34" s="518"/>
      <c r="B34" s="507" t="s">
        <v>699</v>
      </c>
      <c r="C34" s="534" t="s">
        <v>700</v>
      </c>
      <c r="D34" s="534" t="s">
        <v>774</v>
      </c>
      <c r="E34" s="519" t="str">
        <f>IF('GPS Anthro Tool'!$B$6=1,"China GB27887","")</f>
        <v/>
      </c>
      <c r="F34" s="507" t="s">
        <v>4244</v>
      </c>
      <c r="G34" s="520" t="s">
        <v>702</v>
      </c>
      <c r="H34" s="507" t="s">
        <v>775</v>
      </c>
      <c r="I34" s="507"/>
      <c r="J34" s="519" t="s">
        <v>3960</v>
      </c>
      <c r="K34" s="521" t="s">
        <v>605</v>
      </c>
      <c r="L34" s="526" t="s">
        <v>315</v>
      </c>
      <c r="M34" s="527" t="s">
        <v>315</v>
      </c>
      <c r="N34" s="528" t="s">
        <v>315</v>
      </c>
      <c r="O34" s="663"/>
      <c r="P34" s="666"/>
      <c r="Q34" s="566"/>
      <c r="R34" s="530" t="s">
        <v>315</v>
      </c>
      <c r="S34" s="530"/>
      <c r="T34" s="667"/>
    </row>
    <row r="35" spans="1:20" s="508" customFormat="1" ht="300" hidden="1">
      <c r="A35" s="518"/>
      <c r="B35" s="507" t="s">
        <v>699</v>
      </c>
      <c r="C35" s="534" t="s">
        <v>700</v>
      </c>
      <c r="D35" s="534" t="s">
        <v>779</v>
      </c>
      <c r="E35" s="519" t="str">
        <f>IF('GPS Anthro Tool'!$B$6=1,"China GB27887","")</f>
        <v/>
      </c>
      <c r="F35" s="507" t="s">
        <v>4244</v>
      </c>
      <c r="G35" s="520" t="s">
        <v>702</v>
      </c>
      <c r="H35" s="507" t="s">
        <v>780</v>
      </c>
      <c r="I35" s="507"/>
      <c r="J35" s="519" t="s">
        <v>3960</v>
      </c>
      <c r="K35" s="521" t="s">
        <v>605</v>
      </c>
      <c r="L35" s="526" t="s">
        <v>315</v>
      </c>
      <c r="M35" s="527" t="s">
        <v>315</v>
      </c>
      <c r="N35" s="528" t="s">
        <v>315</v>
      </c>
      <c r="O35" s="663"/>
      <c r="P35" s="666"/>
      <c r="Q35" s="566"/>
      <c r="R35" s="530" t="s">
        <v>315</v>
      </c>
      <c r="S35" s="530"/>
      <c r="T35" s="667"/>
    </row>
    <row r="36" spans="1:20" s="508" customFormat="1" ht="30" hidden="1">
      <c r="A36" s="518"/>
      <c r="B36" s="507" t="s">
        <v>699</v>
      </c>
      <c r="C36" s="534" t="s">
        <v>826</v>
      </c>
      <c r="D36" s="534" t="s">
        <v>827</v>
      </c>
      <c r="E36" s="519" t="str">
        <f>IF('GPS Anthro Tool'!$B$6=1,"China GB27887","")</f>
        <v/>
      </c>
      <c r="F36" s="507" t="s">
        <v>4244</v>
      </c>
      <c r="G36" s="520" t="s">
        <v>604</v>
      </c>
      <c r="H36" s="507" t="s">
        <v>828</v>
      </c>
      <c r="I36" s="507"/>
      <c r="J36" s="519" t="s">
        <v>3960</v>
      </c>
      <c r="K36" s="521" t="s">
        <v>605</v>
      </c>
      <c r="L36" s="526" t="s">
        <v>315</v>
      </c>
      <c r="M36" s="527" t="s">
        <v>315</v>
      </c>
      <c r="N36" s="528" t="s">
        <v>315</v>
      </c>
      <c r="O36" s="663"/>
      <c r="P36" s="666"/>
      <c r="Q36" s="566"/>
      <c r="R36" s="530" t="s">
        <v>315</v>
      </c>
      <c r="S36" s="530"/>
      <c r="T36" s="667"/>
    </row>
    <row r="37" spans="1:20" s="508" customFormat="1" ht="120" hidden="1">
      <c r="A37" s="518"/>
      <c r="B37" s="507" t="s">
        <v>699</v>
      </c>
      <c r="C37" s="534" t="s">
        <v>826</v>
      </c>
      <c r="D37" s="534" t="s">
        <v>829</v>
      </c>
      <c r="E37" s="519" t="str">
        <f>IF('GPS Anthro Tool'!$B$6=1,"China GB27887","")</f>
        <v/>
      </c>
      <c r="F37" s="507" t="s">
        <v>4244</v>
      </c>
      <c r="G37" s="520" t="s">
        <v>604</v>
      </c>
      <c r="H37" s="507" t="s">
        <v>830</v>
      </c>
      <c r="I37" s="507"/>
      <c r="J37" s="519" t="s">
        <v>3960</v>
      </c>
      <c r="K37" s="521" t="s">
        <v>605</v>
      </c>
      <c r="L37" s="526" t="s">
        <v>315</v>
      </c>
      <c r="M37" s="527" t="s">
        <v>315</v>
      </c>
      <c r="N37" s="528" t="s">
        <v>315</v>
      </c>
      <c r="O37" s="663"/>
      <c r="P37" s="666"/>
      <c r="Q37" s="566"/>
      <c r="R37" s="530" t="s">
        <v>315</v>
      </c>
      <c r="S37" s="530"/>
      <c r="T37" s="667"/>
    </row>
    <row r="38" spans="1:20" s="508" customFormat="1" ht="30" hidden="1">
      <c r="A38" s="518"/>
      <c r="B38" s="507" t="s">
        <v>699</v>
      </c>
      <c r="C38" s="534" t="s">
        <v>826</v>
      </c>
      <c r="D38" s="534" t="s">
        <v>831</v>
      </c>
      <c r="E38" s="519" t="str">
        <f>IF('GPS Anthro Tool'!$B$6=1,"China GB27887","")</f>
        <v/>
      </c>
      <c r="F38" s="507" t="s">
        <v>4244</v>
      </c>
      <c r="G38" s="520" t="s">
        <v>604</v>
      </c>
      <c r="H38" s="507" t="s">
        <v>832</v>
      </c>
      <c r="I38" s="507"/>
      <c r="J38" s="519" t="s">
        <v>3960</v>
      </c>
      <c r="K38" s="521" t="s">
        <v>605</v>
      </c>
      <c r="L38" s="526" t="s">
        <v>315</v>
      </c>
      <c r="M38" s="527" t="s">
        <v>315</v>
      </c>
      <c r="N38" s="528" t="s">
        <v>315</v>
      </c>
      <c r="O38" s="663"/>
      <c r="P38" s="666"/>
      <c r="Q38" s="566"/>
      <c r="R38" s="530" t="s">
        <v>315</v>
      </c>
      <c r="S38" s="530"/>
      <c r="T38" s="667"/>
    </row>
    <row r="39" spans="1:20" s="508" customFormat="1" ht="90" hidden="1">
      <c r="A39" s="518"/>
      <c r="B39" s="507" t="s">
        <v>699</v>
      </c>
      <c r="C39" s="534" t="s">
        <v>826</v>
      </c>
      <c r="D39" s="534" t="s">
        <v>833</v>
      </c>
      <c r="E39" s="519" t="str">
        <f>IF('GPS Anthro Tool'!$B$6=1,"China GB27887","")</f>
        <v/>
      </c>
      <c r="F39" s="507" t="s">
        <v>4244</v>
      </c>
      <c r="G39" s="520" t="s">
        <v>604</v>
      </c>
      <c r="H39" s="507" t="s">
        <v>834</v>
      </c>
      <c r="I39" s="507"/>
      <c r="J39" s="519" t="s">
        <v>3960</v>
      </c>
      <c r="K39" s="521" t="s">
        <v>605</v>
      </c>
      <c r="L39" s="526" t="s">
        <v>315</v>
      </c>
      <c r="M39" s="527" t="s">
        <v>315</v>
      </c>
      <c r="N39" s="528" t="s">
        <v>315</v>
      </c>
      <c r="O39" s="663"/>
      <c r="P39" s="666"/>
      <c r="Q39" s="566"/>
      <c r="R39" s="530" t="s">
        <v>315</v>
      </c>
      <c r="S39" s="530"/>
      <c r="T39" s="667"/>
    </row>
    <row r="40" spans="1:20" s="508" customFormat="1" ht="60" hidden="1">
      <c r="A40" s="518"/>
      <c r="B40" s="507" t="s">
        <v>699</v>
      </c>
      <c r="C40" s="534" t="s">
        <v>826</v>
      </c>
      <c r="D40" s="534" t="s">
        <v>835</v>
      </c>
      <c r="E40" s="519" t="str">
        <f>IF('GPS Anthro Tool'!$B$6=1,"China GB27887","")</f>
        <v/>
      </c>
      <c r="F40" s="507" t="s">
        <v>4244</v>
      </c>
      <c r="G40" s="520" t="s">
        <v>604</v>
      </c>
      <c r="H40" s="507" t="s">
        <v>836</v>
      </c>
      <c r="I40" s="507"/>
      <c r="J40" s="519" t="s">
        <v>3960</v>
      </c>
      <c r="K40" s="521" t="s">
        <v>605</v>
      </c>
      <c r="L40" s="526" t="s">
        <v>315</v>
      </c>
      <c r="M40" s="527" t="s">
        <v>315</v>
      </c>
      <c r="N40" s="528" t="s">
        <v>315</v>
      </c>
      <c r="O40" s="663"/>
      <c r="P40" s="666"/>
      <c r="Q40" s="566"/>
      <c r="R40" s="530" t="s">
        <v>315</v>
      </c>
      <c r="S40" s="530"/>
      <c r="T40" s="667"/>
    </row>
    <row r="41" spans="1:20" s="508" customFormat="1" ht="150" hidden="1">
      <c r="A41" s="518"/>
      <c r="B41" s="507" t="s">
        <v>699</v>
      </c>
      <c r="C41" s="534" t="s">
        <v>826</v>
      </c>
      <c r="D41" s="534" t="s">
        <v>837</v>
      </c>
      <c r="E41" s="519" t="str">
        <f>IF('GPS Anthro Tool'!$B$6=1,"China GB27887","")</f>
        <v/>
      </c>
      <c r="F41" s="507" t="s">
        <v>4244</v>
      </c>
      <c r="G41" s="520" t="s">
        <v>838</v>
      </c>
      <c r="H41" s="507" t="s">
        <v>839</v>
      </c>
      <c r="I41" s="507"/>
      <c r="J41" s="519" t="s">
        <v>3960</v>
      </c>
      <c r="K41" s="521" t="s">
        <v>605</v>
      </c>
      <c r="L41" s="526" t="s">
        <v>315</v>
      </c>
      <c r="M41" s="527" t="s">
        <v>315</v>
      </c>
      <c r="N41" s="528" t="s">
        <v>315</v>
      </c>
      <c r="O41" s="663"/>
      <c r="P41" s="666"/>
      <c r="Q41" s="566"/>
      <c r="R41" s="530" t="s">
        <v>315</v>
      </c>
      <c r="S41" s="530"/>
      <c r="T41" s="667"/>
    </row>
    <row r="42" spans="1:20" s="508" customFormat="1" ht="135" hidden="1">
      <c r="A42" s="518"/>
      <c r="B42" s="507" t="s">
        <v>699</v>
      </c>
      <c r="C42" s="534" t="s">
        <v>826</v>
      </c>
      <c r="D42" s="534" t="s">
        <v>903</v>
      </c>
      <c r="E42" s="519" t="str">
        <f>IF('GPS Anthro Tool'!$B$6=1,"China GB27887","")</f>
        <v/>
      </c>
      <c r="F42" s="507" t="s">
        <v>4244</v>
      </c>
      <c r="G42" s="520"/>
      <c r="H42" s="507" t="s">
        <v>904</v>
      </c>
      <c r="I42" s="507"/>
      <c r="J42" s="519" t="s">
        <v>3960</v>
      </c>
      <c r="K42" s="521" t="s">
        <v>605</v>
      </c>
      <c r="L42" s="526" t="s">
        <v>315</v>
      </c>
      <c r="M42" s="527" t="s">
        <v>315</v>
      </c>
      <c r="N42" s="528" t="s">
        <v>315</v>
      </c>
      <c r="O42" s="663"/>
      <c r="P42" s="666"/>
      <c r="Q42" s="566"/>
      <c r="R42" s="530" t="s">
        <v>315</v>
      </c>
      <c r="S42" s="530"/>
      <c r="T42" s="667"/>
    </row>
    <row r="43" spans="1:20" s="508" customFormat="1" ht="45" hidden="1">
      <c r="A43" s="518"/>
      <c r="B43" s="507" t="s">
        <v>699</v>
      </c>
      <c r="C43" s="534" t="s">
        <v>840</v>
      </c>
      <c r="D43" s="534" t="s">
        <v>907</v>
      </c>
      <c r="E43" s="519" t="str">
        <f>IF('GPS Anthro Tool'!$B$6=1,"China GB27887","")</f>
        <v/>
      </c>
      <c r="F43" s="507" t="s">
        <v>4244</v>
      </c>
      <c r="G43" s="520"/>
      <c r="H43" s="507" t="s">
        <v>908</v>
      </c>
      <c r="I43" s="507"/>
      <c r="J43" s="519" t="s">
        <v>3960</v>
      </c>
      <c r="K43" s="521" t="s">
        <v>605</v>
      </c>
      <c r="L43" s="526" t="s">
        <v>315</v>
      </c>
      <c r="M43" s="527" t="s">
        <v>315</v>
      </c>
      <c r="N43" s="528" t="s">
        <v>315</v>
      </c>
      <c r="O43" s="663"/>
      <c r="P43" s="666"/>
      <c r="Q43" s="566"/>
      <c r="R43" s="530" t="s">
        <v>315</v>
      </c>
      <c r="S43" s="530"/>
      <c r="T43" s="667"/>
    </row>
    <row r="44" spans="1:20" s="508" customFormat="1" ht="165" hidden="1">
      <c r="A44" s="518"/>
      <c r="B44" s="507" t="s">
        <v>865</v>
      </c>
      <c r="C44" s="534" t="s">
        <v>840</v>
      </c>
      <c r="D44" s="534" t="s">
        <v>909</v>
      </c>
      <c r="E44" s="519" t="str">
        <f>IF('GPS Anthro Tool'!$B$6=1,"China GB27887","")</f>
        <v/>
      </c>
      <c r="F44" s="507" t="s">
        <v>4244</v>
      </c>
      <c r="G44" s="506"/>
      <c r="H44" s="507" t="s">
        <v>910</v>
      </c>
      <c r="I44" s="507"/>
      <c r="J44" s="519" t="s">
        <v>3960</v>
      </c>
      <c r="K44" s="521" t="s">
        <v>605</v>
      </c>
      <c r="L44" s="526" t="s">
        <v>315</v>
      </c>
      <c r="M44" s="527" t="s">
        <v>315</v>
      </c>
      <c r="N44" s="528" t="s">
        <v>315</v>
      </c>
      <c r="O44" s="663"/>
      <c r="P44" s="666"/>
      <c r="Q44" s="566"/>
      <c r="R44" s="530" t="s">
        <v>315</v>
      </c>
      <c r="S44" s="530"/>
      <c r="T44" s="667"/>
    </row>
    <row r="45" spans="1:20" s="508" customFormat="1" ht="60" hidden="1">
      <c r="A45" s="518"/>
      <c r="B45" s="507" t="s">
        <v>699</v>
      </c>
      <c r="C45" s="534" t="s">
        <v>826</v>
      </c>
      <c r="D45" s="534" t="s">
        <v>911</v>
      </c>
      <c r="E45" s="519" t="str">
        <f>IF('GPS Anthro Tool'!$B$6=1,"China GB27887","")</f>
        <v/>
      </c>
      <c r="F45" s="507" t="s">
        <v>4244</v>
      </c>
      <c r="G45" s="520"/>
      <c r="H45" s="507" t="s">
        <v>912</v>
      </c>
      <c r="I45" s="507"/>
      <c r="J45" s="519" t="s">
        <v>3960</v>
      </c>
      <c r="K45" s="521" t="s">
        <v>605</v>
      </c>
      <c r="L45" s="526" t="s">
        <v>315</v>
      </c>
      <c r="M45" s="527" t="s">
        <v>315</v>
      </c>
      <c r="N45" s="528" t="s">
        <v>315</v>
      </c>
      <c r="O45" s="663"/>
      <c r="P45" s="666"/>
      <c r="Q45" s="566"/>
      <c r="R45" s="530" t="s">
        <v>315</v>
      </c>
      <c r="S45" s="530"/>
      <c r="T45" s="667"/>
    </row>
    <row r="46" spans="1:20" s="508" customFormat="1" ht="90" hidden="1">
      <c r="A46" s="518"/>
      <c r="B46" s="507" t="s">
        <v>699</v>
      </c>
      <c r="C46" s="534" t="s">
        <v>826</v>
      </c>
      <c r="D46" s="534" t="s">
        <v>913</v>
      </c>
      <c r="E46" s="519" t="str">
        <f>IF('GPS Anthro Tool'!$B$6=1,"China GB27887","")</f>
        <v/>
      </c>
      <c r="F46" s="507" t="s">
        <v>4244</v>
      </c>
      <c r="G46" s="520"/>
      <c r="H46" s="507" t="s">
        <v>914</v>
      </c>
      <c r="I46" s="507"/>
      <c r="J46" s="519" t="s">
        <v>3960</v>
      </c>
      <c r="K46" s="521" t="s">
        <v>605</v>
      </c>
      <c r="L46" s="526" t="s">
        <v>315</v>
      </c>
      <c r="M46" s="527" t="s">
        <v>315</v>
      </c>
      <c r="N46" s="528" t="s">
        <v>315</v>
      </c>
      <c r="O46" s="663"/>
      <c r="P46" s="666"/>
      <c r="Q46" s="566"/>
      <c r="R46" s="530" t="s">
        <v>315</v>
      </c>
      <c r="S46" s="530"/>
      <c r="T46" s="667"/>
    </row>
    <row r="47" spans="1:20" s="508" customFormat="1" ht="75" hidden="1">
      <c r="A47" s="518"/>
      <c r="B47" s="507" t="s">
        <v>865</v>
      </c>
      <c r="C47" s="534" t="s">
        <v>840</v>
      </c>
      <c r="D47" s="509" t="s">
        <v>866</v>
      </c>
      <c r="E47" s="519" t="str">
        <f>IF('GPS Anthro Tool'!$B$6=1,"China GB27887","")</f>
        <v/>
      </c>
      <c r="F47" s="507" t="s">
        <v>4244</v>
      </c>
      <c r="G47" s="520" t="s">
        <v>604</v>
      </c>
      <c r="H47" s="507" t="s">
        <v>867</v>
      </c>
      <c r="I47" s="507"/>
      <c r="J47" s="519" t="s">
        <v>3960</v>
      </c>
      <c r="K47" s="521" t="s">
        <v>605</v>
      </c>
      <c r="L47" s="526" t="s">
        <v>315</v>
      </c>
      <c r="M47" s="527" t="s">
        <v>315</v>
      </c>
      <c r="N47" s="528" t="s">
        <v>315</v>
      </c>
      <c r="O47" s="663"/>
      <c r="P47" s="666"/>
      <c r="Q47" s="566"/>
      <c r="R47" s="530" t="s">
        <v>315</v>
      </c>
      <c r="S47" s="530"/>
      <c r="T47" s="667"/>
    </row>
    <row r="48" spans="1:20" s="508" customFormat="1" ht="105" hidden="1">
      <c r="A48" s="518"/>
      <c r="B48" s="507" t="s">
        <v>699</v>
      </c>
      <c r="C48" s="534" t="s">
        <v>826</v>
      </c>
      <c r="D48" s="534" t="s">
        <v>868</v>
      </c>
      <c r="E48" s="519" t="str">
        <f>IF('GPS Anthro Tool'!$B$6=1,"China GB27887","")</f>
        <v/>
      </c>
      <c r="F48" s="507" t="s">
        <v>4244</v>
      </c>
      <c r="G48" s="520" t="s">
        <v>604</v>
      </c>
      <c r="H48" s="507" t="s">
        <v>869</v>
      </c>
      <c r="I48" s="507"/>
      <c r="J48" s="519" t="s">
        <v>3960</v>
      </c>
      <c r="K48" s="521" t="s">
        <v>605</v>
      </c>
      <c r="L48" s="526" t="s">
        <v>315</v>
      </c>
      <c r="M48" s="527" t="s">
        <v>315</v>
      </c>
      <c r="N48" s="528" t="s">
        <v>315</v>
      </c>
      <c r="O48" s="663"/>
      <c r="P48" s="666"/>
      <c r="Q48" s="566"/>
      <c r="R48" s="530" t="s">
        <v>315</v>
      </c>
      <c r="S48" s="530"/>
      <c r="T48" s="667"/>
    </row>
    <row r="49" spans="1:20" s="508" customFormat="1" ht="135" hidden="1">
      <c r="A49" s="518"/>
      <c r="B49" s="507" t="s">
        <v>699</v>
      </c>
      <c r="C49" s="534" t="s">
        <v>826</v>
      </c>
      <c r="D49" s="534" t="s">
        <v>870</v>
      </c>
      <c r="E49" s="519" t="str">
        <f>IF('GPS Anthro Tool'!$B$6=1,"China GB27887","")</f>
        <v/>
      </c>
      <c r="F49" s="507" t="s">
        <v>4244</v>
      </c>
      <c r="G49" s="520" t="s">
        <v>604</v>
      </c>
      <c r="H49" s="507" t="s">
        <v>871</v>
      </c>
      <c r="I49" s="507"/>
      <c r="J49" s="519" t="s">
        <v>3960</v>
      </c>
      <c r="K49" s="521" t="s">
        <v>605</v>
      </c>
      <c r="L49" s="526" t="s">
        <v>315</v>
      </c>
      <c r="M49" s="527" t="s">
        <v>315</v>
      </c>
      <c r="N49" s="528" t="s">
        <v>315</v>
      </c>
      <c r="O49" s="663"/>
      <c r="P49" s="666"/>
      <c r="Q49" s="566"/>
      <c r="R49" s="530" t="s">
        <v>315</v>
      </c>
      <c r="S49" s="530"/>
      <c r="T49" s="667"/>
    </row>
    <row r="50" spans="1:20" s="508" customFormat="1" ht="30" hidden="1">
      <c r="A50" s="518"/>
      <c r="B50" s="507" t="s">
        <v>699</v>
      </c>
      <c r="C50" s="534" t="s">
        <v>826</v>
      </c>
      <c r="D50" s="534" t="s">
        <v>872</v>
      </c>
      <c r="E50" s="519" t="str">
        <f>IF('GPS Anthro Tool'!$B$6=1,"China GB27887","")</f>
        <v/>
      </c>
      <c r="F50" s="507" t="s">
        <v>4244</v>
      </c>
      <c r="G50" s="520" t="s">
        <v>873</v>
      </c>
      <c r="H50" s="507" t="s">
        <v>874</v>
      </c>
      <c r="I50" s="507"/>
      <c r="J50" s="519" t="s">
        <v>3960</v>
      </c>
      <c r="K50" s="521" t="s">
        <v>605</v>
      </c>
      <c r="L50" s="526" t="s">
        <v>315</v>
      </c>
      <c r="M50" s="527" t="s">
        <v>315</v>
      </c>
      <c r="N50" s="528" t="s">
        <v>315</v>
      </c>
      <c r="O50" s="663"/>
      <c r="P50" s="666"/>
      <c r="Q50" s="566"/>
      <c r="R50" s="530" t="s">
        <v>315</v>
      </c>
      <c r="S50" s="530"/>
      <c r="T50" s="667"/>
    </row>
    <row r="51" spans="1:20" s="508" customFormat="1" ht="60" hidden="1">
      <c r="A51" s="518"/>
      <c r="B51" s="507" t="s">
        <v>699</v>
      </c>
      <c r="C51" s="534" t="s">
        <v>826</v>
      </c>
      <c r="D51" s="534" t="s">
        <v>875</v>
      </c>
      <c r="E51" s="519" t="str">
        <f>IF('GPS Anthro Tool'!$B$6=1,"China GB27887","")</f>
        <v/>
      </c>
      <c r="F51" s="507" t="s">
        <v>4244</v>
      </c>
      <c r="G51" s="520" t="s">
        <v>873</v>
      </c>
      <c r="H51" s="507" t="s">
        <v>876</v>
      </c>
      <c r="I51" s="507"/>
      <c r="J51" s="519" t="s">
        <v>3960</v>
      </c>
      <c r="K51" s="521" t="s">
        <v>605</v>
      </c>
      <c r="L51" s="526" t="s">
        <v>315</v>
      </c>
      <c r="M51" s="527" t="s">
        <v>315</v>
      </c>
      <c r="N51" s="528" t="s">
        <v>315</v>
      </c>
      <c r="O51" s="663"/>
      <c r="P51" s="666"/>
      <c r="Q51" s="566"/>
      <c r="R51" s="530" t="s">
        <v>315</v>
      </c>
      <c r="S51" s="530"/>
      <c r="T51" s="667"/>
    </row>
    <row r="52" spans="1:20" s="508" customFormat="1" ht="60" hidden="1">
      <c r="A52" s="518"/>
      <c r="B52" s="507" t="s">
        <v>699</v>
      </c>
      <c r="C52" s="534" t="s">
        <v>826</v>
      </c>
      <c r="D52" s="534" t="s">
        <v>877</v>
      </c>
      <c r="E52" s="519" t="str">
        <f>IF('GPS Anthro Tool'!$B$6=1,"China GB27887","")</f>
        <v/>
      </c>
      <c r="F52" s="507" t="s">
        <v>4244</v>
      </c>
      <c r="G52" s="520" t="s">
        <v>873</v>
      </c>
      <c r="H52" s="507" t="s">
        <v>878</v>
      </c>
      <c r="I52" s="507"/>
      <c r="J52" s="519" t="s">
        <v>3960</v>
      </c>
      <c r="K52" s="521" t="s">
        <v>605</v>
      </c>
      <c r="L52" s="526" t="s">
        <v>315</v>
      </c>
      <c r="M52" s="527" t="s">
        <v>315</v>
      </c>
      <c r="N52" s="528" t="s">
        <v>315</v>
      </c>
      <c r="O52" s="663"/>
      <c r="P52" s="666"/>
      <c r="Q52" s="566"/>
      <c r="R52" s="530" t="s">
        <v>315</v>
      </c>
      <c r="S52" s="530"/>
      <c r="T52" s="667"/>
    </row>
    <row r="53" spans="1:20" s="508" customFormat="1" ht="45" hidden="1">
      <c r="A53" s="518"/>
      <c r="B53" s="507" t="s">
        <v>699</v>
      </c>
      <c r="C53" s="534" t="s">
        <v>826</v>
      </c>
      <c r="D53" s="534" t="s">
        <v>879</v>
      </c>
      <c r="E53" s="519" t="str">
        <f>IF('GPS Anthro Tool'!$B$6=1,"China GB27887","")</f>
        <v/>
      </c>
      <c r="F53" s="507" t="s">
        <v>4244</v>
      </c>
      <c r="G53" s="520" t="s">
        <v>873</v>
      </c>
      <c r="H53" s="507" t="s">
        <v>880</v>
      </c>
      <c r="I53" s="507"/>
      <c r="J53" s="519" t="s">
        <v>3960</v>
      </c>
      <c r="K53" s="521" t="s">
        <v>605</v>
      </c>
      <c r="L53" s="526" t="s">
        <v>315</v>
      </c>
      <c r="M53" s="527" t="s">
        <v>315</v>
      </c>
      <c r="N53" s="528" t="s">
        <v>315</v>
      </c>
      <c r="O53" s="663"/>
      <c r="P53" s="666"/>
      <c r="Q53" s="566"/>
      <c r="R53" s="530" t="s">
        <v>315</v>
      </c>
      <c r="S53" s="530"/>
      <c r="T53" s="566"/>
    </row>
    <row r="54" spans="1:20" s="508" customFormat="1" ht="60" hidden="1">
      <c r="A54" s="518"/>
      <c r="B54" s="507" t="s">
        <v>699</v>
      </c>
      <c r="C54" s="534" t="s">
        <v>826</v>
      </c>
      <c r="D54" s="534" t="s">
        <v>881</v>
      </c>
      <c r="E54" s="519" t="str">
        <f>IF('GPS Anthro Tool'!$B$6=1,"China GB27887","")</f>
        <v/>
      </c>
      <c r="F54" s="507" t="s">
        <v>4244</v>
      </c>
      <c r="G54" s="520" t="s">
        <v>873</v>
      </c>
      <c r="H54" s="507" t="s">
        <v>882</v>
      </c>
      <c r="I54" s="507"/>
      <c r="J54" s="519" t="s">
        <v>3960</v>
      </c>
      <c r="K54" s="521" t="s">
        <v>605</v>
      </c>
      <c r="L54" s="526" t="s">
        <v>315</v>
      </c>
      <c r="M54" s="527" t="s">
        <v>315</v>
      </c>
      <c r="N54" s="528" t="s">
        <v>315</v>
      </c>
      <c r="O54" s="663"/>
      <c r="P54" s="666"/>
      <c r="Q54" s="566"/>
      <c r="R54" s="530" t="s">
        <v>315</v>
      </c>
      <c r="S54" s="530"/>
      <c r="T54" s="566"/>
    </row>
    <row r="55" spans="1:20" s="508" customFormat="1" ht="165" hidden="1">
      <c r="A55" s="518"/>
      <c r="B55" s="507" t="s">
        <v>699</v>
      </c>
      <c r="C55" s="534" t="s">
        <v>826</v>
      </c>
      <c r="D55" s="534" t="s">
        <v>889</v>
      </c>
      <c r="E55" s="519" t="str">
        <f>IF('GPS Anthro Tool'!$B$6=1,"China GB27887","")</f>
        <v/>
      </c>
      <c r="F55" s="507" t="s">
        <v>4244</v>
      </c>
      <c r="G55" s="520" t="s">
        <v>890</v>
      </c>
      <c r="H55" s="507" t="s">
        <v>891</v>
      </c>
      <c r="I55" s="507"/>
      <c r="J55" s="519" t="s">
        <v>3960</v>
      </c>
      <c r="K55" s="521" t="s">
        <v>605</v>
      </c>
      <c r="L55" s="526" t="s">
        <v>315</v>
      </c>
      <c r="M55" s="527" t="s">
        <v>315</v>
      </c>
      <c r="N55" s="528" t="s">
        <v>315</v>
      </c>
      <c r="O55" s="663"/>
      <c r="P55" s="666"/>
      <c r="Q55" s="566"/>
      <c r="R55" s="530" t="s">
        <v>315</v>
      </c>
      <c r="S55" s="530"/>
      <c r="T55" s="566"/>
    </row>
    <row r="56" spans="1:20" s="508" customFormat="1" ht="105" hidden="1">
      <c r="A56" s="518"/>
      <c r="B56" s="507" t="s">
        <v>865</v>
      </c>
      <c r="C56" s="534" t="s">
        <v>840</v>
      </c>
      <c r="D56" s="534" t="s">
        <v>896</v>
      </c>
      <c r="E56" s="519" t="str">
        <f>IF('GPS Anthro Tool'!$B$6=1,"China GB27887","")</f>
        <v/>
      </c>
      <c r="F56" s="507" t="s">
        <v>4244</v>
      </c>
      <c r="G56" s="520" t="s">
        <v>604</v>
      </c>
      <c r="H56" s="507" t="s">
        <v>897</v>
      </c>
      <c r="I56" s="507"/>
      <c r="J56" s="519" t="s">
        <v>3960</v>
      </c>
      <c r="K56" s="521" t="s">
        <v>605</v>
      </c>
      <c r="L56" s="526" t="s">
        <v>315</v>
      </c>
      <c r="M56" s="527" t="s">
        <v>315</v>
      </c>
      <c r="N56" s="528" t="s">
        <v>315</v>
      </c>
      <c r="O56" s="663"/>
      <c r="P56" s="666"/>
      <c r="Q56" s="566"/>
      <c r="R56" s="530" t="s">
        <v>315</v>
      </c>
      <c r="S56" s="530"/>
      <c r="T56" s="566"/>
    </row>
    <row r="57" spans="1:20" s="508" customFormat="1" ht="45" hidden="1">
      <c r="A57" s="518"/>
      <c r="B57" s="507" t="s">
        <v>699</v>
      </c>
      <c r="C57" s="534" t="s">
        <v>840</v>
      </c>
      <c r="D57" s="534" t="s">
        <v>898</v>
      </c>
      <c r="E57" s="519" t="str">
        <f>IF('GPS Anthro Tool'!$B$6=1,"China GB27887","")</f>
        <v/>
      </c>
      <c r="F57" s="507" t="s">
        <v>4244</v>
      </c>
      <c r="G57" s="520"/>
      <c r="H57" s="507" t="s">
        <v>899</v>
      </c>
      <c r="I57" s="507"/>
      <c r="J57" s="519" t="s">
        <v>3960</v>
      </c>
      <c r="K57" s="521" t="s">
        <v>605</v>
      </c>
      <c r="L57" s="526" t="s">
        <v>315</v>
      </c>
      <c r="M57" s="527" t="s">
        <v>315</v>
      </c>
      <c r="N57" s="528" t="s">
        <v>315</v>
      </c>
      <c r="O57" s="663"/>
      <c r="P57" s="666"/>
      <c r="Q57" s="566"/>
      <c r="R57" s="530" t="s">
        <v>315</v>
      </c>
      <c r="S57" s="530"/>
      <c r="T57" s="566"/>
    </row>
    <row r="58" spans="1:20" s="508" customFormat="1" ht="105" hidden="1">
      <c r="A58" s="518"/>
      <c r="B58" s="507" t="s">
        <v>900</v>
      </c>
      <c r="C58" s="534" t="s">
        <v>840</v>
      </c>
      <c r="D58" s="534" t="s">
        <v>901</v>
      </c>
      <c r="E58" s="519" t="str">
        <f>IF('GPS Anthro Tool'!$B$6=1,"China GB27887","")</f>
        <v/>
      </c>
      <c r="F58" s="507" t="s">
        <v>4244</v>
      </c>
      <c r="G58" s="506"/>
      <c r="H58" s="507" t="s">
        <v>902</v>
      </c>
      <c r="I58" s="507"/>
      <c r="J58" s="519" t="s">
        <v>3960</v>
      </c>
      <c r="K58" s="521" t="s">
        <v>605</v>
      </c>
      <c r="L58" s="526" t="s">
        <v>315</v>
      </c>
      <c r="M58" s="527" t="s">
        <v>315</v>
      </c>
      <c r="N58" s="528" t="s">
        <v>315</v>
      </c>
      <c r="O58" s="663"/>
      <c r="P58" s="666"/>
      <c r="Q58" s="566"/>
      <c r="R58" s="530" t="s">
        <v>315</v>
      </c>
      <c r="S58" s="530"/>
      <c r="T58" s="566"/>
    </row>
    <row r="59" spans="1:20" s="508" customFormat="1" ht="150" hidden="1">
      <c r="A59" s="518"/>
      <c r="B59" s="507" t="s">
        <v>699</v>
      </c>
      <c r="C59" s="534" t="s">
        <v>917</v>
      </c>
      <c r="D59" s="507" t="s">
        <v>922</v>
      </c>
      <c r="E59" s="519" t="str">
        <f>IF('GPS Anthro Tool'!$B$6=1,"China GB27887","")</f>
        <v/>
      </c>
      <c r="F59" s="507" t="s">
        <v>4244</v>
      </c>
      <c r="G59" s="520"/>
      <c r="H59" s="507" t="s">
        <v>923</v>
      </c>
      <c r="I59" s="507"/>
      <c r="J59" s="519" t="s">
        <v>3960</v>
      </c>
      <c r="K59" s="521" t="s">
        <v>605</v>
      </c>
      <c r="L59" s="526" t="s">
        <v>315</v>
      </c>
      <c r="M59" s="527" t="s">
        <v>315</v>
      </c>
      <c r="N59" s="528" t="s">
        <v>315</v>
      </c>
      <c r="O59" s="663"/>
      <c r="P59" s="666"/>
      <c r="Q59" s="566"/>
      <c r="R59" s="530" t="s">
        <v>315</v>
      </c>
      <c r="S59" s="530"/>
      <c r="T59" s="566"/>
    </row>
    <row r="60" spans="1:20" s="508" customFormat="1" ht="60" hidden="1">
      <c r="A60" s="518"/>
      <c r="B60" s="507" t="s">
        <v>699</v>
      </c>
      <c r="C60" s="534" t="s">
        <v>917</v>
      </c>
      <c r="D60" s="507" t="s">
        <v>924</v>
      </c>
      <c r="E60" s="519" t="str">
        <f>IF('GPS Anthro Tool'!$B$6=1,"China GB27887","")</f>
        <v/>
      </c>
      <c r="F60" s="507" t="s">
        <v>4244</v>
      </c>
      <c r="G60" s="520"/>
      <c r="H60" s="507" t="s">
        <v>925</v>
      </c>
      <c r="I60" s="507"/>
      <c r="J60" s="519" t="s">
        <v>3960</v>
      </c>
      <c r="K60" s="521" t="s">
        <v>605</v>
      </c>
      <c r="L60" s="526" t="s">
        <v>315</v>
      </c>
      <c r="M60" s="527" t="s">
        <v>315</v>
      </c>
      <c r="N60" s="528" t="s">
        <v>315</v>
      </c>
      <c r="O60" s="663"/>
      <c r="P60" s="666"/>
      <c r="Q60" s="566"/>
      <c r="R60" s="530" t="s">
        <v>315</v>
      </c>
      <c r="S60" s="530"/>
      <c r="T60" s="566"/>
    </row>
    <row r="61" spans="1:20" s="508" customFormat="1" ht="105" hidden="1">
      <c r="A61" s="518"/>
      <c r="B61" s="507" t="s">
        <v>699</v>
      </c>
      <c r="C61" s="534" t="s">
        <v>917</v>
      </c>
      <c r="D61" s="507" t="s">
        <v>928</v>
      </c>
      <c r="E61" s="519" t="str">
        <f>IF('GPS Anthro Tool'!$B$6=1,"China GB27887","")</f>
        <v/>
      </c>
      <c r="F61" s="507" t="s">
        <v>4244</v>
      </c>
      <c r="G61" s="520"/>
      <c r="H61" s="507" t="s">
        <v>929</v>
      </c>
      <c r="I61" s="507"/>
      <c r="J61" s="519" t="s">
        <v>3960</v>
      </c>
      <c r="K61" s="521" t="s">
        <v>605</v>
      </c>
      <c r="L61" s="526" t="s">
        <v>315</v>
      </c>
      <c r="M61" s="527" t="s">
        <v>315</v>
      </c>
      <c r="N61" s="528" t="s">
        <v>315</v>
      </c>
      <c r="O61" s="663"/>
      <c r="P61" s="666"/>
      <c r="Q61" s="566"/>
      <c r="R61" s="530" t="s">
        <v>315</v>
      </c>
      <c r="S61" s="530"/>
      <c r="T61" s="566"/>
    </row>
    <row r="62" spans="1:20" s="508" customFormat="1" ht="90" hidden="1">
      <c r="A62" s="518"/>
      <c r="B62" s="507" t="s">
        <v>699</v>
      </c>
      <c r="C62" s="534" t="s">
        <v>917</v>
      </c>
      <c r="D62" s="507" t="s">
        <v>932</v>
      </c>
      <c r="E62" s="519" t="str">
        <f>IF('GPS Anthro Tool'!$B$6=1,"China GB27887","")</f>
        <v/>
      </c>
      <c r="F62" s="507" t="s">
        <v>4244</v>
      </c>
      <c r="G62" s="520"/>
      <c r="H62" s="507" t="s">
        <v>933</v>
      </c>
      <c r="I62" s="507"/>
      <c r="J62" s="519" t="s">
        <v>3960</v>
      </c>
      <c r="K62" s="521" t="s">
        <v>605</v>
      </c>
      <c r="L62" s="526" t="s">
        <v>315</v>
      </c>
      <c r="M62" s="527" t="s">
        <v>315</v>
      </c>
      <c r="N62" s="528" t="s">
        <v>315</v>
      </c>
      <c r="O62" s="663"/>
      <c r="P62" s="666"/>
      <c r="Q62" s="566"/>
      <c r="R62" s="530" t="s">
        <v>315</v>
      </c>
      <c r="S62" s="530"/>
      <c r="T62" s="667"/>
    </row>
    <row r="63" spans="1:20" s="508" customFormat="1" ht="150" hidden="1">
      <c r="A63" s="518"/>
      <c r="B63" s="507" t="s">
        <v>699</v>
      </c>
      <c r="C63" s="534" t="s">
        <v>917</v>
      </c>
      <c r="D63" s="507" t="s">
        <v>936</v>
      </c>
      <c r="E63" s="519" t="str">
        <f>IF('GPS Anthro Tool'!$B$6=1,"China GB27887","")</f>
        <v/>
      </c>
      <c r="F63" s="507" t="s">
        <v>4244</v>
      </c>
      <c r="G63" s="520"/>
      <c r="H63" s="507" t="s">
        <v>937</v>
      </c>
      <c r="I63" s="507"/>
      <c r="J63" s="519" t="s">
        <v>3960</v>
      </c>
      <c r="K63" s="521" t="s">
        <v>605</v>
      </c>
      <c r="L63" s="526" t="s">
        <v>315</v>
      </c>
      <c r="M63" s="527" t="s">
        <v>315</v>
      </c>
      <c r="N63" s="528" t="s">
        <v>315</v>
      </c>
      <c r="O63" s="663"/>
      <c r="P63" s="666"/>
      <c r="Q63" s="566"/>
      <c r="R63" s="530" t="s">
        <v>315</v>
      </c>
      <c r="S63" s="530"/>
      <c r="T63" s="667"/>
    </row>
    <row r="64" spans="1:20" s="508" customFormat="1" ht="45" hidden="1">
      <c r="A64" s="518"/>
      <c r="B64" s="507" t="s">
        <v>699</v>
      </c>
      <c r="C64" s="534" t="s">
        <v>940</v>
      </c>
      <c r="D64" s="507" t="s">
        <v>941</v>
      </c>
      <c r="E64" s="519" t="str">
        <f>IF('GPS Anthro Tool'!$B$6=1,"China GB27887","")</f>
        <v/>
      </c>
      <c r="F64" s="507" t="s">
        <v>4244</v>
      </c>
      <c r="G64" s="520"/>
      <c r="H64" s="507" t="s">
        <v>942</v>
      </c>
      <c r="I64" s="507"/>
      <c r="J64" s="519" t="s">
        <v>3960</v>
      </c>
      <c r="K64" s="521" t="s">
        <v>605</v>
      </c>
      <c r="L64" s="526" t="s">
        <v>315</v>
      </c>
      <c r="M64" s="527" t="s">
        <v>315</v>
      </c>
      <c r="N64" s="528" t="s">
        <v>315</v>
      </c>
      <c r="O64" s="663"/>
      <c r="P64" s="666"/>
      <c r="Q64" s="566"/>
      <c r="R64" s="530" t="s">
        <v>315</v>
      </c>
      <c r="S64" s="530"/>
      <c r="T64" s="667"/>
    </row>
    <row r="65" spans="1:20" s="508" customFormat="1" ht="75" hidden="1">
      <c r="A65" s="518"/>
      <c r="B65" s="507" t="s">
        <v>699</v>
      </c>
      <c r="C65" s="534" t="s">
        <v>940</v>
      </c>
      <c r="D65" s="507" t="s">
        <v>943</v>
      </c>
      <c r="E65" s="519" t="str">
        <f>IF('GPS Anthro Tool'!$B$6=1,"China GB27887","")</f>
        <v/>
      </c>
      <c r="F65" s="507" t="s">
        <v>4244</v>
      </c>
      <c r="G65" s="520"/>
      <c r="H65" s="507" t="s">
        <v>944</v>
      </c>
      <c r="I65" s="507"/>
      <c r="J65" s="519" t="s">
        <v>3960</v>
      </c>
      <c r="K65" s="521" t="s">
        <v>605</v>
      </c>
      <c r="L65" s="526" t="s">
        <v>315</v>
      </c>
      <c r="M65" s="527" t="s">
        <v>315</v>
      </c>
      <c r="N65" s="528" t="s">
        <v>315</v>
      </c>
      <c r="O65" s="663"/>
      <c r="P65" s="666"/>
      <c r="Q65" s="566"/>
      <c r="R65" s="530" t="s">
        <v>315</v>
      </c>
      <c r="S65" s="530"/>
      <c r="T65" s="667"/>
    </row>
    <row r="66" spans="1:20" s="508" customFormat="1" ht="75" hidden="1">
      <c r="A66" s="518"/>
      <c r="B66" s="507" t="s">
        <v>699</v>
      </c>
      <c r="C66" s="534" t="s">
        <v>940</v>
      </c>
      <c r="D66" s="507" t="s">
        <v>949</v>
      </c>
      <c r="E66" s="519" t="str">
        <f>IF('GPS Anthro Tool'!$B$6=1,"China GB27887","")</f>
        <v/>
      </c>
      <c r="F66" s="507" t="s">
        <v>4244</v>
      </c>
      <c r="G66" s="520"/>
      <c r="H66" s="507" t="s">
        <v>950</v>
      </c>
      <c r="I66" s="507"/>
      <c r="J66" s="519" t="s">
        <v>3960</v>
      </c>
      <c r="K66" s="521" t="s">
        <v>605</v>
      </c>
      <c r="L66" s="526" t="s">
        <v>315</v>
      </c>
      <c r="M66" s="527" t="s">
        <v>315</v>
      </c>
      <c r="N66" s="528" t="s">
        <v>315</v>
      </c>
      <c r="O66" s="663"/>
      <c r="P66" s="666"/>
      <c r="Q66" s="566"/>
      <c r="R66" s="530" t="s">
        <v>315</v>
      </c>
      <c r="S66" s="530"/>
      <c r="T66" s="667"/>
    </row>
    <row r="67" spans="1:20" s="508" customFormat="1" ht="45" hidden="1">
      <c r="A67" s="518"/>
      <c r="B67" s="507" t="s">
        <v>699</v>
      </c>
      <c r="C67" s="534" t="s">
        <v>940</v>
      </c>
      <c r="D67" s="507" t="s">
        <v>953</v>
      </c>
      <c r="E67" s="519" t="str">
        <f>IF('GPS Anthro Tool'!$B$6=1,"China GB27887","")</f>
        <v/>
      </c>
      <c r="F67" s="507" t="s">
        <v>4244</v>
      </c>
      <c r="G67" s="520"/>
      <c r="H67" s="507" t="s">
        <v>954</v>
      </c>
      <c r="I67" s="507"/>
      <c r="J67" s="519" t="s">
        <v>3960</v>
      </c>
      <c r="K67" s="521" t="s">
        <v>605</v>
      </c>
      <c r="L67" s="526" t="s">
        <v>315</v>
      </c>
      <c r="M67" s="527" t="s">
        <v>315</v>
      </c>
      <c r="N67" s="528" t="s">
        <v>315</v>
      </c>
      <c r="O67" s="663"/>
      <c r="P67" s="666"/>
      <c r="Q67" s="566"/>
      <c r="R67" s="530" t="s">
        <v>315</v>
      </c>
      <c r="S67" s="530"/>
      <c r="T67" s="667"/>
    </row>
    <row r="68" spans="1:20" s="508" customFormat="1" ht="90" hidden="1">
      <c r="A68" s="518"/>
      <c r="B68" s="507" t="s">
        <v>699</v>
      </c>
      <c r="C68" s="534" t="s">
        <v>940</v>
      </c>
      <c r="D68" s="507" t="s">
        <v>957</v>
      </c>
      <c r="E68" s="519" t="str">
        <f>IF('GPS Anthro Tool'!$B$6=1,"China GB27887","")</f>
        <v/>
      </c>
      <c r="F68" s="507" t="s">
        <v>4244</v>
      </c>
      <c r="G68" s="520"/>
      <c r="H68" s="507" t="s">
        <v>958</v>
      </c>
      <c r="I68" s="506" t="s">
        <v>959</v>
      </c>
      <c r="J68" s="519" t="s">
        <v>3960</v>
      </c>
      <c r="K68" s="521" t="s">
        <v>605</v>
      </c>
      <c r="L68" s="526" t="s">
        <v>315</v>
      </c>
      <c r="M68" s="527" t="s">
        <v>315</v>
      </c>
      <c r="N68" s="528" t="s">
        <v>315</v>
      </c>
      <c r="O68" s="663"/>
      <c r="P68" s="666"/>
      <c r="Q68" s="566"/>
      <c r="R68" s="530" t="s">
        <v>315</v>
      </c>
      <c r="S68" s="530"/>
      <c r="T68" s="667"/>
    </row>
    <row r="69" spans="1:20" s="508" customFormat="1" ht="90" hidden="1">
      <c r="A69" s="518"/>
      <c r="B69" s="507" t="s">
        <v>699</v>
      </c>
      <c r="C69" s="534" t="s">
        <v>962</v>
      </c>
      <c r="D69" s="507" t="s">
        <v>963</v>
      </c>
      <c r="E69" s="519" t="str">
        <f>IF('GPS Anthro Tool'!$B$6=1,"China GB27887","")</f>
        <v/>
      </c>
      <c r="F69" s="507" t="s">
        <v>4244</v>
      </c>
      <c r="G69" s="520"/>
      <c r="H69" s="507" t="s">
        <v>964</v>
      </c>
      <c r="I69" s="507"/>
      <c r="J69" s="519" t="s">
        <v>3960</v>
      </c>
      <c r="K69" s="521" t="s">
        <v>605</v>
      </c>
      <c r="L69" s="526" t="s">
        <v>315</v>
      </c>
      <c r="M69" s="527" t="s">
        <v>315</v>
      </c>
      <c r="N69" s="528" t="s">
        <v>315</v>
      </c>
      <c r="O69" s="663"/>
      <c r="P69" s="666"/>
      <c r="Q69" s="566"/>
      <c r="R69" s="530" t="s">
        <v>315</v>
      </c>
      <c r="S69" s="530"/>
      <c r="T69" s="667"/>
    </row>
    <row r="70" spans="1:20" s="508" customFormat="1" ht="45" hidden="1">
      <c r="A70" s="518"/>
      <c r="B70" s="519" t="s">
        <v>1158</v>
      </c>
      <c r="C70" s="534" t="s">
        <v>1403</v>
      </c>
      <c r="D70" s="507" t="s">
        <v>1404</v>
      </c>
      <c r="E70" s="519" t="str">
        <f>IF('GPS Anthro Tool'!$B$6=1,"China GB27887","")</f>
        <v/>
      </c>
      <c r="F70" s="507" t="s">
        <v>4244</v>
      </c>
      <c r="G70" s="520" t="s">
        <v>1405</v>
      </c>
      <c r="H70" s="506" t="s">
        <v>959</v>
      </c>
      <c r="I70" s="507" t="s">
        <v>1406</v>
      </c>
      <c r="J70" s="519" t="s">
        <v>3960</v>
      </c>
      <c r="K70" s="521" t="s">
        <v>605</v>
      </c>
      <c r="L70" s="526" t="s">
        <v>315</v>
      </c>
      <c r="M70" s="527" t="s">
        <v>315</v>
      </c>
      <c r="N70" s="528" t="s">
        <v>315</v>
      </c>
      <c r="O70" s="663"/>
      <c r="P70" s="666"/>
      <c r="Q70" s="566"/>
      <c r="R70" s="530" t="s">
        <v>315</v>
      </c>
      <c r="S70" s="530"/>
      <c r="T70" s="667"/>
    </row>
    <row r="71" spans="1:20" s="508" customFormat="1" ht="75" hidden="1">
      <c r="A71" s="518"/>
      <c r="B71" s="519" t="s">
        <v>1158</v>
      </c>
      <c r="C71" s="534" t="s">
        <v>1403</v>
      </c>
      <c r="D71" s="534" t="s">
        <v>1407</v>
      </c>
      <c r="E71" s="519" t="str">
        <f>IF('GPS Anthro Tool'!$B$6=1,"China GB27887","")</f>
        <v/>
      </c>
      <c r="F71" s="507" t="s">
        <v>4244</v>
      </c>
      <c r="G71" s="520" t="s">
        <v>1405</v>
      </c>
      <c r="H71" s="506" t="s">
        <v>959</v>
      </c>
      <c r="I71" s="507" t="s">
        <v>1408</v>
      </c>
      <c r="J71" s="519" t="s">
        <v>3960</v>
      </c>
      <c r="K71" s="521" t="s">
        <v>605</v>
      </c>
      <c r="L71" s="526" t="s">
        <v>315</v>
      </c>
      <c r="M71" s="527" t="s">
        <v>315</v>
      </c>
      <c r="N71" s="528" t="s">
        <v>315</v>
      </c>
      <c r="O71" s="663"/>
      <c r="P71" s="666"/>
      <c r="Q71" s="566"/>
      <c r="R71" s="530" t="s">
        <v>315</v>
      </c>
      <c r="S71" s="530"/>
      <c r="T71" s="667"/>
    </row>
    <row r="72" spans="1:20" s="508" customFormat="1" ht="135" hidden="1">
      <c r="A72" s="518"/>
      <c r="B72" s="519" t="s">
        <v>1158</v>
      </c>
      <c r="C72" s="534" t="s">
        <v>1415</v>
      </c>
      <c r="D72" s="534" t="s">
        <v>1416</v>
      </c>
      <c r="E72" s="519" t="str">
        <f>IF('GPS Anthro Tool'!$B$6=1,"China GB27887","")</f>
        <v/>
      </c>
      <c r="F72" s="507" t="s">
        <v>4244</v>
      </c>
      <c r="G72" s="520" t="s">
        <v>1417</v>
      </c>
      <c r="H72" s="506" t="s">
        <v>959</v>
      </c>
      <c r="I72" s="507" t="s">
        <v>1418</v>
      </c>
      <c r="J72" s="519" t="s">
        <v>3960</v>
      </c>
      <c r="K72" s="521" t="s">
        <v>605</v>
      </c>
      <c r="L72" s="526" t="s">
        <v>315</v>
      </c>
      <c r="M72" s="527" t="s">
        <v>315</v>
      </c>
      <c r="N72" s="528" t="s">
        <v>315</v>
      </c>
      <c r="O72" s="663"/>
      <c r="P72" s="666"/>
      <c r="Q72" s="566"/>
      <c r="R72" s="530" t="s">
        <v>315</v>
      </c>
      <c r="S72" s="530"/>
      <c r="T72" s="667"/>
    </row>
    <row r="73" spans="1:20" s="508" customFormat="1" ht="165" hidden="1">
      <c r="A73" s="518"/>
      <c r="B73" s="519" t="s">
        <v>1158</v>
      </c>
      <c r="C73" s="534" t="s">
        <v>1415</v>
      </c>
      <c r="D73" s="534" t="s">
        <v>1419</v>
      </c>
      <c r="E73" s="519" t="str">
        <f>IF('GPS Anthro Tool'!$B$6=1,"China GB27887","")</f>
        <v/>
      </c>
      <c r="F73" s="507" t="s">
        <v>4244</v>
      </c>
      <c r="G73" s="520" t="s">
        <v>1417</v>
      </c>
      <c r="H73" s="507" t="s">
        <v>1420</v>
      </c>
      <c r="I73" s="507"/>
      <c r="J73" s="519" t="s">
        <v>3960</v>
      </c>
      <c r="K73" s="521" t="s">
        <v>605</v>
      </c>
      <c r="L73" s="526" t="s">
        <v>315</v>
      </c>
      <c r="M73" s="527" t="s">
        <v>315</v>
      </c>
      <c r="N73" s="528" t="s">
        <v>315</v>
      </c>
      <c r="O73" s="663"/>
      <c r="P73" s="666"/>
      <c r="Q73" s="566"/>
      <c r="R73" s="530" t="s">
        <v>315</v>
      </c>
      <c r="S73" s="530"/>
      <c r="T73" s="667"/>
    </row>
    <row r="74" spans="1:20" s="508" customFormat="1" ht="120" hidden="1">
      <c r="A74" s="518"/>
      <c r="B74" s="519" t="s">
        <v>1158</v>
      </c>
      <c r="C74" s="507" t="s">
        <v>1427</v>
      </c>
      <c r="D74" s="534" t="s">
        <v>1428</v>
      </c>
      <c r="E74" s="519" t="str">
        <f>IF('GPS Anthro Tool'!$B$6=1,"China GB27887","")</f>
        <v/>
      </c>
      <c r="F74" s="507" t="s">
        <v>4244</v>
      </c>
      <c r="G74" s="520" t="s">
        <v>1429</v>
      </c>
      <c r="H74" s="506" t="s">
        <v>959</v>
      </c>
      <c r="I74" s="507" t="s">
        <v>1430</v>
      </c>
      <c r="J74" s="519" t="s">
        <v>3960</v>
      </c>
      <c r="K74" s="521" t="s">
        <v>605</v>
      </c>
      <c r="L74" s="526" t="s">
        <v>315</v>
      </c>
      <c r="M74" s="527" t="s">
        <v>315</v>
      </c>
      <c r="N74" s="528" t="s">
        <v>315</v>
      </c>
      <c r="O74" s="663"/>
      <c r="P74" s="666"/>
      <c r="Q74" s="566"/>
      <c r="R74" s="530" t="s">
        <v>315</v>
      </c>
      <c r="S74" s="530"/>
      <c r="T74" s="667"/>
    </row>
    <row r="75" spans="1:20" s="508" customFormat="1" ht="60" hidden="1">
      <c r="A75" s="518"/>
      <c r="B75" s="507" t="s">
        <v>606</v>
      </c>
      <c r="C75" s="509" t="s">
        <v>623</v>
      </c>
      <c r="D75" s="534" t="s">
        <v>624</v>
      </c>
      <c r="E75" s="519" t="str">
        <f>IF('GPS Anthro Tool'!$B$6=1,"China GB27887","")</f>
        <v/>
      </c>
      <c r="F75" s="507" t="s">
        <v>4244</v>
      </c>
      <c r="G75" s="520" t="s">
        <v>3958</v>
      </c>
      <c r="H75" s="507" t="s">
        <v>625</v>
      </c>
      <c r="I75" s="507"/>
      <c r="J75" s="519" t="s">
        <v>3960</v>
      </c>
      <c r="K75" s="521" t="s">
        <v>605</v>
      </c>
      <c r="L75" s="526" t="s">
        <v>315</v>
      </c>
      <c r="M75" s="527" t="s">
        <v>315</v>
      </c>
      <c r="N75" s="528" t="s">
        <v>315</v>
      </c>
      <c r="O75" s="663"/>
      <c r="P75" s="529"/>
      <c r="Q75" s="531"/>
      <c r="R75" s="530" t="s">
        <v>315</v>
      </c>
      <c r="S75" s="530"/>
      <c r="T75" s="667"/>
    </row>
    <row r="76" spans="1:20" s="508" customFormat="1" ht="60" hidden="1">
      <c r="A76" s="518"/>
      <c r="B76" s="507" t="s">
        <v>606</v>
      </c>
      <c r="C76" s="509" t="s">
        <v>623</v>
      </c>
      <c r="D76" s="534" t="s">
        <v>626</v>
      </c>
      <c r="E76" s="519" t="str">
        <f>IF('GPS Anthro Tool'!$B$6=1,"China GB27887","")</f>
        <v/>
      </c>
      <c r="F76" s="507" t="s">
        <v>4244</v>
      </c>
      <c r="G76" s="520" t="s">
        <v>3958</v>
      </c>
      <c r="H76" s="507" t="s">
        <v>627</v>
      </c>
      <c r="I76" s="507"/>
      <c r="J76" s="519" t="s">
        <v>3960</v>
      </c>
      <c r="K76" s="521" t="s">
        <v>605</v>
      </c>
      <c r="L76" s="526" t="s">
        <v>315</v>
      </c>
      <c r="M76" s="527" t="s">
        <v>315</v>
      </c>
      <c r="N76" s="528" t="s">
        <v>315</v>
      </c>
      <c r="O76" s="663"/>
      <c r="P76" s="529"/>
      <c r="Q76" s="531"/>
      <c r="R76" s="530" t="s">
        <v>315</v>
      </c>
      <c r="S76" s="530"/>
      <c r="T76" s="667"/>
    </row>
    <row r="77" spans="1:20" s="508" customFormat="1" ht="30" hidden="1">
      <c r="A77" s="518"/>
      <c r="B77" s="507" t="s">
        <v>606</v>
      </c>
      <c r="C77" s="509" t="s">
        <v>623</v>
      </c>
      <c r="D77" s="534" t="s">
        <v>628</v>
      </c>
      <c r="E77" s="519" t="str">
        <f>IF('GPS Anthro Tool'!$B$6=1,"China GB27887","")</f>
        <v/>
      </c>
      <c r="F77" s="507" t="s">
        <v>4244</v>
      </c>
      <c r="G77" s="520" t="s">
        <v>3958</v>
      </c>
      <c r="H77" s="507" t="s">
        <v>629</v>
      </c>
      <c r="I77" s="507"/>
      <c r="J77" s="519" t="s">
        <v>3960</v>
      </c>
      <c r="K77" s="521" t="s">
        <v>605</v>
      </c>
      <c r="L77" s="526" t="s">
        <v>315</v>
      </c>
      <c r="M77" s="527" t="s">
        <v>315</v>
      </c>
      <c r="N77" s="528" t="s">
        <v>315</v>
      </c>
      <c r="O77" s="663"/>
      <c r="P77" s="529"/>
      <c r="Q77" s="531"/>
      <c r="R77" s="530" t="s">
        <v>315</v>
      </c>
      <c r="S77" s="530"/>
      <c r="T77" s="667"/>
    </row>
    <row r="78" spans="1:20" s="508" customFormat="1" ht="75" hidden="1">
      <c r="A78" s="518"/>
      <c r="B78" s="507" t="s">
        <v>606</v>
      </c>
      <c r="C78" s="509" t="s">
        <v>623</v>
      </c>
      <c r="D78" s="534" t="s">
        <v>630</v>
      </c>
      <c r="E78" s="519" t="str">
        <f>IF('GPS Anthro Tool'!$B$6=1,"China GB27887","")</f>
        <v/>
      </c>
      <c r="F78" s="507" t="s">
        <v>4244</v>
      </c>
      <c r="G78" s="520" t="s">
        <v>3958</v>
      </c>
      <c r="H78" s="507" t="s">
        <v>631</v>
      </c>
      <c r="I78" s="507"/>
      <c r="J78" s="519" t="s">
        <v>3960</v>
      </c>
      <c r="K78" s="521" t="s">
        <v>605</v>
      </c>
      <c r="L78" s="526" t="s">
        <v>315</v>
      </c>
      <c r="M78" s="527" t="s">
        <v>315</v>
      </c>
      <c r="N78" s="528" t="s">
        <v>315</v>
      </c>
      <c r="O78" s="663"/>
      <c r="P78" s="529"/>
      <c r="Q78" s="531"/>
      <c r="R78" s="530" t="s">
        <v>315</v>
      </c>
      <c r="S78" s="530"/>
      <c r="T78" s="667"/>
    </row>
    <row r="79" spans="1:20" s="508" customFormat="1" ht="60" hidden="1">
      <c r="A79" s="518"/>
      <c r="B79" s="507" t="s">
        <v>606</v>
      </c>
      <c r="C79" s="509" t="s">
        <v>623</v>
      </c>
      <c r="D79" s="534" t="s">
        <v>632</v>
      </c>
      <c r="E79" s="519" t="str">
        <f>IF('GPS Anthro Tool'!$B$6=1,"China GB27887","")</f>
        <v/>
      </c>
      <c r="F79" s="507" t="s">
        <v>4244</v>
      </c>
      <c r="G79" s="520" t="s">
        <v>3958</v>
      </c>
      <c r="H79" s="507" t="s">
        <v>633</v>
      </c>
      <c r="I79" s="507"/>
      <c r="J79" s="519" t="s">
        <v>3960</v>
      </c>
      <c r="K79" s="521" t="s">
        <v>605</v>
      </c>
      <c r="L79" s="526" t="s">
        <v>315</v>
      </c>
      <c r="M79" s="527" t="s">
        <v>315</v>
      </c>
      <c r="N79" s="528" t="s">
        <v>315</v>
      </c>
      <c r="O79" s="663"/>
      <c r="P79" s="529"/>
      <c r="Q79" s="531"/>
      <c r="R79" s="530" t="s">
        <v>315</v>
      </c>
      <c r="S79" s="530"/>
      <c r="T79" s="667"/>
    </row>
    <row r="80" spans="1:20" s="508" customFormat="1" ht="75" hidden="1">
      <c r="A80" s="518"/>
      <c r="B80" s="519" t="s">
        <v>1063</v>
      </c>
      <c r="C80" s="507" t="s">
        <v>1064</v>
      </c>
      <c r="D80" s="507" t="s">
        <v>1065</v>
      </c>
      <c r="E80" s="519" t="str">
        <f>IF('GPS Anthro Tool'!$B$6=1,"China GB27887","")</f>
        <v/>
      </c>
      <c r="F80" s="507" t="s">
        <v>4244</v>
      </c>
      <c r="G80" s="520" t="s">
        <v>1066</v>
      </c>
      <c r="H80" s="506" t="s">
        <v>959</v>
      </c>
      <c r="I80" s="507" t="s">
        <v>1067</v>
      </c>
      <c r="J80" s="519" t="s">
        <v>3960</v>
      </c>
      <c r="K80" s="521" t="s">
        <v>605</v>
      </c>
      <c r="L80" s="526" t="s">
        <v>315</v>
      </c>
      <c r="M80" s="527" t="s">
        <v>315</v>
      </c>
      <c r="N80" s="528" t="s">
        <v>315</v>
      </c>
      <c r="O80" s="663"/>
      <c r="P80" s="666"/>
      <c r="Q80" s="566"/>
      <c r="R80" s="530" t="s">
        <v>315</v>
      </c>
      <c r="S80" s="535"/>
      <c r="T80" s="667"/>
    </row>
    <row r="81" spans="1:20" s="508" customFormat="1" ht="105" hidden="1">
      <c r="A81" s="518"/>
      <c r="B81" s="519" t="s">
        <v>1063</v>
      </c>
      <c r="C81" s="507" t="s">
        <v>1064</v>
      </c>
      <c r="D81" s="507" t="s">
        <v>1068</v>
      </c>
      <c r="E81" s="519" t="str">
        <f>IF('GPS Anthro Tool'!$B$6=1,"China GB27887","")</f>
        <v/>
      </c>
      <c r="F81" s="507" t="s">
        <v>4244</v>
      </c>
      <c r="G81" s="520" t="s">
        <v>1066</v>
      </c>
      <c r="H81" s="506" t="s">
        <v>959</v>
      </c>
      <c r="I81" s="507" t="s">
        <v>1069</v>
      </c>
      <c r="J81" s="519" t="s">
        <v>3960</v>
      </c>
      <c r="K81" s="521" t="s">
        <v>605</v>
      </c>
      <c r="L81" s="526" t="s">
        <v>315</v>
      </c>
      <c r="M81" s="527" t="s">
        <v>315</v>
      </c>
      <c r="N81" s="528" t="s">
        <v>315</v>
      </c>
      <c r="O81" s="663"/>
      <c r="P81" s="666"/>
      <c r="Q81" s="566"/>
      <c r="R81" s="530" t="s">
        <v>315</v>
      </c>
      <c r="S81" s="535"/>
      <c r="T81" s="667"/>
    </row>
    <row r="82" spans="1:20" s="508" customFormat="1" ht="120" hidden="1">
      <c r="A82" s="518"/>
      <c r="B82" s="519" t="s">
        <v>1063</v>
      </c>
      <c r="C82" s="507" t="s">
        <v>1070</v>
      </c>
      <c r="D82" s="534" t="s">
        <v>1071</v>
      </c>
      <c r="E82" s="519" t="str">
        <f>IF('GPS Anthro Tool'!$B$6=1,"China GB27887","")</f>
        <v/>
      </c>
      <c r="F82" s="507" t="s">
        <v>4244</v>
      </c>
      <c r="G82" s="520" t="s">
        <v>1066</v>
      </c>
      <c r="H82" s="506" t="s">
        <v>959</v>
      </c>
      <c r="I82" s="507" t="s">
        <v>1072</v>
      </c>
      <c r="J82" s="519" t="s">
        <v>3960</v>
      </c>
      <c r="K82" s="521" t="s">
        <v>605</v>
      </c>
      <c r="L82" s="526" t="s">
        <v>315</v>
      </c>
      <c r="M82" s="527" t="s">
        <v>315</v>
      </c>
      <c r="N82" s="528" t="s">
        <v>315</v>
      </c>
      <c r="O82" s="663"/>
      <c r="P82" s="666"/>
      <c r="Q82" s="566"/>
      <c r="R82" s="530" t="s">
        <v>315</v>
      </c>
      <c r="S82" s="535"/>
      <c r="T82" s="667"/>
    </row>
    <row r="83" spans="1:20" s="508" customFormat="1" ht="75" hidden="1">
      <c r="A83" s="518"/>
      <c r="B83" s="519" t="s">
        <v>1063</v>
      </c>
      <c r="C83" s="507" t="s">
        <v>1089</v>
      </c>
      <c r="D83" s="534" t="s">
        <v>1090</v>
      </c>
      <c r="E83" s="519" t="str">
        <f>IF('GPS Anthro Tool'!$B$6=1,"China GB27887","")</f>
        <v/>
      </c>
      <c r="F83" s="507" t="s">
        <v>4244</v>
      </c>
      <c r="G83" s="520" t="s">
        <v>1066</v>
      </c>
      <c r="H83" s="506" t="s">
        <v>959</v>
      </c>
      <c r="I83" s="507" t="s">
        <v>1091</v>
      </c>
      <c r="J83" s="519" t="s">
        <v>3960</v>
      </c>
      <c r="K83" s="521" t="s">
        <v>605</v>
      </c>
      <c r="L83" s="526" t="s">
        <v>315</v>
      </c>
      <c r="M83" s="527" t="s">
        <v>315</v>
      </c>
      <c r="N83" s="528" t="s">
        <v>315</v>
      </c>
      <c r="O83" s="663"/>
      <c r="P83" s="666"/>
      <c r="Q83" s="566"/>
      <c r="R83" s="530" t="s">
        <v>315</v>
      </c>
      <c r="S83" s="535"/>
      <c r="T83" s="667"/>
    </row>
    <row r="84" spans="1:20" s="508" customFormat="1" ht="165" hidden="1">
      <c r="A84" s="518"/>
      <c r="B84" s="519" t="s">
        <v>1092</v>
      </c>
      <c r="C84" s="507" t="s">
        <v>1089</v>
      </c>
      <c r="D84" s="534" t="s">
        <v>1093</v>
      </c>
      <c r="E84" s="519" t="str">
        <f>IF('GPS Anthro Tool'!$B$6=1,"China GB27887","")</f>
        <v/>
      </c>
      <c r="F84" s="507" t="s">
        <v>4244</v>
      </c>
      <c r="G84" s="520" t="s">
        <v>1066</v>
      </c>
      <c r="H84" s="506" t="s">
        <v>959</v>
      </c>
      <c r="I84" s="507" t="s">
        <v>1094</v>
      </c>
      <c r="J84" s="519" t="s">
        <v>3960</v>
      </c>
      <c r="K84" s="521" t="s">
        <v>605</v>
      </c>
      <c r="L84" s="526" t="s">
        <v>315</v>
      </c>
      <c r="M84" s="527" t="s">
        <v>315</v>
      </c>
      <c r="N84" s="528" t="s">
        <v>315</v>
      </c>
      <c r="O84" s="663"/>
      <c r="P84" s="666"/>
      <c r="Q84" s="566"/>
      <c r="R84" s="530" t="s">
        <v>315</v>
      </c>
      <c r="S84" s="535"/>
      <c r="T84" s="667"/>
    </row>
    <row r="85" spans="1:20" s="508" customFormat="1" ht="30" hidden="1">
      <c r="A85" s="518"/>
      <c r="B85" s="519" t="s">
        <v>1063</v>
      </c>
      <c r="C85" s="507" t="s">
        <v>1089</v>
      </c>
      <c r="D85" s="534" t="s">
        <v>1095</v>
      </c>
      <c r="E85" s="519" t="str">
        <f>IF('GPS Anthro Tool'!$B$6=1,"China GB27887","")</f>
        <v/>
      </c>
      <c r="F85" s="507" t="s">
        <v>4244</v>
      </c>
      <c r="G85" s="520" t="s">
        <v>1066</v>
      </c>
      <c r="H85" s="506" t="s">
        <v>959</v>
      </c>
      <c r="I85" s="507" t="s">
        <v>1096</v>
      </c>
      <c r="J85" s="519" t="s">
        <v>3960</v>
      </c>
      <c r="K85" s="521" t="s">
        <v>605</v>
      </c>
      <c r="L85" s="526" t="s">
        <v>315</v>
      </c>
      <c r="M85" s="527" t="s">
        <v>315</v>
      </c>
      <c r="N85" s="528" t="s">
        <v>315</v>
      </c>
      <c r="O85" s="663"/>
      <c r="P85" s="666"/>
      <c r="Q85" s="566"/>
      <c r="R85" s="530" t="s">
        <v>315</v>
      </c>
      <c r="S85" s="535"/>
      <c r="T85" s="667"/>
    </row>
    <row r="86" spans="1:20" s="508" customFormat="1" ht="105" hidden="1">
      <c r="A86" s="518"/>
      <c r="B86" s="519" t="s">
        <v>1063</v>
      </c>
      <c r="C86" s="507" t="s">
        <v>1089</v>
      </c>
      <c r="D86" s="534" t="s">
        <v>1097</v>
      </c>
      <c r="E86" s="519" t="str">
        <f>IF('GPS Anthro Tool'!$B$6=1,"China GB27887","")</f>
        <v/>
      </c>
      <c r="F86" s="507" t="s">
        <v>4244</v>
      </c>
      <c r="G86" s="520" t="s">
        <v>1066</v>
      </c>
      <c r="H86" s="506" t="s">
        <v>959</v>
      </c>
      <c r="I86" s="507" t="s">
        <v>1098</v>
      </c>
      <c r="J86" s="519" t="s">
        <v>3960</v>
      </c>
      <c r="K86" s="521" t="s">
        <v>605</v>
      </c>
      <c r="L86" s="526" t="s">
        <v>315</v>
      </c>
      <c r="M86" s="527" t="s">
        <v>315</v>
      </c>
      <c r="N86" s="528" t="s">
        <v>315</v>
      </c>
      <c r="O86" s="663"/>
      <c r="P86" s="666"/>
      <c r="Q86" s="566"/>
      <c r="R86" s="530" t="s">
        <v>315</v>
      </c>
      <c r="S86" s="535"/>
      <c r="T86" s="667"/>
    </row>
    <row r="87" spans="1:20" s="508" customFormat="1" ht="120" hidden="1">
      <c r="A87" s="518"/>
      <c r="B87" s="519" t="s">
        <v>1063</v>
      </c>
      <c r="C87" s="507" t="s">
        <v>1089</v>
      </c>
      <c r="D87" s="534" t="s">
        <v>1126</v>
      </c>
      <c r="E87" s="519" t="str">
        <f>IF('GPS Anthro Tool'!$B$6=1,"China GB27887","")</f>
        <v/>
      </c>
      <c r="F87" s="507" t="s">
        <v>4244</v>
      </c>
      <c r="G87" s="520" t="s">
        <v>1066</v>
      </c>
      <c r="H87" s="506" t="s">
        <v>959</v>
      </c>
      <c r="I87" s="507" t="s">
        <v>1127</v>
      </c>
      <c r="J87" s="519" t="s">
        <v>3960</v>
      </c>
      <c r="K87" s="521" t="s">
        <v>605</v>
      </c>
      <c r="L87" s="526" t="s">
        <v>315</v>
      </c>
      <c r="M87" s="527" t="s">
        <v>315</v>
      </c>
      <c r="N87" s="528" t="s">
        <v>315</v>
      </c>
      <c r="O87" s="663"/>
      <c r="P87" s="666"/>
      <c r="Q87" s="566"/>
      <c r="R87" s="530" t="s">
        <v>315</v>
      </c>
      <c r="S87" s="535"/>
      <c r="T87" s="667"/>
    </row>
    <row r="88" spans="1:20" s="508" customFormat="1" ht="105" hidden="1">
      <c r="A88" s="518"/>
      <c r="B88" s="519" t="s">
        <v>1063</v>
      </c>
      <c r="C88" s="507" t="s">
        <v>1089</v>
      </c>
      <c r="D88" s="534" t="s">
        <v>1099</v>
      </c>
      <c r="E88" s="519" t="str">
        <f>IF('GPS Anthro Tool'!$B$6=1,"China GB27887","")</f>
        <v/>
      </c>
      <c r="F88" s="507" t="s">
        <v>4244</v>
      </c>
      <c r="G88" s="520" t="s">
        <v>1066</v>
      </c>
      <c r="H88" s="506" t="s">
        <v>959</v>
      </c>
      <c r="I88" s="507" t="s">
        <v>1100</v>
      </c>
      <c r="J88" s="519" t="s">
        <v>3960</v>
      </c>
      <c r="K88" s="521" t="s">
        <v>605</v>
      </c>
      <c r="L88" s="526" t="s">
        <v>315</v>
      </c>
      <c r="M88" s="527" t="s">
        <v>315</v>
      </c>
      <c r="N88" s="528" t="s">
        <v>315</v>
      </c>
      <c r="O88" s="663"/>
      <c r="P88" s="666"/>
      <c r="Q88" s="566"/>
      <c r="R88" s="530" t="s">
        <v>315</v>
      </c>
      <c r="S88" s="535"/>
      <c r="T88" s="667"/>
    </row>
    <row r="89" spans="1:20" s="508" customFormat="1" ht="195" hidden="1">
      <c r="A89" s="518"/>
      <c r="B89" s="519" t="s">
        <v>1063</v>
      </c>
      <c r="C89" s="507" t="s">
        <v>1089</v>
      </c>
      <c r="D89" s="534" t="s">
        <v>1122</v>
      </c>
      <c r="E89" s="519" t="str">
        <f>IF('GPS Anthro Tool'!$B$6=1,"China GB27887","")</f>
        <v/>
      </c>
      <c r="F89" s="507" t="s">
        <v>4244</v>
      </c>
      <c r="G89" s="520" t="s">
        <v>1066</v>
      </c>
      <c r="H89" s="506" t="s">
        <v>959</v>
      </c>
      <c r="I89" s="507" t="s">
        <v>1123</v>
      </c>
      <c r="J89" s="519" t="s">
        <v>3960</v>
      </c>
      <c r="K89" s="521" t="s">
        <v>605</v>
      </c>
      <c r="L89" s="526" t="s">
        <v>315</v>
      </c>
      <c r="M89" s="527" t="s">
        <v>315</v>
      </c>
      <c r="N89" s="528" t="s">
        <v>315</v>
      </c>
      <c r="O89" s="663"/>
      <c r="P89" s="666"/>
      <c r="Q89" s="566"/>
      <c r="R89" s="530" t="s">
        <v>315</v>
      </c>
      <c r="S89" s="535"/>
      <c r="T89" s="667"/>
    </row>
    <row r="90" spans="1:20" s="508" customFormat="1" ht="75" hidden="1">
      <c r="A90" s="518"/>
      <c r="B90" s="519" t="s">
        <v>1158</v>
      </c>
      <c r="C90" s="534" t="s">
        <v>1434</v>
      </c>
      <c r="D90" s="507" t="s">
        <v>1435</v>
      </c>
      <c r="E90" s="519" t="str">
        <f>IF('GPS Anthro Tool'!$B$6=1,"China GB27887","")</f>
        <v/>
      </c>
      <c r="F90" s="507" t="s">
        <v>4244</v>
      </c>
      <c r="G90" s="520"/>
      <c r="H90" s="506" t="s">
        <v>959</v>
      </c>
      <c r="I90" s="507" t="s">
        <v>1436</v>
      </c>
      <c r="J90" s="519" t="s">
        <v>3960</v>
      </c>
      <c r="K90" s="521" t="s">
        <v>605</v>
      </c>
      <c r="L90" s="526" t="s">
        <v>315</v>
      </c>
      <c r="M90" s="527" t="s">
        <v>315</v>
      </c>
      <c r="N90" s="528" t="s">
        <v>315</v>
      </c>
      <c r="O90" s="663"/>
      <c r="P90" s="666"/>
      <c r="Q90" s="566"/>
      <c r="R90" s="530" t="s">
        <v>315</v>
      </c>
      <c r="S90" s="530"/>
      <c r="T90" s="667"/>
    </row>
    <row r="91" spans="1:20" s="508" customFormat="1" ht="90" hidden="1">
      <c r="A91" s="518"/>
      <c r="B91" s="519" t="s">
        <v>1158</v>
      </c>
      <c r="C91" s="534" t="s">
        <v>1434</v>
      </c>
      <c r="D91" s="534" t="s">
        <v>1437</v>
      </c>
      <c r="E91" s="519" t="str">
        <f>IF('GPS Anthro Tool'!$B$6=1,"China GB27887","")</f>
        <v/>
      </c>
      <c r="F91" s="507" t="s">
        <v>4244</v>
      </c>
      <c r="G91" s="520"/>
      <c r="H91" s="506" t="s">
        <v>959</v>
      </c>
      <c r="I91" s="507" t="s">
        <v>1438</v>
      </c>
      <c r="J91" s="519" t="s">
        <v>3960</v>
      </c>
      <c r="K91" s="521" t="s">
        <v>605</v>
      </c>
      <c r="L91" s="526" t="s">
        <v>315</v>
      </c>
      <c r="M91" s="527" t="s">
        <v>315</v>
      </c>
      <c r="N91" s="528" t="s">
        <v>315</v>
      </c>
      <c r="O91" s="663"/>
      <c r="P91" s="666"/>
      <c r="Q91" s="566"/>
      <c r="R91" s="530" t="s">
        <v>315</v>
      </c>
      <c r="S91" s="530"/>
      <c r="T91" s="667"/>
    </row>
    <row r="92" spans="1:20" s="508" customFormat="1" ht="285" hidden="1">
      <c r="A92" s="518"/>
      <c r="B92" s="519" t="s">
        <v>1158</v>
      </c>
      <c r="C92" s="536" t="s">
        <v>1159</v>
      </c>
      <c r="D92" s="536" t="s">
        <v>1160</v>
      </c>
      <c r="E92" s="519" t="str">
        <f>IF('GPS Anthro Tool'!$B$6=1,"China GB27887","")</f>
        <v/>
      </c>
      <c r="F92" s="507" t="s">
        <v>4244</v>
      </c>
      <c r="G92" s="520" t="s">
        <v>1161</v>
      </c>
      <c r="H92" s="507" t="s">
        <v>1162</v>
      </c>
      <c r="I92" s="507"/>
      <c r="J92" s="519" t="s">
        <v>3960</v>
      </c>
      <c r="K92" s="521" t="s">
        <v>605</v>
      </c>
      <c r="L92" s="526" t="s">
        <v>315</v>
      </c>
      <c r="M92" s="527" t="s">
        <v>315</v>
      </c>
      <c r="N92" s="528" t="s">
        <v>315</v>
      </c>
      <c r="O92" s="663"/>
      <c r="P92" s="666"/>
      <c r="Q92" s="566"/>
      <c r="R92" s="530" t="s">
        <v>315</v>
      </c>
      <c r="S92" s="535"/>
      <c r="T92" s="667"/>
    </row>
    <row r="93" spans="1:20" s="508" customFormat="1" ht="291" hidden="1">
      <c r="A93" s="518"/>
      <c r="B93" s="519" t="s">
        <v>1158</v>
      </c>
      <c r="C93" s="536" t="s">
        <v>1167</v>
      </c>
      <c r="D93" s="507" t="s">
        <v>1168</v>
      </c>
      <c r="E93" s="519" t="str">
        <f>IF('GPS Anthro Tool'!$B$6=1,"China GB27887","")</f>
        <v/>
      </c>
      <c r="F93" s="507" t="s">
        <v>4244</v>
      </c>
      <c r="G93" s="520" t="s">
        <v>1169</v>
      </c>
      <c r="H93" s="507" t="s">
        <v>3499</v>
      </c>
      <c r="I93" s="507"/>
      <c r="J93" s="519" t="s">
        <v>3960</v>
      </c>
      <c r="K93" s="521" t="s">
        <v>605</v>
      </c>
      <c r="L93" s="526" t="s">
        <v>315</v>
      </c>
      <c r="M93" s="527" t="s">
        <v>315</v>
      </c>
      <c r="N93" s="528" t="s">
        <v>315</v>
      </c>
      <c r="O93" s="663"/>
      <c r="P93" s="666"/>
      <c r="Q93" s="566"/>
      <c r="R93" s="530" t="s">
        <v>315</v>
      </c>
      <c r="S93" s="535"/>
      <c r="T93" s="667"/>
    </row>
    <row r="94" spans="1:20" s="508" customFormat="1" ht="150" hidden="1">
      <c r="A94" s="518"/>
      <c r="B94" s="519" t="s">
        <v>1158</v>
      </c>
      <c r="C94" s="536" t="s">
        <v>1170</v>
      </c>
      <c r="D94" s="507" t="s">
        <v>1168</v>
      </c>
      <c r="E94" s="519" t="str">
        <f>IF('GPS Anthro Tool'!$B$6=1,"China GB27887","")</f>
        <v/>
      </c>
      <c r="F94" s="507" t="s">
        <v>4244</v>
      </c>
      <c r="G94" s="520" t="s">
        <v>1169</v>
      </c>
      <c r="H94" s="536" t="s">
        <v>1171</v>
      </c>
      <c r="I94" s="536"/>
      <c r="J94" s="519" t="s">
        <v>3960</v>
      </c>
      <c r="K94" s="521" t="s">
        <v>605</v>
      </c>
      <c r="L94" s="526" t="s">
        <v>315</v>
      </c>
      <c r="M94" s="527" t="s">
        <v>315</v>
      </c>
      <c r="N94" s="528" t="s">
        <v>315</v>
      </c>
      <c r="O94" s="663"/>
      <c r="P94" s="666"/>
      <c r="Q94" s="566"/>
      <c r="R94" s="530" t="s">
        <v>315</v>
      </c>
      <c r="S94" s="535"/>
      <c r="T94" s="667"/>
    </row>
    <row r="95" spans="1:20" s="508" customFormat="1" ht="45" hidden="1">
      <c r="A95" s="518"/>
      <c r="B95" s="519" t="s">
        <v>1158</v>
      </c>
      <c r="C95" s="507" t="s">
        <v>1181</v>
      </c>
      <c r="D95" s="536" t="s">
        <v>1182</v>
      </c>
      <c r="E95" s="519" t="str">
        <f>IF('GPS Anthro Tool'!$B$6=1,"China GB27887","")</f>
        <v/>
      </c>
      <c r="F95" s="507" t="s">
        <v>4244</v>
      </c>
      <c r="G95" s="520"/>
      <c r="H95" s="507" t="s">
        <v>1183</v>
      </c>
      <c r="I95" s="507"/>
      <c r="J95" s="519" t="s">
        <v>3960</v>
      </c>
      <c r="K95" s="521" t="s">
        <v>605</v>
      </c>
      <c r="L95" s="526" t="s">
        <v>315</v>
      </c>
      <c r="M95" s="527" t="s">
        <v>315</v>
      </c>
      <c r="N95" s="528" t="s">
        <v>315</v>
      </c>
      <c r="O95" s="663"/>
      <c r="P95" s="666"/>
      <c r="Q95" s="566"/>
      <c r="R95" s="530" t="s">
        <v>315</v>
      </c>
      <c r="S95" s="535"/>
      <c r="T95" s="667"/>
    </row>
    <row r="96" spans="1:20" s="508" customFormat="1" ht="180" hidden="1">
      <c r="A96" s="518"/>
      <c r="B96" s="519" t="s">
        <v>1158</v>
      </c>
      <c r="C96" s="536" t="s">
        <v>1159</v>
      </c>
      <c r="D96" s="536" t="s">
        <v>1187</v>
      </c>
      <c r="E96" s="519" t="str">
        <f>IF('GPS Anthro Tool'!$B$6=1,"China GB27887","")</f>
        <v/>
      </c>
      <c r="F96" s="507" t="s">
        <v>4244</v>
      </c>
      <c r="G96" s="520"/>
      <c r="H96" s="507" t="s">
        <v>1188</v>
      </c>
      <c r="I96" s="507"/>
      <c r="J96" s="519" t="s">
        <v>3960</v>
      </c>
      <c r="K96" s="521" t="s">
        <v>605</v>
      </c>
      <c r="L96" s="526" t="s">
        <v>315</v>
      </c>
      <c r="M96" s="527" t="s">
        <v>315</v>
      </c>
      <c r="N96" s="528" t="s">
        <v>315</v>
      </c>
      <c r="O96" s="663"/>
      <c r="P96" s="666"/>
      <c r="Q96" s="566"/>
      <c r="R96" s="530" t="s">
        <v>315</v>
      </c>
      <c r="S96" s="535"/>
      <c r="T96" s="566"/>
    </row>
    <row r="97" spans="1:20" s="508" customFormat="1" ht="90" hidden="1">
      <c r="A97" s="518"/>
      <c r="B97" s="519" t="s">
        <v>1158</v>
      </c>
      <c r="C97" s="536" t="s">
        <v>1159</v>
      </c>
      <c r="D97" s="536" t="s">
        <v>1198</v>
      </c>
      <c r="E97" s="519" t="str">
        <f>IF('GPS Anthro Tool'!$B$6=1,"China GB27887","")</f>
        <v/>
      </c>
      <c r="F97" s="507" t="s">
        <v>4244</v>
      </c>
      <c r="G97" s="520"/>
      <c r="H97" s="507" t="s">
        <v>1199</v>
      </c>
      <c r="I97" s="507"/>
      <c r="J97" s="519" t="s">
        <v>3960</v>
      </c>
      <c r="K97" s="521" t="s">
        <v>605</v>
      </c>
      <c r="L97" s="526" t="s">
        <v>315</v>
      </c>
      <c r="M97" s="527" t="s">
        <v>315</v>
      </c>
      <c r="N97" s="528" t="s">
        <v>315</v>
      </c>
      <c r="O97" s="663"/>
      <c r="P97" s="666"/>
      <c r="Q97" s="566"/>
      <c r="R97" s="530" t="s">
        <v>315</v>
      </c>
      <c r="S97" s="535"/>
      <c r="T97" s="566"/>
    </row>
    <row r="98" spans="1:20" s="508" customFormat="1" ht="90" hidden="1">
      <c r="A98" s="518"/>
      <c r="B98" s="519" t="s">
        <v>1158</v>
      </c>
      <c r="C98" s="536" t="s">
        <v>1159</v>
      </c>
      <c r="D98" s="536" t="s">
        <v>1200</v>
      </c>
      <c r="E98" s="519" t="str">
        <f>IF('GPS Anthro Tool'!$B$6=1,"China GB27887","")</f>
        <v/>
      </c>
      <c r="F98" s="507" t="s">
        <v>4244</v>
      </c>
      <c r="G98" s="520"/>
      <c r="H98" s="507" t="s">
        <v>1201</v>
      </c>
      <c r="I98" s="507"/>
      <c r="J98" s="519" t="s">
        <v>3960</v>
      </c>
      <c r="K98" s="521" t="s">
        <v>605</v>
      </c>
      <c r="L98" s="526" t="s">
        <v>315</v>
      </c>
      <c r="M98" s="527" t="s">
        <v>315</v>
      </c>
      <c r="N98" s="528" t="s">
        <v>315</v>
      </c>
      <c r="O98" s="663"/>
      <c r="P98" s="666"/>
      <c r="Q98" s="566"/>
      <c r="R98" s="530" t="s">
        <v>315</v>
      </c>
      <c r="S98" s="535"/>
      <c r="T98" s="566"/>
    </row>
    <row r="99" spans="1:20" s="508" customFormat="1" ht="90" hidden="1">
      <c r="A99" s="518"/>
      <c r="B99" s="519" t="s">
        <v>1158</v>
      </c>
      <c r="C99" s="507" t="s">
        <v>1204</v>
      </c>
      <c r="D99" s="536" t="s">
        <v>1205</v>
      </c>
      <c r="E99" s="519" t="str">
        <f>IF('GPS Anthro Tool'!$B$6=1,"China GB27887","")</f>
        <v/>
      </c>
      <c r="F99" s="507" t="s">
        <v>4244</v>
      </c>
      <c r="G99" s="520"/>
      <c r="H99" s="507" t="s">
        <v>1206</v>
      </c>
      <c r="I99" s="506" t="s">
        <v>959</v>
      </c>
      <c r="J99" s="519" t="s">
        <v>3960</v>
      </c>
      <c r="K99" s="521" t="s">
        <v>605</v>
      </c>
      <c r="L99" s="526" t="s">
        <v>315</v>
      </c>
      <c r="M99" s="527" t="s">
        <v>315</v>
      </c>
      <c r="N99" s="528" t="s">
        <v>315</v>
      </c>
      <c r="O99" s="663"/>
      <c r="P99" s="666"/>
      <c r="Q99" s="566"/>
      <c r="R99" s="530" t="s">
        <v>315</v>
      </c>
      <c r="S99" s="535"/>
      <c r="T99" s="667"/>
    </row>
    <row r="100" spans="1:20" s="508" customFormat="1" ht="60" hidden="1">
      <c r="A100" s="518"/>
      <c r="B100" s="519" t="s">
        <v>1158</v>
      </c>
      <c r="C100" s="507" t="s">
        <v>1209</v>
      </c>
      <c r="D100" s="536" t="s">
        <v>1210</v>
      </c>
      <c r="E100" s="519" t="str">
        <f>IF('GPS Anthro Tool'!$B$6=1,"China GB27887","")</f>
        <v/>
      </c>
      <c r="F100" s="507" t="s">
        <v>4244</v>
      </c>
      <c r="G100" s="520"/>
      <c r="H100" s="507" t="s">
        <v>1211</v>
      </c>
      <c r="I100" s="507" t="s">
        <v>1212</v>
      </c>
      <c r="J100" s="519" t="s">
        <v>3960</v>
      </c>
      <c r="K100" s="521" t="s">
        <v>605</v>
      </c>
      <c r="L100" s="526" t="s">
        <v>315</v>
      </c>
      <c r="M100" s="527" t="s">
        <v>315</v>
      </c>
      <c r="N100" s="528" t="s">
        <v>315</v>
      </c>
      <c r="O100" s="663"/>
      <c r="P100" s="666"/>
      <c r="Q100" s="566"/>
      <c r="R100" s="530" t="s">
        <v>315</v>
      </c>
      <c r="S100" s="535"/>
      <c r="T100" s="667"/>
    </row>
    <row r="101" spans="1:20" s="508" customFormat="1" ht="45" hidden="1">
      <c r="A101" s="518"/>
      <c r="B101" s="519" t="s">
        <v>1158</v>
      </c>
      <c r="C101" s="507" t="s">
        <v>1216</v>
      </c>
      <c r="D101" s="536" t="s">
        <v>1217</v>
      </c>
      <c r="E101" s="519" t="str">
        <f>IF('GPS Anthro Tool'!$B$6=1,"China GB27887","")</f>
        <v/>
      </c>
      <c r="F101" s="507" t="s">
        <v>4244</v>
      </c>
      <c r="G101" s="520"/>
      <c r="H101" s="506" t="s">
        <v>959</v>
      </c>
      <c r="I101" s="507" t="s">
        <v>1218</v>
      </c>
      <c r="J101" s="519" t="s">
        <v>3960</v>
      </c>
      <c r="K101" s="521" t="s">
        <v>605</v>
      </c>
      <c r="L101" s="526" t="s">
        <v>315</v>
      </c>
      <c r="M101" s="527" t="s">
        <v>315</v>
      </c>
      <c r="N101" s="528" t="s">
        <v>315</v>
      </c>
      <c r="O101" s="663"/>
      <c r="P101" s="666"/>
      <c r="Q101" s="566"/>
      <c r="R101" s="530" t="s">
        <v>315</v>
      </c>
      <c r="S101" s="535"/>
      <c r="T101" s="667"/>
    </row>
    <row r="102" spans="1:20" s="508" customFormat="1" ht="30" hidden="1">
      <c r="A102" s="518"/>
      <c r="B102" s="519" t="s">
        <v>1158</v>
      </c>
      <c r="C102" s="507" t="s">
        <v>1216</v>
      </c>
      <c r="D102" s="536" t="s">
        <v>1219</v>
      </c>
      <c r="E102" s="519" t="str">
        <f>IF('GPS Anthro Tool'!$B$6=1,"China GB27887","")</f>
        <v/>
      </c>
      <c r="F102" s="507" t="s">
        <v>4244</v>
      </c>
      <c r="G102" s="520"/>
      <c r="H102" s="506" t="s">
        <v>959</v>
      </c>
      <c r="I102" s="507" t="s">
        <v>1220</v>
      </c>
      <c r="J102" s="519" t="s">
        <v>3960</v>
      </c>
      <c r="K102" s="521" t="s">
        <v>605</v>
      </c>
      <c r="L102" s="526" t="s">
        <v>315</v>
      </c>
      <c r="M102" s="527" t="s">
        <v>315</v>
      </c>
      <c r="N102" s="528" t="s">
        <v>315</v>
      </c>
      <c r="O102" s="663"/>
      <c r="P102" s="666"/>
      <c r="Q102" s="566"/>
      <c r="R102" s="530" t="s">
        <v>315</v>
      </c>
      <c r="S102" s="535"/>
      <c r="T102" s="667"/>
    </row>
    <row r="103" spans="1:20" s="508" customFormat="1" ht="30" hidden="1">
      <c r="A103" s="518"/>
      <c r="B103" s="519" t="s">
        <v>1221</v>
      </c>
      <c r="C103" s="507" t="s">
        <v>1216</v>
      </c>
      <c r="D103" s="536" t="s">
        <v>1222</v>
      </c>
      <c r="E103" s="519" t="str">
        <f>IF('GPS Anthro Tool'!$B$6=1,"China GB27887","")</f>
        <v/>
      </c>
      <c r="F103" s="507" t="s">
        <v>4244</v>
      </c>
      <c r="G103" s="506"/>
      <c r="H103" s="506" t="s">
        <v>959</v>
      </c>
      <c r="I103" s="507" t="s">
        <v>1223</v>
      </c>
      <c r="J103" s="519" t="s">
        <v>3960</v>
      </c>
      <c r="K103" s="521" t="s">
        <v>605</v>
      </c>
      <c r="L103" s="526" t="s">
        <v>315</v>
      </c>
      <c r="M103" s="527" t="s">
        <v>315</v>
      </c>
      <c r="N103" s="528" t="s">
        <v>315</v>
      </c>
      <c r="O103" s="663"/>
      <c r="P103" s="666"/>
      <c r="Q103" s="566"/>
      <c r="R103" s="530" t="s">
        <v>315</v>
      </c>
      <c r="S103" s="535"/>
      <c r="T103" s="667"/>
    </row>
    <row r="104" spans="1:20" s="508" customFormat="1" ht="105" hidden="1">
      <c r="A104" s="518"/>
      <c r="B104" s="519" t="s">
        <v>1158</v>
      </c>
      <c r="C104" s="536" t="s">
        <v>1240</v>
      </c>
      <c r="D104" s="507" t="s">
        <v>1241</v>
      </c>
      <c r="E104" s="519" t="str">
        <f>IF('GPS Anthro Tool'!$B$6=1,"China GB27887","")</f>
        <v/>
      </c>
      <c r="F104" s="507" t="s">
        <v>4244</v>
      </c>
      <c r="G104" s="520" t="s">
        <v>604</v>
      </c>
      <c r="H104" s="507" t="s">
        <v>1242</v>
      </c>
      <c r="I104" s="507"/>
      <c r="J104" s="519" t="s">
        <v>3960</v>
      </c>
      <c r="K104" s="521" t="s">
        <v>605</v>
      </c>
      <c r="L104" s="526" t="s">
        <v>315</v>
      </c>
      <c r="M104" s="527" t="s">
        <v>315</v>
      </c>
      <c r="N104" s="528" t="s">
        <v>315</v>
      </c>
      <c r="O104" s="663"/>
      <c r="P104" s="666"/>
      <c r="Q104" s="566"/>
      <c r="R104" s="530" t="s">
        <v>315</v>
      </c>
      <c r="S104" s="530"/>
      <c r="T104" s="667"/>
    </row>
    <row r="105" spans="1:20" s="508" customFormat="1" ht="75" hidden="1">
      <c r="A105" s="518"/>
      <c r="B105" s="519" t="s">
        <v>1158</v>
      </c>
      <c r="C105" s="536" t="s">
        <v>1240</v>
      </c>
      <c r="D105" s="536" t="s">
        <v>1245</v>
      </c>
      <c r="E105" s="519" t="str">
        <f>IF('GPS Anthro Tool'!$B$6=1,"China GB27887","")</f>
        <v/>
      </c>
      <c r="F105" s="507" t="s">
        <v>4244</v>
      </c>
      <c r="G105" s="520"/>
      <c r="H105" s="507" t="s">
        <v>1246</v>
      </c>
      <c r="I105" s="507"/>
      <c r="J105" s="519" t="s">
        <v>3960</v>
      </c>
      <c r="K105" s="521" t="s">
        <v>605</v>
      </c>
      <c r="L105" s="526" t="s">
        <v>315</v>
      </c>
      <c r="M105" s="527" t="s">
        <v>315</v>
      </c>
      <c r="N105" s="528" t="s">
        <v>315</v>
      </c>
      <c r="O105" s="663"/>
      <c r="P105" s="666"/>
      <c r="Q105" s="566"/>
      <c r="R105" s="530" t="s">
        <v>315</v>
      </c>
      <c r="S105" s="530"/>
      <c r="T105" s="667"/>
    </row>
    <row r="106" spans="1:20" s="508" customFormat="1" ht="60" hidden="1">
      <c r="A106" s="518"/>
      <c r="B106" s="519" t="s">
        <v>1158</v>
      </c>
      <c r="C106" s="536" t="s">
        <v>1240</v>
      </c>
      <c r="D106" s="536" t="s">
        <v>1249</v>
      </c>
      <c r="E106" s="519" t="str">
        <f>IF('GPS Anthro Tool'!$B$6=1,"China GB27887","")</f>
        <v/>
      </c>
      <c r="F106" s="507" t="s">
        <v>4244</v>
      </c>
      <c r="G106" s="520"/>
      <c r="H106" s="507" t="s">
        <v>1250</v>
      </c>
      <c r="I106" s="507"/>
      <c r="J106" s="519" t="s">
        <v>3960</v>
      </c>
      <c r="K106" s="521" t="s">
        <v>605</v>
      </c>
      <c r="L106" s="526" t="s">
        <v>315</v>
      </c>
      <c r="M106" s="527" t="s">
        <v>315</v>
      </c>
      <c r="N106" s="528" t="s">
        <v>315</v>
      </c>
      <c r="O106" s="663"/>
      <c r="P106" s="666"/>
      <c r="Q106" s="566"/>
      <c r="R106" s="530" t="s">
        <v>315</v>
      </c>
      <c r="S106" s="530"/>
      <c r="T106" s="667"/>
    </row>
    <row r="107" spans="1:20" s="508" customFormat="1" ht="120" hidden="1">
      <c r="A107" s="518"/>
      <c r="B107" s="519" t="s">
        <v>1158</v>
      </c>
      <c r="C107" s="536" t="s">
        <v>1253</v>
      </c>
      <c r="D107" s="536" t="s">
        <v>1254</v>
      </c>
      <c r="E107" s="519" t="str">
        <f>IF('GPS Anthro Tool'!$B$6=1,"China GB27887","")</f>
        <v/>
      </c>
      <c r="F107" s="507" t="s">
        <v>4244</v>
      </c>
      <c r="G107" s="520"/>
      <c r="H107" s="507" t="s">
        <v>1255</v>
      </c>
      <c r="I107" s="507"/>
      <c r="J107" s="519" t="s">
        <v>3960</v>
      </c>
      <c r="K107" s="521" t="s">
        <v>605</v>
      </c>
      <c r="L107" s="526" t="s">
        <v>315</v>
      </c>
      <c r="M107" s="527" t="s">
        <v>315</v>
      </c>
      <c r="N107" s="528" t="s">
        <v>315</v>
      </c>
      <c r="O107" s="663"/>
      <c r="P107" s="666"/>
      <c r="Q107" s="566"/>
      <c r="R107" s="530" t="s">
        <v>315</v>
      </c>
      <c r="S107" s="530"/>
      <c r="T107" s="667"/>
    </row>
    <row r="108" spans="1:20" s="508" customFormat="1" ht="120" hidden="1">
      <c r="A108" s="518"/>
      <c r="B108" s="519" t="s">
        <v>1158</v>
      </c>
      <c r="C108" s="536" t="s">
        <v>1258</v>
      </c>
      <c r="D108" s="536" t="s">
        <v>1259</v>
      </c>
      <c r="E108" s="519" t="str">
        <f>IF('GPS Anthro Tool'!$B$6=1,"China GB27887","")</f>
        <v/>
      </c>
      <c r="F108" s="507" t="s">
        <v>4244</v>
      </c>
      <c r="G108" s="520"/>
      <c r="H108" s="507" t="s">
        <v>1260</v>
      </c>
      <c r="I108" s="507"/>
      <c r="J108" s="519" t="s">
        <v>3960</v>
      </c>
      <c r="K108" s="521" t="s">
        <v>605</v>
      </c>
      <c r="L108" s="526" t="s">
        <v>315</v>
      </c>
      <c r="M108" s="527" t="s">
        <v>315</v>
      </c>
      <c r="N108" s="528" t="s">
        <v>315</v>
      </c>
      <c r="O108" s="663"/>
      <c r="P108" s="666"/>
      <c r="Q108" s="566"/>
      <c r="R108" s="530" t="s">
        <v>315</v>
      </c>
      <c r="S108" s="530"/>
      <c r="T108" s="667"/>
    </row>
    <row r="109" spans="1:20" s="508" customFormat="1" ht="120" hidden="1">
      <c r="A109" s="518"/>
      <c r="B109" s="519" t="s">
        <v>1158</v>
      </c>
      <c r="C109" s="507" t="s">
        <v>1269</v>
      </c>
      <c r="D109" s="536" t="s">
        <v>1270</v>
      </c>
      <c r="E109" s="519" t="str">
        <f>IF('GPS Anthro Tool'!$B$6=1,"China GB27887","")</f>
        <v/>
      </c>
      <c r="F109" s="507" t="s">
        <v>4244</v>
      </c>
      <c r="G109" s="520"/>
      <c r="H109" s="507" t="s">
        <v>1271</v>
      </c>
      <c r="I109" s="506" t="s">
        <v>959</v>
      </c>
      <c r="J109" s="519" t="s">
        <v>3960</v>
      </c>
      <c r="K109" s="521" t="s">
        <v>605</v>
      </c>
      <c r="L109" s="526" t="s">
        <v>315</v>
      </c>
      <c r="M109" s="527" t="s">
        <v>315</v>
      </c>
      <c r="N109" s="528" t="s">
        <v>315</v>
      </c>
      <c r="O109" s="663"/>
      <c r="P109" s="666"/>
      <c r="Q109" s="566"/>
      <c r="R109" s="530" t="s">
        <v>315</v>
      </c>
      <c r="S109" s="530"/>
      <c r="T109" s="667"/>
    </row>
    <row r="110" spans="1:20" s="508" customFormat="1" ht="135" hidden="1">
      <c r="A110" s="518"/>
      <c r="B110" s="519" t="s">
        <v>1158</v>
      </c>
      <c r="C110" s="536" t="s">
        <v>1274</v>
      </c>
      <c r="D110" s="536" t="s">
        <v>1275</v>
      </c>
      <c r="E110" s="519" t="str">
        <f>IF('GPS Anthro Tool'!$B$6=1,"China GB27887","")</f>
        <v/>
      </c>
      <c r="F110" s="507" t="s">
        <v>4244</v>
      </c>
      <c r="G110" s="520"/>
      <c r="H110" s="507" t="s">
        <v>1276</v>
      </c>
      <c r="I110" s="507"/>
      <c r="J110" s="519" t="s">
        <v>3960</v>
      </c>
      <c r="K110" s="521" t="s">
        <v>605</v>
      </c>
      <c r="L110" s="526" t="s">
        <v>315</v>
      </c>
      <c r="M110" s="527" t="s">
        <v>315</v>
      </c>
      <c r="N110" s="528" t="s">
        <v>315</v>
      </c>
      <c r="O110" s="663"/>
      <c r="P110" s="666"/>
      <c r="Q110" s="566"/>
      <c r="R110" s="530" t="s">
        <v>315</v>
      </c>
      <c r="S110" s="530"/>
      <c r="T110" s="667"/>
    </row>
    <row r="111" spans="1:20" s="508" customFormat="1" ht="270" hidden="1">
      <c r="A111" s="518"/>
      <c r="B111" s="519" t="s">
        <v>1158</v>
      </c>
      <c r="C111" s="536" t="s">
        <v>1274</v>
      </c>
      <c r="D111" s="536" t="s">
        <v>1280</v>
      </c>
      <c r="E111" s="519" t="str">
        <f>IF('GPS Anthro Tool'!$B$6=1,"China GB27887","")</f>
        <v/>
      </c>
      <c r="F111" s="507" t="s">
        <v>4244</v>
      </c>
      <c r="G111" s="520"/>
      <c r="H111" s="507" t="s">
        <v>1281</v>
      </c>
      <c r="I111" s="507"/>
      <c r="J111" s="519" t="s">
        <v>3960</v>
      </c>
      <c r="K111" s="521" t="s">
        <v>605</v>
      </c>
      <c r="L111" s="526" t="s">
        <v>315</v>
      </c>
      <c r="M111" s="527" t="s">
        <v>315</v>
      </c>
      <c r="N111" s="528" t="s">
        <v>315</v>
      </c>
      <c r="O111" s="663"/>
      <c r="P111" s="666"/>
      <c r="Q111" s="566"/>
      <c r="R111" s="530" t="s">
        <v>315</v>
      </c>
      <c r="S111" s="530"/>
      <c r="T111" s="667"/>
    </row>
    <row r="112" spans="1:20" s="508" customFormat="1" ht="195" hidden="1">
      <c r="A112" s="518"/>
      <c r="B112" s="519" t="s">
        <v>1158</v>
      </c>
      <c r="C112" s="536" t="s">
        <v>1274</v>
      </c>
      <c r="D112" s="536" t="s">
        <v>1284</v>
      </c>
      <c r="E112" s="519" t="str">
        <f>IF('GPS Anthro Tool'!$B$6=1,"China GB27887","")</f>
        <v/>
      </c>
      <c r="F112" s="507" t="s">
        <v>4244</v>
      </c>
      <c r="G112" s="520"/>
      <c r="H112" s="507" t="s">
        <v>1285</v>
      </c>
      <c r="I112" s="507"/>
      <c r="J112" s="519" t="s">
        <v>3960</v>
      </c>
      <c r="K112" s="521" t="s">
        <v>605</v>
      </c>
      <c r="L112" s="526" t="s">
        <v>315</v>
      </c>
      <c r="M112" s="527" t="s">
        <v>315</v>
      </c>
      <c r="N112" s="528" t="s">
        <v>315</v>
      </c>
      <c r="O112" s="663"/>
      <c r="P112" s="666"/>
      <c r="Q112" s="566"/>
      <c r="R112" s="530" t="s">
        <v>315</v>
      </c>
      <c r="S112" s="530"/>
      <c r="T112" s="667"/>
    </row>
    <row r="113" spans="1:20" s="508" customFormat="1" ht="45" hidden="1">
      <c r="A113" s="518"/>
      <c r="B113" s="519" t="s">
        <v>1158</v>
      </c>
      <c r="C113" s="507" t="s">
        <v>1288</v>
      </c>
      <c r="D113" s="536" t="s">
        <v>1289</v>
      </c>
      <c r="E113" s="519" t="str">
        <f>IF('GPS Anthro Tool'!$B$6=1,"China GB27887","")</f>
        <v/>
      </c>
      <c r="F113" s="507" t="s">
        <v>4244</v>
      </c>
      <c r="G113" s="520"/>
      <c r="H113" s="507" t="s">
        <v>1290</v>
      </c>
      <c r="I113" s="507"/>
      <c r="J113" s="519" t="s">
        <v>3960</v>
      </c>
      <c r="K113" s="521" t="s">
        <v>605</v>
      </c>
      <c r="L113" s="526" t="s">
        <v>315</v>
      </c>
      <c r="M113" s="527" t="s">
        <v>315</v>
      </c>
      <c r="N113" s="528" t="s">
        <v>315</v>
      </c>
      <c r="O113" s="663"/>
      <c r="P113" s="666"/>
      <c r="Q113" s="566"/>
      <c r="R113" s="530" t="s">
        <v>315</v>
      </c>
      <c r="S113" s="530"/>
      <c r="T113" s="667"/>
    </row>
    <row r="114" spans="1:20" s="508" customFormat="1" ht="30" hidden="1">
      <c r="A114" s="518"/>
      <c r="B114" s="519" t="s">
        <v>1158</v>
      </c>
      <c r="C114" s="507" t="s">
        <v>1288</v>
      </c>
      <c r="D114" s="536" t="s">
        <v>1294</v>
      </c>
      <c r="E114" s="519" t="str">
        <f>IF('GPS Anthro Tool'!$B$6=1,"China GB27887","")</f>
        <v/>
      </c>
      <c r="F114" s="507" t="s">
        <v>4244</v>
      </c>
      <c r="G114" s="520"/>
      <c r="H114" s="507" t="s">
        <v>1295</v>
      </c>
      <c r="I114" s="507"/>
      <c r="J114" s="519" t="s">
        <v>3960</v>
      </c>
      <c r="K114" s="521" t="s">
        <v>605</v>
      </c>
      <c r="L114" s="526" t="s">
        <v>315</v>
      </c>
      <c r="M114" s="527" t="s">
        <v>315</v>
      </c>
      <c r="N114" s="528" t="s">
        <v>315</v>
      </c>
      <c r="O114" s="663"/>
      <c r="P114" s="666"/>
      <c r="Q114" s="566"/>
      <c r="R114" s="530" t="s">
        <v>315</v>
      </c>
      <c r="S114" s="530"/>
      <c r="T114" s="667"/>
    </row>
    <row r="115" spans="1:20" s="508" customFormat="1" ht="60" hidden="1">
      <c r="A115" s="518"/>
      <c r="B115" s="519" t="s">
        <v>1158</v>
      </c>
      <c r="C115" s="507" t="s">
        <v>1288</v>
      </c>
      <c r="D115" s="536" t="s">
        <v>1298</v>
      </c>
      <c r="E115" s="519" t="str">
        <f>IF('GPS Anthro Tool'!$B$6=1,"China GB27887","")</f>
        <v/>
      </c>
      <c r="F115" s="507" t="s">
        <v>4244</v>
      </c>
      <c r="G115" s="520"/>
      <c r="H115" s="507" t="s">
        <v>1299</v>
      </c>
      <c r="I115" s="507"/>
      <c r="J115" s="519" t="s">
        <v>3960</v>
      </c>
      <c r="K115" s="521" t="s">
        <v>605</v>
      </c>
      <c r="L115" s="526" t="s">
        <v>315</v>
      </c>
      <c r="M115" s="527" t="s">
        <v>315</v>
      </c>
      <c r="N115" s="528" t="s">
        <v>315</v>
      </c>
      <c r="O115" s="663"/>
      <c r="P115" s="666"/>
      <c r="Q115" s="566"/>
      <c r="R115" s="530" t="s">
        <v>315</v>
      </c>
      <c r="S115" s="530"/>
      <c r="T115" s="667"/>
    </row>
    <row r="116" spans="1:20" s="508" customFormat="1" ht="60" hidden="1">
      <c r="A116" s="518"/>
      <c r="B116" s="519" t="s">
        <v>1158</v>
      </c>
      <c r="C116" s="507" t="s">
        <v>1288</v>
      </c>
      <c r="D116" s="536" t="s">
        <v>1302</v>
      </c>
      <c r="E116" s="519" t="str">
        <f>IF('GPS Anthro Tool'!$B$6=1,"China GB27887","")</f>
        <v/>
      </c>
      <c r="F116" s="507" t="s">
        <v>4244</v>
      </c>
      <c r="G116" s="520"/>
      <c r="H116" s="507" t="s">
        <v>1303</v>
      </c>
      <c r="I116" s="507"/>
      <c r="J116" s="519" t="s">
        <v>3960</v>
      </c>
      <c r="K116" s="521" t="s">
        <v>605</v>
      </c>
      <c r="L116" s="526" t="s">
        <v>315</v>
      </c>
      <c r="M116" s="527" t="s">
        <v>315</v>
      </c>
      <c r="N116" s="528" t="s">
        <v>315</v>
      </c>
      <c r="O116" s="663"/>
      <c r="P116" s="666"/>
      <c r="Q116" s="566"/>
      <c r="R116" s="530" t="s">
        <v>315</v>
      </c>
      <c r="S116" s="530"/>
      <c r="T116" s="667"/>
    </row>
    <row r="117" spans="1:20" s="508" customFormat="1" ht="60" hidden="1">
      <c r="A117" s="518"/>
      <c r="B117" s="519" t="s">
        <v>1158</v>
      </c>
      <c r="C117" s="507" t="s">
        <v>1288</v>
      </c>
      <c r="D117" s="536" t="s">
        <v>1306</v>
      </c>
      <c r="E117" s="519" t="str">
        <f>IF('GPS Anthro Tool'!$B$6=1,"China GB27887","")</f>
        <v/>
      </c>
      <c r="F117" s="507" t="s">
        <v>4244</v>
      </c>
      <c r="G117" s="520"/>
      <c r="H117" s="507" t="s">
        <v>1307</v>
      </c>
      <c r="I117" s="507"/>
      <c r="J117" s="519" t="s">
        <v>3960</v>
      </c>
      <c r="K117" s="521" t="s">
        <v>605</v>
      </c>
      <c r="L117" s="526" t="s">
        <v>315</v>
      </c>
      <c r="M117" s="527" t="s">
        <v>315</v>
      </c>
      <c r="N117" s="528" t="s">
        <v>315</v>
      </c>
      <c r="O117" s="663"/>
      <c r="P117" s="666"/>
      <c r="Q117" s="566"/>
      <c r="R117" s="530" t="s">
        <v>315</v>
      </c>
      <c r="S117" s="530"/>
      <c r="T117" s="667"/>
    </row>
    <row r="118" spans="1:20" s="508" customFormat="1" ht="75" hidden="1">
      <c r="A118" s="518"/>
      <c r="B118" s="519" t="s">
        <v>1158</v>
      </c>
      <c r="C118" s="507" t="s">
        <v>1288</v>
      </c>
      <c r="D118" s="536" t="s">
        <v>1310</v>
      </c>
      <c r="E118" s="519" t="str">
        <f>IF('GPS Anthro Tool'!$B$6=1,"China GB27887","")</f>
        <v/>
      </c>
      <c r="F118" s="507" t="s">
        <v>4244</v>
      </c>
      <c r="G118" s="520"/>
      <c r="H118" s="507" t="s">
        <v>1311</v>
      </c>
      <c r="I118" s="507"/>
      <c r="J118" s="519" t="s">
        <v>3960</v>
      </c>
      <c r="K118" s="521" t="s">
        <v>605</v>
      </c>
      <c r="L118" s="526" t="s">
        <v>315</v>
      </c>
      <c r="M118" s="527" t="s">
        <v>315</v>
      </c>
      <c r="N118" s="528" t="s">
        <v>315</v>
      </c>
      <c r="O118" s="663"/>
      <c r="P118" s="666"/>
      <c r="Q118" s="566"/>
      <c r="R118" s="530" t="s">
        <v>315</v>
      </c>
      <c r="S118" s="530"/>
      <c r="T118" s="667"/>
    </row>
    <row r="119" spans="1:20" s="508" customFormat="1" ht="120" hidden="1">
      <c r="A119" s="518"/>
      <c r="B119" s="519" t="s">
        <v>1158</v>
      </c>
      <c r="C119" s="507" t="s">
        <v>1288</v>
      </c>
      <c r="D119" s="536" t="s">
        <v>1314</v>
      </c>
      <c r="E119" s="519" t="str">
        <f>IF('GPS Anthro Tool'!$B$6=1,"China GB27887","")</f>
        <v/>
      </c>
      <c r="F119" s="507" t="s">
        <v>4244</v>
      </c>
      <c r="G119" s="520"/>
      <c r="H119" s="507" t="s">
        <v>1315</v>
      </c>
      <c r="I119" s="507"/>
      <c r="J119" s="519" t="s">
        <v>3960</v>
      </c>
      <c r="K119" s="521" t="s">
        <v>605</v>
      </c>
      <c r="L119" s="526" t="s">
        <v>315</v>
      </c>
      <c r="M119" s="527" t="s">
        <v>315</v>
      </c>
      <c r="N119" s="528" t="s">
        <v>315</v>
      </c>
      <c r="O119" s="663"/>
      <c r="P119" s="666"/>
      <c r="Q119" s="566"/>
      <c r="R119" s="530" t="s">
        <v>315</v>
      </c>
      <c r="S119" s="530"/>
      <c r="T119" s="667"/>
    </row>
    <row r="120" spans="1:20" s="508" customFormat="1" ht="150" hidden="1">
      <c r="A120" s="518"/>
      <c r="B120" s="519" t="s">
        <v>1158</v>
      </c>
      <c r="C120" s="507" t="s">
        <v>1288</v>
      </c>
      <c r="D120" s="536" t="s">
        <v>1318</v>
      </c>
      <c r="E120" s="519" t="str">
        <f>IF('GPS Anthro Tool'!$B$6=1,"China GB27887","")</f>
        <v/>
      </c>
      <c r="F120" s="507" t="s">
        <v>4244</v>
      </c>
      <c r="G120" s="520"/>
      <c r="H120" s="507" t="s">
        <v>1319</v>
      </c>
      <c r="I120" s="507"/>
      <c r="J120" s="519" t="s">
        <v>3960</v>
      </c>
      <c r="K120" s="521" t="s">
        <v>605</v>
      </c>
      <c r="L120" s="526" t="s">
        <v>315</v>
      </c>
      <c r="M120" s="527" t="s">
        <v>315</v>
      </c>
      <c r="N120" s="528" t="s">
        <v>315</v>
      </c>
      <c r="O120" s="663"/>
      <c r="P120" s="666"/>
      <c r="Q120" s="566"/>
      <c r="R120" s="530" t="s">
        <v>315</v>
      </c>
      <c r="S120" s="530"/>
      <c r="T120" s="667"/>
    </row>
    <row r="121" spans="1:20" s="508" customFormat="1" ht="270" hidden="1">
      <c r="A121" s="518"/>
      <c r="B121" s="519" t="s">
        <v>1158</v>
      </c>
      <c r="C121" s="507" t="s">
        <v>1288</v>
      </c>
      <c r="D121" s="536" t="s">
        <v>1322</v>
      </c>
      <c r="E121" s="519" t="str">
        <f>IF('GPS Anthro Tool'!$B$6=1,"China GB27887","")</f>
        <v/>
      </c>
      <c r="F121" s="507" t="s">
        <v>4244</v>
      </c>
      <c r="G121" s="520"/>
      <c r="H121" s="507" t="s">
        <v>1323</v>
      </c>
      <c r="I121" s="507"/>
      <c r="J121" s="519" t="s">
        <v>3960</v>
      </c>
      <c r="K121" s="521" t="s">
        <v>605</v>
      </c>
      <c r="L121" s="526" t="s">
        <v>315</v>
      </c>
      <c r="M121" s="527" t="s">
        <v>315</v>
      </c>
      <c r="N121" s="528" t="s">
        <v>315</v>
      </c>
      <c r="O121" s="663"/>
      <c r="P121" s="666"/>
      <c r="Q121" s="566"/>
      <c r="R121" s="530" t="s">
        <v>315</v>
      </c>
      <c r="S121" s="530"/>
      <c r="T121" s="667"/>
    </row>
    <row r="122" spans="1:20" s="508" customFormat="1" ht="210" hidden="1">
      <c r="A122" s="518"/>
      <c r="B122" s="519" t="s">
        <v>1158</v>
      </c>
      <c r="C122" s="507" t="s">
        <v>1288</v>
      </c>
      <c r="D122" s="536" t="s">
        <v>1326</v>
      </c>
      <c r="E122" s="519" t="str">
        <f>IF('GPS Anthro Tool'!$B$6=1,"China GB27887","")</f>
        <v/>
      </c>
      <c r="F122" s="507" t="s">
        <v>4244</v>
      </c>
      <c r="G122" s="520"/>
      <c r="H122" s="507" t="s">
        <v>1327</v>
      </c>
      <c r="I122" s="507"/>
      <c r="J122" s="519" t="s">
        <v>3960</v>
      </c>
      <c r="K122" s="521" t="s">
        <v>605</v>
      </c>
      <c r="L122" s="526" t="s">
        <v>315</v>
      </c>
      <c r="M122" s="527" t="s">
        <v>315</v>
      </c>
      <c r="N122" s="528" t="s">
        <v>315</v>
      </c>
      <c r="O122" s="663"/>
      <c r="P122" s="666"/>
      <c r="Q122" s="566"/>
      <c r="R122" s="530" t="s">
        <v>315</v>
      </c>
      <c r="S122" s="530"/>
      <c r="T122" s="667"/>
    </row>
    <row r="123" spans="1:20" s="508" customFormat="1" ht="135" hidden="1">
      <c r="A123" s="518"/>
      <c r="B123" s="519" t="s">
        <v>1158</v>
      </c>
      <c r="C123" s="507" t="s">
        <v>1330</v>
      </c>
      <c r="D123" s="536" t="s">
        <v>1331</v>
      </c>
      <c r="E123" s="519" t="str">
        <f>IF('GPS Anthro Tool'!$B$6=1,"China GB27887","")</f>
        <v/>
      </c>
      <c r="F123" s="507" t="s">
        <v>4244</v>
      </c>
      <c r="G123" s="520"/>
      <c r="H123" s="507" t="s">
        <v>1332</v>
      </c>
      <c r="I123" s="507"/>
      <c r="J123" s="519" t="s">
        <v>3960</v>
      </c>
      <c r="K123" s="521" t="s">
        <v>605</v>
      </c>
      <c r="L123" s="526" t="s">
        <v>315</v>
      </c>
      <c r="M123" s="527" t="s">
        <v>315</v>
      </c>
      <c r="N123" s="528" t="s">
        <v>315</v>
      </c>
      <c r="O123" s="663"/>
      <c r="P123" s="666"/>
      <c r="Q123" s="566"/>
      <c r="R123" s="530" t="s">
        <v>315</v>
      </c>
      <c r="S123" s="530"/>
      <c r="T123" s="667"/>
    </row>
    <row r="124" spans="1:20" s="508" customFormat="1" ht="60" hidden="1">
      <c r="A124" s="518"/>
      <c r="B124" s="519" t="s">
        <v>1158</v>
      </c>
      <c r="C124" s="507" t="s">
        <v>1335</v>
      </c>
      <c r="D124" s="536" t="s">
        <v>1336</v>
      </c>
      <c r="E124" s="519" t="str">
        <f>IF('GPS Anthro Tool'!$B$6=1,"China GB27887","")</f>
        <v/>
      </c>
      <c r="F124" s="507" t="s">
        <v>4244</v>
      </c>
      <c r="G124" s="520"/>
      <c r="H124" s="506" t="s">
        <v>959</v>
      </c>
      <c r="I124" s="507" t="s">
        <v>1337</v>
      </c>
      <c r="J124" s="519" t="s">
        <v>3960</v>
      </c>
      <c r="K124" s="521" t="s">
        <v>605</v>
      </c>
      <c r="L124" s="526" t="s">
        <v>315</v>
      </c>
      <c r="M124" s="527" t="s">
        <v>315</v>
      </c>
      <c r="N124" s="528" t="s">
        <v>315</v>
      </c>
      <c r="O124" s="663"/>
      <c r="P124" s="666"/>
      <c r="Q124" s="566"/>
      <c r="R124" s="530" t="s">
        <v>315</v>
      </c>
      <c r="S124" s="530"/>
      <c r="T124" s="667"/>
    </row>
    <row r="125" spans="1:20" s="508" customFormat="1" ht="60" hidden="1">
      <c r="A125" s="518"/>
      <c r="B125" s="519" t="s">
        <v>1158</v>
      </c>
      <c r="C125" s="507" t="s">
        <v>1335</v>
      </c>
      <c r="D125" s="536" t="s">
        <v>1340</v>
      </c>
      <c r="E125" s="519" t="str">
        <f>IF('GPS Anthro Tool'!$B$6=1,"China GB27887","")</f>
        <v/>
      </c>
      <c r="F125" s="507" t="s">
        <v>4244</v>
      </c>
      <c r="G125" s="520"/>
      <c r="H125" s="506" t="s">
        <v>959</v>
      </c>
      <c r="I125" s="507" t="s">
        <v>1341</v>
      </c>
      <c r="J125" s="519" t="s">
        <v>3960</v>
      </c>
      <c r="K125" s="521" t="s">
        <v>605</v>
      </c>
      <c r="L125" s="526" t="s">
        <v>315</v>
      </c>
      <c r="M125" s="527" t="s">
        <v>315</v>
      </c>
      <c r="N125" s="528" t="s">
        <v>315</v>
      </c>
      <c r="O125" s="663"/>
      <c r="P125" s="666"/>
      <c r="Q125" s="566"/>
      <c r="R125" s="530" t="s">
        <v>315</v>
      </c>
      <c r="S125" s="530"/>
      <c r="T125" s="667"/>
    </row>
    <row r="126" spans="1:20" s="508" customFormat="1" ht="75" hidden="1">
      <c r="A126" s="518"/>
      <c r="B126" s="519" t="s">
        <v>1158</v>
      </c>
      <c r="C126" s="507" t="s">
        <v>1344</v>
      </c>
      <c r="D126" s="536" t="s">
        <v>1345</v>
      </c>
      <c r="E126" s="519" t="str">
        <f>IF('GPS Anthro Tool'!$B$6=1,"China GB27887","")</f>
        <v/>
      </c>
      <c r="F126" s="507" t="s">
        <v>4244</v>
      </c>
      <c r="G126" s="520"/>
      <c r="H126" s="506" t="s">
        <v>959</v>
      </c>
      <c r="I126" s="507" t="s">
        <v>1346</v>
      </c>
      <c r="J126" s="519" t="s">
        <v>3960</v>
      </c>
      <c r="K126" s="521" t="s">
        <v>605</v>
      </c>
      <c r="L126" s="526" t="s">
        <v>315</v>
      </c>
      <c r="M126" s="527" t="s">
        <v>315</v>
      </c>
      <c r="N126" s="528" t="s">
        <v>315</v>
      </c>
      <c r="O126" s="663"/>
      <c r="P126" s="666"/>
      <c r="Q126" s="566"/>
      <c r="R126" s="530" t="s">
        <v>315</v>
      </c>
      <c r="S126" s="530"/>
      <c r="T126" s="667"/>
    </row>
    <row r="127" spans="1:20" s="508" customFormat="1" ht="135" hidden="1">
      <c r="A127" s="518"/>
      <c r="B127" s="519" t="s">
        <v>1158</v>
      </c>
      <c r="C127" s="507" t="s">
        <v>1344</v>
      </c>
      <c r="D127" s="536" t="s">
        <v>1349</v>
      </c>
      <c r="E127" s="519" t="str">
        <f>IF('GPS Anthro Tool'!$B$6=1,"China GB27887","")</f>
        <v/>
      </c>
      <c r="F127" s="507" t="s">
        <v>4244</v>
      </c>
      <c r="G127" s="520"/>
      <c r="H127" s="506" t="s">
        <v>959</v>
      </c>
      <c r="I127" s="507" t="s">
        <v>1350</v>
      </c>
      <c r="J127" s="519" t="s">
        <v>3960</v>
      </c>
      <c r="K127" s="521" t="s">
        <v>605</v>
      </c>
      <c r="L127" s="526" t="s">
        <v>315</v>
      </c>
      <c r="M127" s="527" t="s">
        <v>315</v>
      </c>
      <c r="N127" s="528" t="s">
        <v>315</v>
      </c>
      <c r="O127" s="663"/>
      <c r="P127" s="666"/>
      <c r="Q127" s="566"/>
      <c r="R127" s="530" t="s">
        <v>315</v>
      </c>
      <c r="S127" s="535"/>
      <c r="T127" s="667"/>
    </row>
    <row r="128" spans="1:20" s="508" customFormat="1" ht="45" hidden="1">
      <c r="A128" s="518"/>
      <c r="B128" s="519" t="s">
        <v>1158</v>
      </c>
      <c r="C128" s="507" t="s">
        <v>1357</v>
      </c>
      <c r="D128" s="536" t="s">
        <v>1358</v>
      </c>
      <c r="E128" s="519" t="str">
        <f>IF('GPS Anthro Tool'!$B$6=1,"China GB27887","")</f>
        <v/>
      </c>
      <c r="F128" s="507" t="s">
        <v>4244</v>
      </c>
      <c r="G128" s="520"/>
      <c r="H128" s="507" t="s">
        <v>1359</v>
      </c>
      <c r="I128" s="507"/>
      <c r="J128" s="519" t="s">
        <v>3960</v>
      </c>
      <c r="K128" s="521" t="s">
        <v>605</v>
      </c>
      <c r="L128" s="526" t="s">
        <v>315</v>
      </c>
      <c r="M128" s="527" t="s">
        <v>315</v>
      </c>
      <c r="N128" s="528" t="s">
        <v>315</v>
      </c>
      <c r="O128" s="663"/>
      <c r="P128" s="666"/>
      <c r="Q128" s="566"/>
      <c r="R128" s="530" t="s">
        <v>315</v>
      </c>
      <c r="S128" s="535"/>
      <c r="T128" s="667"/>
    </row>
    <row r="129" spans="1:20" s="508" customFormat="1" ht="45" hidden="1">
      <c r="A129" s="518"/>
      <c r="B129" s="519" t="s">
        <v>1158</v>
      </c>
      <c r="C129" s="534" t="s">
        <v>1393</v>
      </c>
      <c r="D129" s="507" t="s">
        <v>1394</v>
      </c>
      <c r="E129" s="519" t="str">
        <f>IF('GPS Anthro Tool'!$B$6=1,"China GB27887","")</f>
        <v/>
      </c>
      <c r="F129" s="507" t="s">
        <v>4244</v>
      </c>
      <c r="G129" s="520"/>
      <c r="H129" s="507" t="s">
        <v>1395</v>
      </c>
      <c r="I129" s="507"/>
      <c r="J129" s="519" t="s">
        <v>3960</v>
      </c>
      <c r="K129" s="521" t="s">
        <v>605</v>
      </c>
      <c r="L129" s="526" t="s">
        <v>315</v>
      </c>
      <c r="M129" s="527" t="s">
        <v>315</v>
      </c>
      <c r="N129" s="528" t="s">
        <v>315</v>
      </c>
      <c r="O129" s="663"/>
      <c r="P129" s="666"/>
      <c r="Q129" s="566"/>
      <c r="R129" s="530" t="s">
        <v>315</v>
      </c>
      <c r="S129" s="535"/>
      <c r="T129" s="667"/>
    </row>
    <row r="130" spans="1:20" s="508" customFormat="1" ht="60" hidden="1">
      <c r="A130" s="518"/>
      <c r="B130" s="519" t="s">
        <v>1158</v>
      </c>
      <c r="C130" s="534" t="s">
        <v>1393</v>
      </c>
      <c r="D130" s="534" t="s">
        <v>1396</v>
      </c>
      <c r="E130" s="519" t="str">
        <f>IF('GPS Anthro Tool'!$B$6=1,"China GB27887","")</f>
        <v/>
      </c>
      <c r="F130" s="507" t="s">
        <v>4244</v>
      </c>
      <c r="G130" s="520"/>
      <c r="H130" s="507" t="s">
        <v>1397</v>
      </c>
      <c r="I130" s="507"/>
      <c r="J130" s="519" t="s">
        <v>3960</v>
      </c>
      <c r="K130" s="521" t="s">
        <v>605</v>
      </c>
      <c r="L130" s="526" t="s">
        <v>315</v>
      </c>
      <c r="M130" s="527" t="s">
        <v>315</v>
      </c>
      <c r="N130" s="528" t="s">
        <v>315</v>
      </c>
      <c r="O130" s="663"/>
      <c r="P130" s="666"/>
      <c r="Q130" s="566"/>
      <c r="R130" s="530" t="s">
        <v>315</v>
      </c>
      <c r="S130" s="530"/>
      <c r="T130" s="667"/>
    </row>
    <row r="131" spans="1:20" s="508" customFormat="1" ht="30" hidden="1">
      <c r="A131" s="518"/>
      <c r="B131" s="519" t="s">
        <v>1158</v>
      </c>
      <c r="C131" s="534" t="s">
        <v>1393</v>
      </c>
      <c r="D131" s="534" t="s">
        <v>1398</v>
      </c>
      <c r="E131" s="519" t="str">
        <f>IF('GPS Anthro Tool'!$B$6=1,"China GB27887","")</f>
        <v/>
      </c>
      <c r="F131" s="507" t="s">
        <v>4244</v>
      </c>
      <c r="G131" s="520"/>
      <c r="H131" s="507" t="s">
        <v>1399</v>
      </c>
      <c r="I131" s="507"/>
      <c r="J131" s="519" t="s">
        <v>3960</v>
      </c>
      <c r="K131" s="521" t="s">
        <v>605</v>
      </c>
      <c r="L131" s="526" t="s">
        <v>315</v>
      </c>
      <c r="M131" s="527" t="s">
        <v>315</v>
      </c>
      <c r="N131" s="528" t="s">
        <v>315</v>
      </c>
      <c r="O131" s="663"/>
      <c r="P131" s="666"/>
      <c r="Q131" s="566"/>
      <c r="R131" s="530" t="s">
        <v>315</v>
      </c>
      <c r="S131" s="530"/>
      <c r="T131" s="667"/>
    </row>
    <row r="132" spans="1:20" s="508" customFormat="1" ht="90" hidden="1">
      <c r="A132" s="518"/>
      <c r="B132" s="519" t="s">
        <v>1221</v>
      </c>
      <c r="C132" s="534" t="s">
        <v>1393</v>
      </c>
      <c r="D132" s="534" t="s">
        <v>1400</v>
      </c>
      <c r="E132" s="519" t="str">
        <f>IF('GPS Anthro Tool'!$B$6=1,"China GB27887","")</f>
        <v/>
      </c>
      <c r="F132" s="507" t="s">
        <v>4244</v>
      </c>
      <c r="G132" s="506"/>
      <c r="H132" s="506" t="s">
        <v>959</v>
      </c>
      <c r="I132" s="507" t="s">
        <v>3503</v>
      </c>
      <c r="J132" s="519" t="s">
        <v>3960</v>
      </c>
      <c r="K132" s="521" t="s">
        <v>605</v>
      </c>
      <c r="L132" s="526" t="s">
        <v>315</v>
      </c>
      <c r="M132" s="527" t="s">
        <v>315</v>
      </c>
      <c r="N132" s="528" t="s">
        <v>315</v>
      </c>
      <c r="O132" s="663"/>
      <c r="P132" s="666"/>
      <c r="Q132" s="566"/>
      <c r="R132" s="530" t="s">
        <v>315</v>
      </c>
      <c r="S132" s="530"/>
      <c r="T132" s="667"/>
    </row>
    <row r="133" spans="1:20" s="508" customFormat="1" ht="45" hidden="1">
      <c r="A133" s="518"/>
      <c r="B133" s="519" t="s">
        <v>1158</v>
      </c>
      <c r="C133" s="534" t="s">
        <v>1393</v>
      </c>
      <c r="D133" s="534" t="s">
        <v>1401</v>
      </c>
      <c r="E133" s="519" t="str">
        <f>IF('GPS Anthro Tool'!$B$6=1,"China GB27887","")</f>
        <v/>
      </c>
      <c r="F133" s="507" t="s">
        <v>4244</v>
      </c>
      <c r="G133" s="520"/>
      <c r="H133" s="506" t="s">
        <v>959</v>
      </c>
      <c r="I133" s="507" t="s">
        <v>1402</v>
      </c>
      <c r="J133" s="519" t="s">
        <v>3960</v>
      </c>
      <c r="K133" s="521" t="s">
        <v>605</v>
      </c>
      <c r="L133" s="526" t="s">
        <v>315</v>
      </c>
      <c r="M133" s="527" t="s">
        <v>315</v>
      </c>
      <c r="N133" s="528" t="s">
        <v>315</v>
      </c>
      <c r="O133" s="663"/>
      <c r="P133" s="666"/>
      <c r="Q133" s="566"/>
      <c r="R133" s="530" t="s">
        <v>315</v>
      </c>
      <c r="S133" s="530"/>
      <c r="T133" s="667"/>
    </row>
    <row r="134" spans="1:20" s="508" customFormat="1" ht="105" hidden="1">
      <c r="A134" s="518"/>
      <c r="B134" s="507" t="s">
        <v>699</v>
      </c>
      <c r="C134" s="534" t="s">
        <v>962</v>
      </c>
      <c r="D134" s="507" t="s">
        <v>965</v>
      </c>
      <c r="E134" s="519" t="str">
        <f>IF('GPS Anthro Tool'!$B$6=1,"China GB27887","")</f>
        <v/>
      </c>
      <c r="F134" s="507" t="s">
        <v>4244</v>
      </c>
      <c r="G134" s="520"/>
      <c r="H134" s="507" t="s">
        <v>966</v>
      </c>
      <c r="I134" s="507"/>
      <c r="J134" s="519" t="s">
        <v>3960</v>
      </c>
      <c r="K134" s="521" t="s">
        <v>605</v>
      </c>
      <c r="L134" s="526" t="s">
        <v>315</v>
      </c>
      <c r="M134" s="527" t="s">
        <v>315</v>
      </c>
      <c r="N134" s="528" t="s">
        <v>315</v>
      </c>
      <c r="O134" s="663"/>
      <c r="P134" s="666"/>
      <c r="Q134" s="566"/>
      <c r="R134" s="530" t="s">
        <v>315</v>
      </c>
      <c r="S134" s="530"/>
      <c r="T134" s="667"/>
    </row>
    <row r="135" spans="1:20" s="508" customFormat="1" ht="30" hidden="1">
      <c r="A135" s="518"/>
      <c r="B135" s="519" t="s">
        <v>1063</v>
      </c>
      <c r="C135" s="507" t="s">
        <v>1130</v>
      </c>
      <c r="D135" s="534" t="s">
        <v>1131</v>
      </c>
      <c r="E135" s="519" t="str">
        <f>IF('GPS Anthro Tool'!$B$6=1,"China GB27887","")</f>
        <v/>
      </c>
      <c r="F135" s="507" t="s">
        <v>4244</v>
      </c>
      <c r="G135" s="520" t="s">
        <v>1066</v>
      </c>
      <c r="H135" s="506" t="s">
        <v>959</v>
      </c>
      <c r="I135" s="507" t="s">
        <v>1132</v>
      </c>
      <c r="J135" s="519" t="s">
        <v>3960</v>
      </c>
      <c r="K135" s="521" t="s">
        <v>605</v>
      </c>
      <c r="L135" s="526" t="s">
        <v>315</v>
      </c>
      <c r="M135" s="527" t="s">
        <v>315</v>
      </c>
      <c r="N135" s="528" t="s">
        <v>315</v>
      </c>
      <c r="O135" s="663"/>
      <c r="P135" s="666"/>
      <c r="Q135" s="566"/>
      <c r="R135" s="530" t="s">
        <v>315</v>
      </c>
      <c r="S135" s="535"/>
      <c r="T135" s="667"/>
    </row>
    <row r="136" spans="1:20" s="508" customFormat="1" ht="210" hidden="1">
      <c r="A136" s="518"/>
      <c r="B136" s="519" t="s">
        <v>1063</v>
      </c>
      <c r="C136" s="507" t="s">
        <v>1130</v>
      </c>
      <c r="D136" s="534" t="s">
        <v>1133</v>
      </c>
      <c r="E136" s="519" t="str">
        <f>IF('GPS Anthro Tool'!$B$6=1,"China GB27887","")</f>
        <v/>
      </c>
      <c r="F136" s="507" t="s">
        <v>4244</v>
      </c>
      <c r="G136" s="520" t="s">
        <v>1066</v>
      </c>
      <c r="H136" s="506" t="s">
        <v>959</v>
      </c>
      <c r="I136" s="507" t="s">
        <v>1134</v>
      </c>
      <c r="J136" s="519" t="s">
        <v>3960</v>
      </c>
      <c r="K136" s="521" t="s">
        <v>605</v>
      </c>
      <c r="L136" s="526" t="s">
        <v>315</v>
      </c>
      <c r="M136" s="527" t="s">
        <v>315</v>
      </c>
      <c r="N136" s="528" t="s">
        <v>315</v>
      </c>
      <c r="O136" s="663"/>
      <c r="P136" s="666"/>
      <c r="Q136" s="566"/>
      <c r="R136" s="530" t="s">
        <v>315</v>
      </c>
      <c r="S136" s="535"/>
      <c r="T136" s="667"/>
    </row>
    <row r="137" spans="1:20" s="508" customFormat="1" ht="60" hidden="1">
      <c r="A137" s="518"/>
      <c r="B137" s="519" t="s">
        <v>1063</v>
      </c>
      <c r="C137" s="507" t="s">
        <v>1130</v>
      </c>
      <c r="D137" s="534" t="s">
        <v>1135</v>
      </c>
      <c r="E137" s="519" t="str">
        <f>IF('GPS Anthro Tool'!$B$6=1,"China GB27887","")</f>
        <v/>
      </c>
      <c r="F137" s="507" t="s">
        <v>4244</v>
      </c>
      <c r="G137" s="520" t="s">
        <v>1066</v>
      </c>
      <c r="H137" s="506" t="s">
        <v>959</v>
      </c>
      <c r="I137" s="507" t="s">
        <v>1136</v>
      </c>
      <c r="J137" s="519" t="s">
        <v>3960</v>
      </c>
      <c r="K137" s="521" t="s">
        <v>605</v>
      </c>
      <c r="L137" s="526" t="s">
        <v>315</v>
      </c>
      <c r="M137" s="527" t="s">
        <v>315</v>
      </c>
      <c r="N137" s="528" t="s">
        <v>315</v>
      </c>
      <c r="O137" s="663"/>
      <c r="P137" s="666"/>
      <c r="Q137" s="566"/>
      <c r="R137" s="530" t="s">
        <v>315</v>
      </c>
      <c r="S137" s="530"/>
      <c r="T137" s="667"/>
    </row>
    <row r="138" spans="1:20" s="508" customFormat="1" ht="30" hidden="1">
      <c r="A138" s="518"/>
      <c r="B138" s="507" t="s">
        <v>606</v>
      </c>
      <c r="C138" s="509" t="s">
        <v>658</v>
      </c>
      <c r="D138" s="534" t="s">
        <v>659</v>
      </c>
      <c r="E138" s="519" t="str">
        <f>IF('GPS Anthro Tool'!$B$6=1,"China GB27887","")</f>
        <v/>
      </c>
      <c r="F138" s="507" t="s">
        <v>4244</v>
      </c>
      <c r="G138" s="520" t="s">
        <v>3959</v>
      </c>
      <c r="H138" s="507" t="s">
        <v>660</v>
      </c>
      <c r="I138" s="507"/>
      <c r="J138" s="519" t="s">
        <v>3960</v>
      </c>
      <c r="K138" s="521" t="s">
        <v>605</v>
      </c>
      <c r="L138" s="526" t="s">
        <v>315</v>
      </c>
      <c r="M138" s="527" t="s">
        <v>315</v>
      </c>
      <c r="N138" s="528" t="s">
        <v>315</v>
      </c>
      <c r="O138" s="663"/>
      <c r="P138" s="529"/>
      <c r="Q138" s="531"/>
      <c r="R138" s="530" t="s">
        <v>315</v>
      </c>
      <c r="S138" s="530"/>
      <c r="T138" s="667"/>
    </row>
    <row r="139" spans="1:20" s="508" customFormat="1" ht="30" hidden="1">
      <c r="A139" s="518"/>
      <c r="B139" s="507" t="s">
        <v>606</v>
      </c>
      <c r="C139" s="509" t="s">
        <v>658</v>
      </c>
      <c r="D139" s="534" t="s">
        <v>661</v>
      </c>
      <c r="E139" s="519" t="str">
        <f>IF('GPS Anthro Tool'!$B$6=1,"China GB27887","")</f>
        <v/>
      </c>
      <c r="F139" s="507" t="s">
        <v>4244</v>
      </c>
      <c r="G139" s="520" t="s">
        <v>3959</v>
      </c>
      <c r="H139" s="507" t="s">
        <v>662</v>
      </c>
      <c r="I139" s="507"/>
      <c r="J139" s="519" t="s">
        <v>3960</v>
      </c>
      <c r="K139" s="521" t="s">
        <v>605</v>
      </c>
      <c r="L139" s="526" t="s">
        <v>315</v>
      </c>
      <c r="M139" s="527" t="s">
        <v>315</v>
      </c>
      <c r="N139" s="528" t="s">
        <v>315</v>
      </c>
      <c r="O139" s="663"/>
      <c r="P139" s="529"/>
      <c r="Q139" s="531"/>
      <c r="R139" s="530" t="s">
        <v>315</v>
      </c>
      <c r="S139" s="530"/>
      <c r="T139" s="667"/>
    </row>
    <row r="140" spans="1:20" s="508" customFormat="1" ht="180" hidden="1">
      <c r="A140" s="518"/>
      <c r="B140" s="507" t="s">
        <v>606</v>
      </c>
      <c r="C140" s="509" t="s">
        <v>658</v>
      </c>
      <c r="D140" s="534" t="s">
        <v>663</v>
      </c>
      <c r="E140" s="519" t="str">
        <f>IF('GPS Anthro Tool'!$B$6=1,"China GB27887","")</f>
        <v/>
      </c>
      <c r="F140" s="507" t="s">
        <v>4244</v>
      </c>
      <c r="G140" s="520" t="s">
        <v>3959</v>
      </c>
      <c r="H140" s="507" t="s">
        <v>664</v>
      </c>
      <c r="I140" s="507"/>
      <c r="J140" s="519" t="s">
        <v>3960</v>
      </c>
      <c r="K140" s="521" t="s">
        <v>605</v>
      </c>
      <c r="L140" s="526" t="s">
        <v>315</v>
      </c>
      <c r="M140" s="527" t="s">
        <v>315</v>
      </c>
      <c r="N140" s="528" t="s">
        <v>315</v>
      </c>
      <c r="O140" s="663"/>
      <c r="P140" s="532"/>
      <c r="Q140" s="530"/>
      <c r="R140" s="530" t="s">
        <v>315</v>
      </c>
      <c r="S140" s="530"/>
      <c r="T140" s="667"/>
    </row>
    <row r="141" spans="1:20" s="508" customFormat="1" ht="150" hidden="1">
      <c r="A141" s="518"/>
      <c r="B141" s="507" t="s">
        <v>606</v>
      </c>
      <c r="C141" s="509" t="s">
        <v>658</v>
      </c>
      <c r="D141" s="534" t="s">
        <v>665</v>
      </c>
      <c r="E141" s="519" t="str">
        <f>IF('GPS Anthro Tool'!$B$6=1,"China GB27887","")</f>
        <v/>
      </c>
      <c r="F141" s="507" t="s">
        <v>4244</v>
      </c>
      <c r="G141" s="520" t="s">
        <v>3959</v>
      </c>
      <c r="H141" s="507" t="s">
        <v>666</v>
      </c>
      <c r="I141" s="507"/>
      <c r="J141" s="519" t="s">
        <v>3960</v>
      </c>
      <c r="K141" s="521" t="s">
        <v>605</v>
      </c>
      <c r="L141" s="526" t="s">
        <v>315</v>
      </c>
      <c r="M141" s="527" t="s">
        <v>315</v>
      </c>
      <c r="N141" s="528" t="s">
        <v>315</v>
      </c>
      <c r="O141" s="663"/>
      <c r="P141" s="529"/>
      <c r="Q141" s="531"/>
      <c r="R141" s="530" t="s">
        <v>315</v>
      </c>
      <c r="S141" s="530"/>
      <c r="T141" s="667"/>
    </row>
    <row r="142" spans="1:20" s="508" customFormat="1" ht="75" hidden="1">
      <c r="A142" s="518"/>
      <c r="B142" s="507" t="s">
        <v>606</v>
      </c>
      <c r="C142" s="509" t="s">
        <v>658</v>
      </c>
      <c r="D142" s="534" t="s">
        <v>667</v>
      </c>
      <c r="E142" s="519" t="str">
        <f>IF('GPS Anthro Tool'!$B$6=1,"China GB27887","")</f>
        <v/>
      </c>
      <c r="F142" s="507" t="s">
        <v>4244</v>
      </c>
      <c r="G142" s="520" t="s">
        <v>3959</v>
      </c>
      <c r="H142" s="507" t="s">
        <v>668</v>
      </c>
      <c r="I142" s="507"/>
      <c r="J142" s="519" t="s">
        <v>3960</v>
      </c>
      <c r="K142" s="521" t="s">
        <v>605</v>
      </c>
      <c r="L142" s="526" t="s">
        <v>315</v>
      </c>
      <c r="M142" s="527" t="s">
        <v>315</v>
      </c>
      <c r="N142" s="528" t="s">
        <v>315</v>
      </c>
      <c r="O142" s="663"/>
      <c r="P142" s="529"/>
      <c r="Q142" s="531"/>
      <c r="R142" s="530" t="s">
        <v>315</v>
      </c>
      <c r="S142" s="530"/>
      <c r="T142" s="667"/>
    </row>
    <row r="143" spans="1:20" s="508" customFormat="1" ht="120" hidden="1">
      <c r="A143" s="518"/>
      <c r="B143" s="507" t="s">
        <v>606</v>
      </c>
      <c r="C143" s="509" t="s">
        <v>658</v>
      </c>
      <c r="D143" s="534" t="s">
        <v>669</v>
      </c>
      <c r="E143" s="519" t="str">
        <f>IF('GPS Anthro Tool'!$B$6=1,"China GB27887","")</f>
        <v/>
      </c>
      <c r="F143" s="507" t="s">
        <v>4244</v>
      </c>
      <c r="G143" s="520" t="s">
        <v>3959</v>
      </c>
      <c r="H143" s="507" t="s">
        <v>670</v>
      </c>
      <c r="I143" s="507"/>
      <c r="J143" s="519" t="s">
        <v>3960</v>
      </c>
      <c r="K143" s="521" t="s">
        <v>605</v>
      </c>
      <c r="L143" s="526" t="s">
        <v>315</v>
      </c>
      <c r="M143" s="527" t="s">
        <v>315</v>
      </c>
      <c r="N143" s="528" t="s">
        <v>315</v>
      </c>
      <c r="O143" s="663"/>
      <c r="P143" s="529"/>
      <c r="Q143" s="531"/>
      <c r="R143" s="530" t="s">
        <v>315</v>
      </c>
      <c r="S143" s="530"/>
      <c r="T143" s="667"/>
    </row>
    <row r="144" spans="1:20" s="508" customFormat="1" ht="45" hidden="1">
      <c r="A144" s="518"/>
      <c r="B144" s="507" t="s">
        <v>1454</v>
      </c>
      <c r="C144" s="534" t="s">
        <v>1454</v>
      </c>
      <c r="D144" s="507" t="s">
        <v>1455</v>
      </c>
      <c r="E144" s="519" t="str">
        <f>IF('GPS Anthro Tool'!$B$6=1,"China GB27887","")</f>
        <v/>
      </c>
      <c r="F144" s="507" t="s">
        <v>4244</v>
      </c>
      <c r="G144" s="520"/>
      <c r="H144" s="507" t="s">
        <v>1456</v>
      </c>
      <c r="I144" s="507"/>
      <c r="J144" s="519" t="s">
        <v>3960</v>
      </c>
      <c r="K144" s="521" t="s">
        <v>605</v>
      </c>
      <c r="L144" s="526" t="s">
        <v>315</v>
      </c>
      <c r="M144" s="527" t="s">
        <v>315</v>
      </c>
      <c r="N144" s="528" t="s">
        <v>315</v>
      </c>
      <c r="O144" s="663"/>
      <c r="P144" s="666"/>
      <c r="Q144" s="566"/>
      <c r="R144" s="530" t="s">
        <v>315</v>
      </c>
      <c r="S144" s="530"/>
      <c r="T144" s="667"/>
    </row>
    <row r="145" spans="1:20" s="508" customFormat="1" ht="75" hidden="1">
      <c r="A145" s="518"/>
      <c r="B145" s="507" t="s">
        <v>1454</v>
      </c>
      <c r="C145" s="534" t="s">
        <v>1454</v>
      </c>
      <c r="D145" s="534" t="s">
        <v>1459</v>
      </c>
      <c r="E145" s="519" t="str">
        <f>IF('GPS Anthro Tool'!$B$6=1,"China GB27887","")</f>
        <v/>
      </c>
      <c r="F145" s="507" t="s">
        <v>4244</v>
      </c>
      <c r="G145" s="520"/>
      <c r="H145" s="507" t="s">
        <v>1460</v>
      </c>
      <c r="I145" s="507"/>
      <c r="J145" s="519" t="s">
        <v>3960</v>
      </c>
      <c r="K145" s="521" t="s">
        <v>605</v>
      </c>
      <c r="L145" s="526" t="s">
        <v>315</v>
      </c>
      <c r="M145" s="527" t="s">
        <v>315</v>
      </c>
      <c r="N145" s="528" t="s">
        <v>315</v>
      </c>
      <c r="O145" s="663"/>
      <c r="P145" s="666"/>
      <c r="Q145" s="566"/>
      <c r="R145" s="530" t="s">
        <v>315</v>
      </c>
      <c r="S145" s="530"/>
      <c r="T145" s="667"/>
    </row>
    <row r="146" spans="1:20" s="508" customFormat="1" ht="360" hidden="1">
      <c r="A146" s="518"/>
      <c r="B146" s="507" t="s">
        <v>1454</v>
      </c>
      <c r="C146" s="534" t="s">
        <v>1454</v>
      </c>
      <c r="D146" s="534" t="s">
        <v>1463</v>
      </c>
      <c r="E146" s="519" t="str">
        <f>IF('GPS Anthro Tool'!$B$6=1,"China GB27887","")</f>
        <v/>
      </c>
      <c r="F146" s="507" t="s">
        <v>4244</v>
      </c>
      <c r="G146" s="520"/>
      <c r="H146" s="507" t="s">
        <v>1464</v>
      </c>
      <c r="I146" s="507"/>
      <c r="J146" s="519" t="s">
        <v>3960</v>
      </c>
      <c r="K146" s="521" t="s">
        <v>605</v>
      </c>
      <c r="L146" s="526" t="s">
        <v>315</v>
      </c>
      <c r="M146" s="527" t="s">
        <v>315</v>
      </c>
      <c r="N146" s="528" t="s">
        <v>315</v>
      </c>
      <c r="O146" s="663"/>
      <c r="P146" s="666"/>
      <c r="Q146" s="566"/>
      <c r="R146" s="530" t="s">
        <v>315</v>
      </c>
      <c r="S146" s="530"/>
      <c r="T146" s="667"/>
    </row>
    <row r="147" spans="1:20" s="508" customFormat="1" ht="345" hidden="1">
      <c r="A147" s="518"/>
      <c r="B147" s="507" t="s">
        <v>1454</v>
      </c>
      <c r="C147" s="534" t="s">
        <v>1454</v>
      </c>
      <c r="D147" s="534" t="s">
        <v>1476</v>
      </c>
      <c r="E147" s="519" t="str">
        <f>IF('GPS Anthro Tool'!$B$6=1,"China GB27887","")</f>
        <v/>
      </c>
      <c r="F147" s="507" t="s">
        <v>4244</v>
      </c>
      <c r="G147" s="520"/>
      <c r="H147" s="507" t="s">
        <v>1477</v>
      </c>
      <c r="I147" s="507"/>
      <c r="J147" s="519" t="s">
        <v>3960</v>
      </c>
      <c r="K147" s="521" t="s">
        <v>605</v>
      </c>
      <c r="L147" s="526" t="s">
        <v>315</v>
      </c>
      <c r="M147" s="527" t="s">
        <v>315</v>
      </c>
      <c r="N147" s="528" t="s">
        <v>315</v>
      </c>
      <c r="O147" s="663"/>
      <c r="P147" s="666"/>
      <c r="Q147" s="566"/>
      <c r="R147" s="530" t="s">
        <v>315</v>
      </c>
      <c r="S147" s="530"/>
      <c r="T147" s="667"/>
    </row>
    <row r="148" spans="1:20" s="508" customFormat="1" ht="105" hidden="1">
      <c r="A148" s="518"/>
      <c r="B148" s="507" t="s">
        <v>1454</v>
      </c>
      <c r="C148" s="534" t="s">
        <v>1483</v>
      </c>
      <c r="D148" s="534" t="s">
        <v>1484</v>
      </c>
      <c r="E148" s="519" t="str">
        <f>IF('GPS Anthro Tool'!$B$6=1,"China GB27887","")</f>
        <v/>
      </c>
      <c r="F148" s="507" t="s">
        <v>4244</v>
      </c>
      <c r="G148" s="520"/>
      <c r="H148" s="507" t="s">
        <v>1485</v>
      </c>
      <c r="I148" s="507"/>
      <c r="J148" s="519" t="s">
        <v>3960</v>
      </c>
      <c r="K148" s="521" t="s">
        <v>605</v>
      </c>
      <c r="L148" s="526" t="s">
        <v>315</v>
      </c>
      <c r="M148" s="527" t="s">
        <v>315</v>
      </c>
      <c r="N148" s="528" t="s">
        <v>315</v>
      </c>
      <c r="O148" s="663"/>
      <c r="P148" s="666"/>
      <c r="Q148" s="566"/>
      <c r="R148" s="530" t="s">
        <v>315</v>
      </c>
      <c r="S148" s="530"/>
      <c r="T148" s="667"/>
    </row>
    <row r="149" spans="1:20" s="508" customFormat="1" ht="150" hidden="1">
      <c r="A149" s="518"/>
      <c r="B149" s="507" t="s">
        <v>1454</v>
      </c>
      <c r="C149" s="534" t="s">
        <v>1454</v>
      </c>
      <c r="D149" s="534" t="s">
        <v>1489</v>
      </c>
      <c r="E149" s="519" t="str">
        <f>IF('GPS Anthro Tool'!$B$6=1,"China GB27887","")</f>
        <v/>
      </c>
      <c r="F149" s="507" t="s">
        <v>4244</v>
      </c>
      <c r="G149" s="520"/>
      <c r="H149" s="507" t="s">
        <v>1490</v>
      </c>
      <c r="I149" s="507"/>
      <c r="J149" s="519" t="s">
        <v>3960</v>
      </c>
      <c r="K149" s="521" t="s">
        <v>605</v>
      </c>
      <c r="L149" s="526" t="s">
        <v>315</v>
      </c>
      <c r="M149" s="527" t="s">
        <v>315</v>
      </c>
      <c r="N149" s="528" t="s">
        <v>315</v>
      </c>
      <c r="O149" s="663"/>
      <c r="P149" s="666"/>
      <c r="Q149" s="566"/>
      <c r="R149" s="530" t="s">
        <v>315</v>
      </c>
      <c r="S149" s="530"/>
      <c r="T149" s="667"/>
    </row>
    <row r="150" spans="1:20" s="508" customFormat="1" ht="75" hidden="1">
      <c r="A150" s="518"/>
      <c r="B150" s="507" t="s">
        <v>1454</v>
      </c>
      <c r="C150" s="534" t="s">
        <v>1454</v>
      </c>
      <c r="D150" s="534" t="s">
        <v>1491</v>
      </c>
      <c r="E150" s="519" t="str">
        <f>IF('GPS Anthro Tool'!$B$6=1,"China GB27887","")</f>
        <v/>
      </c>
      <c r="F150" s="507" t="s">
        <v>4244</v>
      </c>
      <c r="G150" s="520"/>
      <c r="H150" s="507" t="s">
        <v>1492</v>
      </c>
      <c r="I150" s="507"/>
      <c r="J150" s="519" t="s">
        <v>3960</v>
      </c>
      <c r="K150" s="521" t="s">
        <v>605</v>
      </c>
      <c r="L150" s="526" t="s">
        <v>315</v>
      </c>
      <c r="M150" s="527" t="s">
        <v>315</v>
      </c>
      <c r="N150" s="528" t="s">
        <v>315</v>
      </c>
      <c r="O150" s="663"/>
      <c r="P150" s="666"/>
      <c r="Q150" s="566"/>
      <c r="R150" s="530" t="s">
        <v>315</v>
      </c>
      <c r="S150" s="530"/>
      <c r="T150" s="667"/>
    </row>
    <row r="151" spans="1:20" s="508" customFormat="1" ht="409.5" hidden="1">
      <c r="A151" s="518"/>
      <c r="B151" s="507" t="s">
        <v>1454</v>
      </c>
      <c r="C151" s="534" t="s">
        <v>1454</v>
      </c>
      <c r="D151" s="534" t="s">
        <v>1493</v>
      </c>
      <c r="E151" s="519" t="str">
        <f>IF('GPS Anthro Tool'!$B$6=1,"China GB27887","")</f>
        <v/>
      </c>
      <c r="F151" s="507" t="s">
        <v>4244</v>
      </c>
      <c r="G151" s="520"/>
      <c r="H151" s="507" t="s">
        <v>1494</v>
      </c>
      <c r="I151" s="507"/>
      <c r="J151" s="519" t="s">
        <v>3960</v>
      </c>
      <c r="K151" s="521" t="s">
        <v>605</v>
      </c>
      <c r="L151" s="526" t="s">
        <v>315</v>
      </c>
      <c r="M151" s="527" t="s">
        <v>315</v>
      </c>
      <c r="N151" s="528" t="s">
        <v>315</v>
      </c>
      <c r="O151" s="663"/>
      <c r="P151" s="666"/>
      <c r="Q151" s="566"/>
      <c r="R151" s="530" t="s">
        <v>315</v>
      </c>
      <c r="S151" s="530"/>
      <c r="T151" s="667"/>
    </row>
    <row r="152" spans="1:20" s="508" customFormat="1" ht="30" hidden="1">
      <c r="A152" s="518"/>
      <c r="B152" s="507" t="s">
        <v>1614</v>
      </c>
      <c r="C152" s="534" t="s">
        <v>1615</v>
      </c>
      <c r="D152" s="534" t="s">
        <v>1616</v>
      </c>
      <c r="E152" s="519" t="str">
        <f>IF('GPS Anthro Tool'!$B$6=1,"China GB27887","")</f>
        <v/>
      </c>
      <c r="F152" s="507" t="s">
        <v>4244</v>
      </c>
      <c r="G152" s="520"/>
      <c r="H152" s="507" t="s">
        <v>1617</v>
      </c>
      <c r="I152" s="507"/>
      <c r="J152" s="519" t="s">
        <v>3960</v>
      </c>
      <c r="K152" s="521" t="s">
        <v>605</v>
      </c>
      <c r="L152" s="526" t="s">
        <v>315</v>
      </c>
      <c r="M152" s="527" t="s">
        <v>315</v>
      </c>
      <c r="N152" s="528" t="s">
        <v>315</v>
      </c>
      <c r="O152" s="663"/>
      <c r="P152" s="666"/>
      <c r="Q152" s="566"/>
      <c r="R152" s="530" t="s">
        <v>315</v>
      </c>
      <c r="S152" s="530"/>
      <c r="T152" s="667"/>
    </row>
    <row r="153" spans="1:20" s="508" customFormat="1" ht="30" hidden="1">
      <c r="A153" s="518"/>
      <c r="B153" s="507" t="s">
        <v>1614</v>
      </c>
      <c r="C153" s="534" t="s">
        <v>1615</v>
      </c>
      <c r="D153" s="534" t="s">
        <v>1620</v>
      </c>
      <c r="E153" s="519" t="str">
        <f>IF('GPS Anthro Tool'!$B$6=1,"China GB27887","")</f>
        <v/>
      </c>
      <c r="F153" s="507" t="s">
        <v>4244</v>
      </c>
      <c r="G153" s="520"/>
      <c r="H153" s="507" t="s">
        <v>1621</v>
      </c>
      <c r="I153" s="507"/>
      <c r="J153" s="519" t="s">
        <v>3960</v>
      </c>
      <c r="K153" s="521" t="s">
        <v>605</v>
      </c>
      <c r="L153" s="526" t="s">
        <v>315</v>
      </c>
      <c r="M153" s="527" t="s">
        <v>315</v>
      </c>
      <c r="N153" s="528" t="s">
        <v>315</v>
      </c>
      <c r="O153" s="663"/>
      <c r="P153" s="666"/>
      <c r="Q153" s="566"/>
      <c r="R153" s="530" t="s">
        <v>315</v>
      </c>
      <c r="S153" s="530"/>
      <c r="T153" s="667"/>
    </row>
    <row r="154" spans="1:20" s="508" customFormat="1" ht="45" hidden="1">
      <c r="A154" s="518"/>
      <c r="B154" s="507" t="s">
        <v>1614</v>
      </c>
      <c r="C154" s="534" t="s">
        <v>1615</v>
      </c>
      <c r="D154" s="534" t="s">
        <v>1622</v>
      </c>
      <c r="E154" s="519" t="str">
        <f>IF('GPS Anthro Tool'!$B$6=1,"China GB27887","")</f>
        <v/>
      </c>
      <c r="F154" s="507" t="s">
        <v>4244</v>
      </c>
      <c r="G154" s="520"/>
      <c r="H154" s="507" t="s">
        <v>1623</v>
      </c>
      <c r="I154" s="507"/>
      <c r="J154" s="519" t="s">
        <v>3960</v>
      </c>
      <c r="K154" s="521" t="s">
        <v>605</v>
      </c>
      <c r="L154" s="526" t="s">
        <v>315</v>
      </c>
      <c r="M154" s="527" t="s">
        <v>315</v>
      </c>
      <c r="N154" s="528" t="s">
        <v>315</v>
      </c>
      <c r="O154" s="663"/>
      <c r="P154" s="666"/>
      <c r="Q154" s="566"/>
      <c r="R154" s="530" t="s">
        <v>315</v>
      </c>
      <c r="S154" s="530"/>
      <c r="T154" s="667"/>
    </row>
    <row r="155" spans="1:20" s="508" customFormat="1" ht="30" hidden="1">
      <c r="A155" s="518"/>
      <c r="B155" s="507" t="s">
        <v>1614</v>
      </c>
      <c r="C155" s="534" t="s">
        <v>1615</v>
      </c>
      <c r="D155" s="534" t="s">
        <v>1622</v>
      </c>
      <c r="E155" s="519" t="str">
        <f>IF('GPS Anthro Tool'!$B$6=1,"China GB27887","")</f>
        <v/>
      </c>
      <c r="F155" s="507" t="s">
        <v>4244</v>
      </c>
      <c r="G155" s="520"/>
      <c r="H155" s="507" t="s">
        <v>1624</v>
      </c>
      <c r="I155" s="507"/>
      <c r="J155" s="519" t="s">
        <v>3960</v>
      </c>
      <c r="K155" s="521" t="s">
        <v>605</v>
      </c>
      <c r="L155" s="526" t="s">
        <v>315</v>
      </c>
      <c r="M155" s="527" t="s">
        <v>315</v>
      </c>
      <c r="N155" s="528" t="s">
        <v>315</v>
      </c>
      <c r="O155" s="663"/>
      <c r="P155" s="666"/>
      <c r="Q155" s="566"/>
      <c r="R155" s="530" t="s">
        <v>315</v>
      </c>
      <c r="S155" s="530"/>
      <c r="T155" s="667"/>
    </row>
    <row r="156" spans="1:20" s="508" customFormat="1" ht="30" hidden="1">
      <c r="A156" s="518"/>
      <c r="B156" s="507" t="s">
        <v>1614</v>
      </c>
      <c r="C156" s="534" t="s">
        <v>1615</v>
      </c>
      <c r="D156" s="534" t="s">
        <v>1622</v>
      </c>
      <c r="E156" s="519" t="str">
        <f>IF('GPS Anthro Tool'!$B$6=1,"China GB27887","")</f>
        <v/>
      </c>
      <c r="F156" s="507" t="s">
        <v>4244</v>
      </c>
      <c r="G156" s="520"/>
      <c r="H156" s="507" t="s">
        <v>1625</v>
      </c>
      <c r="I156" s="506"/>
      <c r="J156" s="519" t="s">
        <v>3960</v>
      </c>
      <c r="K156" s="521" t="s">
        <v>605</v>
      </c>
      <c r="L156" s="526" t="s">
        <v>315</v>
      </c>
      <c r="M156" s="527" t="s">
        <v>315</v>
      </c>
      <c r="N156" s="528" t="s">
        <v>315</v>
      </c>
      <c r="O156" s="663"/>
      <c r="P156" s="666"/>
      <c r="Q156" s="566"/>
      <c r="R156" s="530" t="s">
        <v>315</v>
      </c>
      <c r="S156" s="530"/>
      <c r="T156" s="667"/>
    </row>
    <row r="157" spans="1:20" s="508" customFormat="1" ht="60" hidden="1">
      <c r="A157" s="518"/>
      <c r="B157" s="507" t="s">
        <v>1614</v>
      </c>
      <c r="C157" s="534" t="s">
        <v>1615</v>
      </c>
      <c r="D157" s="534" t="s">
        <v>1622</v>
      </c>
      <c r="E157" s="519" t="str">
        <f>IF('GPS Anthro Tool'!$B$6=1,"China GB27887","")</f>
        <v/>
      </c>
      <c r="F157" s="507" t="s">
        <v>4244</v>
      </c>
      <c r="G157" s="520"/>
      <c r="H157" s="507" t="s">
        <v>1626</v>
      </c>
      <c r="I157" s="506"/>
      <c r="J157" s="519" t="s">
        <v>3960</v>
      </c>
      <c r="K157" s="521" t="s">
        <v>605</v>
      </c>
      <c r="L157" s="526" t="s">
        <v>315</v>
      </c>
      <c r="M157" s="527" t="s">
        <v>315</v>
      </c>
      <c r="N157" s="528" t="s">
        <v>315</v>
      </c>
      <c r="O157" s="663"/>
      <c r="P157" s="666"/>
      <c r="Q157" s="566"/>
      <c r="R157" s="530" t="s">
        <v>315</v>
      </c>
      <c r="S157" s="530"/>
      <c r="T157" s="667"/>
    </row>
    <row r="158" spans="1:20" s="508" customFormat="1" ht="75" hidden="1">
      <c r="A158" s="518"/>
      <c r="B158" s="507" t="s">
        <v>1614</v>
      </c>
      <c r="C158" s="534" t="s">
        <v>1615</v>
      </c>
      <c r="D158" s="534" t="s">
        <v>1622</v>
      </c>
      <c r="E158" s="519" t="str">
        <f>IF('GPS Anthro Tool'!$B$6=1,"China GB27887","")</f>
        <v/>
      </c>
      <c r="F158" s="507" t="s">
        <v>4244</v>
      </c>
      <c r="G158" s="520"/>
      <c r="H158" s="507" t="s">
        <v>1627</v>
      </c>
      <c r="I158" s="506"/>
      <c r="J158" s="519" t="s">
        <v>3960</v>
      </c>
      <c r="K158" s="521" t="s">
        <v>605</v>
      </c>
      <c r="L158" s="526" t="s">
        <v>315</v>
      </c>
      <c r="M158" s="527" t="s">
        <v>315</v>
      </c>
      <c r="N158" s="528" t="s">
        <v>315</v>
      </c>
      <c r="O158" s="663"/>
      <c r="P158" s="666"/>
      <c r="Q158" s="566"/>
      <c r="R158" s="530" t="s">
        <v>315</v>
      </c>
      <c r="S158" s="530"/>
      <c r="T158" s="667"/>
    </row>
    <row r="159" spans="1:20" s="508" customFormat="1" ht="30" hidden="1">
      <c r="A159" s="518"/>
      <c r="B159" s="507" t="s">
        <v>1614</v>
      </c>
      <c r="C159" s="534" t="s">
        <v>1615</v>
      </c>
      <c r="D159" s="534" t="s">
        <v>1622</v>
      </c>
      <c r="E159" s="519" t="str">
        <f>IF('GPS Anthro Tool'!$B$6=1,"China GB27887","")</f>
        <v/>
      </c>
      <c r="F159" s="507" t="s">
        <v>4244</v>
      </c>
      <c r="G159" s="520"/>
      <c r="H159" s="507" t="s">
        <v>1628</v>
      </c>
      <c r="I159" s="506"/>
      <c r="J159" s="519" t="s">
        <v>3960</v>
      </c>
      <c r="K159" s="521" t="s">
        <v>605</v>
      </c>
      <c r="L159" s="526" t="s">
        <v>315</v>
      </c>
      <c r="M159" s="527" t="s">
        <v>315</v>
      </c>
      <c r="N159" s="528" t="s">
        <v>315</v>
      </c>
      <c r="O159" s="663"/>
      <c r="P159" s="666"/>
      <c r="Q159" s="566"/>
      <c r="R159" s="530" t="s">
        <v>315</v>
      </c>
      <c r="S159" s="530"/>
      <c r="T159" s="667"/>
    </row>
    <row r="160" spans="1:20" s="508" customFormat="1" ht="60" hidden="1">
      <c r="A160" s="518"/>
      <c r="B160" s="507" t="s">
        <v>1614</v>
      </c>
      <c r="C160" s="534" t="s">
        <v>1615</v>
      </c>
      <c r="D160" s="534" t="s">
        <v>1667</v>
      </c>
      <c r="E160" s="519" t="str">
        <f>IF('GPS Anthro Tool'!$B$6=1,"China GB27887","")</f>
        <v/>
      </c>
      <c r="F160" s="507" t="s">
        <v>4244</v>
      </c>
      <c r="G160" s="520"/>
      <c r="H160" s="507" t="s">
        <v>1668</v>
      </c>
      <c r="I160" s="507"/>
      <c r="J160" s="519" t="s">
        <v>3960</v>
      </c>
      <c r="K160" s="521" t="s">
        <v>605</v>
      </c>
      <c r="L160" s="526" t="s">
        <v>315</v>
      </c>
      <c r="M160" s="527" t="s">
        <v>315</v>
      </c>
      <c r="N160" s="528" t="s">
        <v>315</v>
      </c>
      <c r="O160" s="663"/>
      <c r="P160" s="666"/>
      <c r="Q160" s="566"/>
      <c r="R160" s="530" t="s">
        <v>315</v>
      </c>
      <c r="S160" s="530"/>
      <c r="T160" s="667"/>
    </row>
    <row r="161" spans="1:20" s="508" customFormat="1" ht="90" hidden="1">
      <c r="A161" s="518"/>
      <c r="B161" s="507" t="s">
        <v>1614</v>
      </c>
      <c r="C161" s="534" t="s">
        <v>1615</v>
      </c>
      <c r="D161" s="534" t="s">
        <v>1667</v>
      </c>
      <c r="E161" s="519" t="str">
        <f>IF('GPS Anthro Tool'!$B$6=1,"China GB27887","")</f>
        <v/>
      </c>
      <c r="F161" s="507" t="s">
        <v>4244</v>
      </c>
      <c r="G161" s="520"/>
      <c r="H161" s="507" t="s">
        <v>1669</v>
      </c>
      <c r="I161" s="506"/>
      <c r="J161" s="519" t="s">
        <v>3960</v>
      </c>
      <c r="K161" s="521" t="s">
        <v>605</v>
      </c>
      <c r="L161" s="526" t="s">
        <v>315</v>
      </c>
      <c r="M161" s="527" t="s">
        <v>315</v>
      </c>
      <c r="N161" s="528" t="s">
        <v>315</v>
      </c>
      <c r="O161" s="663"/>
      <c r="P161" s="666"/>
      <c r="Q161" s="566"/>
      <c r="R161" s="530" t="s">
        <v>315</v>
      </c>
      <c r="S161" s="530"/>
      <c r="T161" s="667"/>
    </row>
    <row r="162" spans="1:20" s="508" customFormat="1" ht="60" hidden="1">
      <c r="A162" s="518"/>
      <c r="B162" s="507" t="s">
        <v>1614</v>
      </c>
      <c r="C162" s="534" t="s">
        <v>1615</v>
      </c>
      <c r="D162" s="534" t="s">
        <v>1673</v>
      </c>
      <c r="E162" s="519" t="str">
        <f>IF('GPS Anthro Tool'!$B$6=1,"China GB27887","")</f>
        <v/>
      </c>
      <c r="F162" s="507" t="s">
        <v>4244</v>
      </c>
      <c r="G162" s="520"/>
      <c r="H162" s="507" t="s">
        <v>1674</v>
      </c>
      <c r="I162" s="507"/>
      <c r="J162" s="519" t="s">
        <v>3960</v>
      </c>
      <c r="K162" s="521" t="s">
        <v>605</v>
      </c>
      <c r="L162" s="526" t="s">
        <v>315</v>
      </c>
      <c r="M162" s="527" t="s">
        <v>315</v>
      </c>
      <c r="N162" s="528" t="s">
        <v>315</v>
      </c>
      <c r="O162" s="663"/>
      <c r="P162" s="666"/>
      <c r="Q162" s="566"/>
      <c r="R162" s="530" t="s">
        <v>315</v>
      </c>
      <c r="S162" s="530"/>
      <c r="T162" s="667"/>
    </row>
    <row r="163" spans="1:20" s="508" customFormat="1" ht="30" hidden="1">
      <c r="A163" s="518"/>
      <c r="B163" s="507" t="s">
        <v>1614</v>
      </c>
      <c r="C163" s="534" t="s">
        <v>1615</v>
      </c>
      <c r="D163" s="534" t="s">
        <v>1673</v>
      </c>
      <c r="E163" s="519" t="str">
        <f>IF('GPS Anthro Tool'!$B$6=1,"China GB27887","")</f>
        <v/>
      </c>
      <c r="F163" s="507" t="s">
        <v>4244</v>
      </c>
      <c r="G163" s="520"/>
      <c r="H163" s="507" t="s">
        <v>1625</v>
      </c>
      <c r="I163" s="506"/>
      <c r="J163" s="519" t="s">
        <v>3960</v>
      </c>
      <c r="K163" s="521" t="s">
        <v>605</v>
      </c>
      <c r="L163" s="526" t="s">
        <v>315</v>
      </c>
      <c r="M163" s="527" t="s">
        <v>315</v>
      </c>
      <c r="N163" s="528" t="s">
        <v>315</v>
      </c>
      <c r="O163" s="663"/>
      <c r="P163" s="666"/>
      <c r="Q163" s="566"/>
      <c r="R163" s="530" t="s">
        <v>315</v>
      </c>
      <c r="S163" s="530"/>
      <c r="T163" s="667"/>
    </row>
    <row r="164" spans="1:20" s="508" customFormat="1" ht="60" hidden="1">
      <c r="A164" s="518"/>
      <c r="B164" s="507" t="s">
        <v>1614</v>
      </c>
      <c r="C164" s="534" t="s">
        <v>1615</v>
      </c>
      <c r="D164" s="534" t="s">
        <v>1673</v>
      </c>
      <c r="E164" s="519" t="str">
        <f>IF('GPS Anthro Tool'!$B$6=1,"China GB27887","")</f>
        <v/>
      </c>
      <c r="F164" s="507" t="s">
        <v>4244</v>
      </c>
      <c r="G164" s="520"/>
      <c r="H164" s="507" t="s">
        <v>1675</v>
      </c>
      <c r="I164" s="506"/>
      <c r="J164" s="519" t="s">
        <v>3960</v>
      </c>
      <c r="K164" s="521" t="s">
        <v>605</v>
      </c>
      <c r="L164" s="526" t="s">
        <v>315</v>
      </c>
      <c r="M164" s="527" t="s">
        <v>315</v>
      </c>
      <c r="N164" s="528" t="s">
        <v>315</v>
      </c>
      <c r="O164" s="663"/>
      <c r="P164" s="666"/>
      <c r="Q164" s="566"/>
      <c r="R164" s="530" t="s">
        <v>315</v>
      </c>
      <c r="S164" s="530"/>
      <c r="T164" s="667"/>
    </row>
    <row r="165" spans="1:20" s="508" customFormat="1" ht="75" hidden="1">
      <c r="A165" s="668"/>
      <c r="B165" s="507" t="s">
        <v>1614</v>
      </c>
      <c r="C165" s="534" t="s">
        <v>1615</v>
      </c>
      <c r="D165" s="534" t="s">
        <v>1673</v>
      </c>
      <c r="E165" s="519" t="str">
        <f>IF('GPS Anthro Tool'!$B$6=1,"China GB27887","")</f>
        <v/>
      </c>
      <c r="F165" s="507" t="s">
        <v>4244</v>
      </c>
      <c r="G165" s="520"/>
      <c r="H165" s="507" t="s">
        <v>1676</v>
      </c>
      <c r="I165" s="506"/>
      <c r="J165" s="519" t="s">
        <v>3960</v>
      </c>
      <c r="K165" s="521" t="s">
        <v>605</v>
      </c>
      <c r="L165" s="526" t="s">
        <v>315</v>
      </c>
      <c r="M165" s="527" t="s">
        <v>315</v>
      </c>
      <c r="N165" s="528" t="s">
        <v>315</v>
      </c>
      <c r="O165" s="663"/>
      <c r="P165" s="666"/>
      <c r="Q165" s="566"/>
      <c r="R165" s="530" t="s">
        <v>315</v>
      </c>
      <c r="S165" s="530"/>
      <c r="T165" s="667"/>
    </row>
    <row r="166" spans="1:20" s="508" customFormat="1" ht="45" hidden="1">
      <c r="A166" s="668"/>
      <c r="B166" s="507" t="s">
        <v>1614</v>
      </c>
      <c r="C166" s="534" t="s">
        <v>1615</v>
      </c>
      <c r="D166" s="534" t="s">
        <v>1673</v>
      </c>
      <c r="E166" s="519" t="str">
        <f>IF('GPS Anthro Tool'!$B$6=1,"China GB27887","")</f>
        <v/>
      </c>
      <c r="F166" s="507" t="s">
        <v>4244</v>
      </c>
      <c r="G166" s="520"/>
      <c r="H166" s="507" t="s">
        <v>1677</v>
      </c>
      <c r="I166" s="506"/>
      <c r="J166" s="519" t="s">
        <v>3960</v>
      </c>
      <c r="K166" s="521" t="s">
        <v>605</v>
      </c>
      <c r="L166" s="526" t="s">
        <v>315</v>
      </c>
      <c r="M166" s="527" t="s">
        <v>315</v>
      </c>
      <c r="N166" s="528" t="s">
        <v>315</v>
      </c>
      <c r="O166" s="663"/>
      <c r="P166" s="666"/>
      <c r="Q166" s="566"/>
      <c r="R166" s="530" t="s">
        <v>315</v>
      </c>
      <c r="S166" s="530"/>
      <c r="T166" s="667"/>
    </row>
    <row r="167" spans="1:20" s="508" customFormat="1" ht="60" hidden="1">
      <c r="A167" s="668"/>
      <c r="B167" s="507" t="s">
        <v>1614</v>
      </c>
      <c r="C167" s="534" t="s">
        <v>1615</v>
      </c>
      <c r="D167" s="534" t="s">
        <v>1633</v>
      </c>
      <c r="E167" s="519" t="str">
        <f>IF('GPS Anthro Tool'!$B$6=1,"China GB27887","")</f>
        <v/>
      </c>
      <c r="F167" s="507" t="s">
        <v>4244</v>
      </c>
      <c r="G167" s="520"/>
      <c r="H167" s="507" t="s">
        <v>1634</v>
      </c>
      <c r="I167" s="507"/>
      <c r="J167" s="519" t="s">
        <v>3960</v>
      </c>
      <c r="K167" s="521" t="s">
        <v>605</v>
      </c>
      <c r="L167" s="526" t="s">
        <v>315</v>
      </c>
      <c r="M167" s="527" t="s">
        <v>315</v>
      </c>
      <c r="N167" s="528" t="s">
        <v>315</v>
      </c>
      <c r="O167" s="663"/>
      <c r="P167" s="666"/>
      <c r="Q167" s="566"/>
      <c r="R167" s="530" t="s">
        <v>315</v>
      </c>
      <c r="S167" s="530"/>
      <c r="T167" s="667"/>
    </row>
    <row r="168" spans="1:20" s="508" customFormat="1" ht="60" hidden="1">
      <c r="A168" s="668"/>
      <c r="B168" s="507" t="s">
        <v>1614</v>
      </c>
      <c r="C168" s="534" t="s">
        <v>1615</v>
      </c>
      <c r="D168" s="534" t="s">
        <v>1633</v>
      </c>
      <c r="E168" s="519" t="str">
        <f>IF('GPS Anthro Tool'!$B$6=1,"China GB27887","")</f>
        <v/>
      </c>
      <c r="F168" s="507" t="s">
        <v>4244</v>
      </c>
      <c r="G168" s="520"/>
      <c r="H168" s="507" t="s">
        <v>1635</v>
      </c>
      <c r="I168" s="507"/>
      <c r="J168" s="519" t="s">
        <v>3960</v>
      </c>
      <c r="K168" s="521" t="s">
        <v>605</v>
      </c>
      <c r="L168" s="526" t="s">
        <v>315</v>
      </c>
      <c r="M168" s="527" t="s">
        <v>315</v>
      </c>
      <c r="N168" s="528" t="s">
        <v>315</v>
      </c>
      <c r="O168" s="663"/>
      <c r="P168" s="666"/>
      <c r="Q168" s="566"/>
      <c r="R168" s="530" t="s">
        <v>315</v>
      </c>
      <c r="S168" s="530"/>
      <c r="T168" s="667"/>
    </row>
    <row r="169" spans="1:20" s="508" customFormat="1" ht="30" hidden="1">
      <c r="A169" s="668"/>
      <c r="B169" s="507" t="s">
        <v>1614</v>
      </c>
      <c r="C169" s="534" t="s">
        <v>1615</v>
      </c>
      <c r="D169" s="534" t="s">
        <v>1633</v>
      </c>
      <c r="E169" s="519" t="str">
        <f>IF('GPS Anthro Tool'!$B$6=1,"China GB27887","")</f>
        <v/>
      </c>
      <c r="F169" s="507" t="s">
        <v>4244</v>
      </c>
      <c r="G169" s="520"/>
      <c r="H169" s="507" t="s">
        <v>3505</v>
      </c>
      <c r="I169" s="506"/>
      <c r="J169" s="519" t="s">
        <v>3960</v>
      </c>
      <c r="K169" s="521" t="s">
        <v>605</v>
      </c>
      <c r="L169" s="526" t="s">
        <v>315</v>
      </c>
      <c r="M169" s="527" t="s">
        <v>315</v>
      </c>
      <c r="N169" s="528" t="s">
        <v>315</v>
      </c>
      <c r="O169" s="663"/>
      <c r="P169" s="666"/>
      <c r="Q169" s="566"/>
      <c r="R169" s="530" t="s">
        <v>315</v>
      </c>
      <c r="S169" s="530"/>
      <c r="T169" s="667"/>
    </row>
    <row r="170" spans="1:20" s="508" customFormat="1" ht="30" hidden="1">
      <c r="A170" s="668"/>
      <c r="B170" s="507" t="s">
        <v>1614</v>
      </c>
      <c r="C170" s="534" t="s">
        <v>1615</v>
      </c>
      <c r="D170" s="534" t="s">
        <v>1633</v>
      </c>
      <c r="E170" s="519" t="str">
        <f>IF('GPS Anthro Tool'!$B$6=1,"China GB27887","")</f>
        <v/>
      </c>
      <c r="F170" s="507" t="s">
        <v>4244</v>
      </c>
      <c r="G170" s="520"/>
      <c r="H170" s="507" t="s">
        <v>3506</v>
      </c>
      <c r="I170" s="506"/>
      <c r="J170" s="519" t="s">
        <v>3960</v>
      </c>
      <c r="K170" s="521" t="s">
        <v>605</v>
      </c>
      <c r="L170" s="526" t="s">
        <v>315</v>
      </c>
      <c r="M170" s="527" t="s">
        <v>315</v>
      </c>
      <c r="N170" s="528" t="s">
        <v>315</v>
      </c>
      <c r="O170" s="663"/>
      <c r="P170" s="666"/>
      <c r="Q170" s="566"/>
      <c r="R170" s="530" t="s">
        <v>315</v>
      </c>
      <c r="S170" s="530"/>
      <c r="T170" s="667"/>
    </row>
    <row r="171" spans="1:20" s="508" customFormat="1" ht="30" hidden="1">
      <c r="A171" s="668"/>
      <c r="B171" s="507" t="s">
        <v>1614</v>
      </c>
      <c r="C171" s="534" t="s">
        <v>1615</v>
      </c>
      <c r="D171" s="534" t="s">
        <v>1633</v>
      </c>
      <c r="E171" s="519" t="str">
        <f>IF('GPS Anthro Tool'!$B$6=1,"China GB27887","")</f>
        <v/>
      </c>
      <c r="F171" s="507" t="s">
        <v>4244</v>
      </c>
      <c r="G171" s="520"/>
      <c r="H171" s="507" t="s">
        <v>1636</v>
      </c>
      <c r="I171" s="506"/>
      <c r="J171" s="519" t="s">
        <v>3960</v>
      </c>
      <c r="K171" s="521" t="s">
        <v>605</v>
      </c>
      <c r="L171" s="526" t="s">
        <v>315</v>
      </c>
      <c r="M171" s="527" t="s">
        <v>315</v>
      </c>
      <c r="N171" s="528" t="s">
        <v>315</v>
      </c>
      <c r="O171" s="663"/>
      <c r="P171" s="666"/>
      <c r="Q171" s="566"/>
      <c r="R171" s="530" t="s">
        <v>315</v>
      </c>
      <c r="S171" s="530"/>
      <c r="T171" s="667"/>
    </row>
    <row r="172" spans="1:20" s="508" customFormat="1" ht="60" hidden="1">
      <c r="A172" s="668"/>
      <c r="B172" s="507" t="s">
        <v>1614</v>
      </c>
      <c r="C172" s="534" t="s">
        <v>1615</v>
      </c>
      <c r="D172" s="534" t="s">
        <v>1633</v>
      </c>
      <c r="E172" s="519" t="str">
        <f>IF('GPS Anthro Tool'!$B$6=1,"China GB27887","")</f>
        <v/>
      </c>
      <c r="F172" s="507" t="s">
        <v>4244</v>
      </c>
      <c r="G172" s="520"/>
      <c r="H172" s="507" t="s">
        <v>1637</v>
      </c>
      <c r="I172" s="506"/>
      <c r="J172" s="519" t="s">
        <v>3960</v>
      </c>
      <c r="K172" s="521" t="s">
        <v>605</v>
      </c>
      <c r="L172" s="526" t="s">
        <v>315</v>
      </c>
      <c r="M172" s="527" t="s">
        <v>315</v>
      </c>
      <c r="N172" s="528" t="s">
        <v>315</v>
      </c>
      <c r="O172" s="663"/>
      <c r="P172" s="666"/>
      <c r="Q172" s="566"/>
      <c r="R172" s="530" t="s">
        <v>315</v>
      </c>
      <c r="S172" s="530"/>
      <c r="T172" s="667"/>
    </row>
    <row r="173" spans="1:20" s="508" customFormat="1" ht="60" hidden="1">
      <c r="A173" s="668"/>
      <c r="B173" s="507" t="s">
        <v>1614</v>
      </c>
      <c r="C173" s="534" t="s">
        <v>1615</v>
      </c>
      <c r="D173" s="534" t="s">
        <v>1641</v>
      </c>
      <c r="E173" s="519" t="str">
        <f>IF('GPS Anthro Tool'!$B$6=1,"China GB27887","")</f>
        <v/>
      </c>
      <c r="F173" s="507" t="s">
        <v>4244</v>
      </c>
      <c r="G173" s="520"/>
      <c r="H173" s="507" t="s">
        <v>1642</v>
      </c>
      <c r="I173" s="507"/>
      <c r="J173" s="519" t="s">
        <v>3960</v>
      </c>
      <c r="K173" s="521" t="s">
        <v>605</v>
      </c>
      <c r="L173" s="526" t="s">
        <v>315</v>
      </c>
      <c r="M173" s="527" t="s">
        <v>315</v>
      </c>
      <c r="N173" s="528" t="s">
        <v>315</v>
      </c>
      <c r="O173" s="663"/>
      <c r="P173" s="666"/>
      <c r="Q173" s="566"/>
      <c r="R173" s="530" t="s">
        <v>315</v>
      </c>
      <c r="S173" s="530"/>
      <c r="T173" s="667"/>
    </row>
    <row r="174" spans="1:20" s="508" customFormat="1" ht="165" hidden="1">
      <c r="A174" s="668"/>
      <c r="B174" s="507" t="s">
        <v>1614</v>
      </c>
      <c r="C174" s="534" t="s">
        <v>1615</v>
      </c>
      <c r="D174" s="534" t="s">
        <v>1645</v>
      </c>
      <c r="E174" s="519" t="str">
        <f>IF('GPS Anthro Tool'!$B$6=1,"China GB27887","")</f>
        <v/>
      </c>
      <c r="F174" s="507" t="s">
        <v>4244</v>
      </c>
      <c r="G174" s="520"/>
      <c r="H174" s="507" t="s">
        <v>1646</v>
      </c>
      <c r="I174" s="507"/>
      <c r="J174" s="519" t="s">
        <v>3960</v>
      </c>
      <c r="K174" s="521" t="s">
        <v>605</v>
      </c>
      <c r="L174" s="526" t="s">
        <v>315</v>
      </c>
      <c r="M174" s="527" t="s">
        <v>315</v>
      </c>
      <c r="N174" s="528" t="s">
        <v>315</v>
      </c>
      <c r="O174" s="663"/>
      <c r="P174" s="666"/>
      <c r="Q174" s="566"/>
      <c r="R174" s="530" t="s">
        <v>315</v>
      </c>
      <c r="S174" s="530"/>
      <c r="T174" s="667"/>
    </row>
    <row r="175" spans="1:20" s="508" customFormat="1" ht="30" hidden="1">
      <c r="A175" s="668"/>
      <c r="B175" s="507" t="s">
        <v>1614</v>
      </c>
      <c r="C175" s="534" t="s">
        <v>1615</v>
      </c>
      <c r="D175" s="534" t="s">
        <v>1647</v>
      </c>
      <c r="E175" s="519" t="str">
        <f>IF('GPS Anthro Tool'!$B$6=1,"China GB27887","")</f>
        <v/>
      </c>
      <c r="F175" s="507" t="s">
        <v>4244</v>
      </c>
      <c r="G175" s="520"/>
      <c r="H175" s="507" t="s">
        <v>1648</v>
      </c>
      <c r="I175" s="507"/>
      <c r="J175" s="519" t="s">
        <v>3960</v>
      </c>
      <c r="K175" s="521" t="s">
        <v>605</v>
      </c>
      <c r="L175" s="526" t="s">
        <v>315</v>
      </c>
      <c r="M175" s="527" t="s">
        <v>315</v>
      </c>
      <c r="N175" s="528" t="s">
        <v>315</v>
      </c>
      <c r="O175" s="663"/>
      <c r="P175" s="666"/>
      <c r="Q175" s="566"/>
      <c r="R175" s="530" t="s">
        <v>315</v>
      </c>
      <c r="S175" s="530"/>
      <c r="T175" s="667"/>
    </row>
    <row r="176" spans="1:20" s="508" customFormat="1" ht="45" hidden="1">
      <c r="A176" s="668"/>
      <c r="B176" s="507" t="s">
        <v>1614</v>
      </c>
      <c r="C176" s="534" t="s">
        <v>1615</v>
      </c>
      <c r="D176" s="534" t="s">
        <v>1651</v>
      </c>
      <c r="E176" s="519" t="str">
        <f>IF('GPS Anthro Tool'!$B$6=1,"China GB27887","")</f>
        <v/>
      </c>
      <c r="F176" s="507" t="s">
        <v>4244</v>
      </c>
      <c r="G176" s="520"/>
      <c r="H176" s="507" t="s">
        <v>1652</v>
      </c>
      <c r="I176" s="507"/>
      <c r="J176" s="519" t="s">
        <v>3960</v>
      </c>
      <c r="K176" s="521" t="s">
        <v>605</v>
      </c>
      <c r="L176" s="526" t="s">
        <v>315</v>
      </c>
      <c r="M176" s="527" t="s">
        <v>315</v>
      </c>
      <c r="N176" s="528" t="s">
        <v>315</v>
      </c>
      <c r="O176" s="663"/>
      <c r="P176" s="666"/>
      <c r="Q176" s="566"/>
      <c r="R176" s="530" t="s">
        <v>315</v>
      </c>
      <c r="S176" s="530"/>
      <c r="T176" s="667"/>
    </row>
    <row r="177" spans="1:20" s="508" customFormat="1" ht="90" hidden="1">
      <c r="A177" s="668"/>
      <c r="B177" s="507" t="s">
        <v>1614</v>
      </c>
      <c r="C177" s="534" t="s">
        <v>1615</v>
      </c>
      <c r="D177" s="534" t="s">
        <v>1655</v>
      </c>
      <c r="E177" s="519" t="str">
        <f>IF('GPS Anthro Tool'!$B$6=1,"China GB27887","")</f>
        <v/>
      </c>
      <c r="F177" s="507" t="s">
        <v>4244</v>
      </c>
      <c r="G177" s="520"/>
      <c r="H177" s="507" t="s">
        <v>1656</v>
      </c>
      <c r="I177" s="507"/>
      <c r="J177" s="519" t="s">
        <v>3960</v>
      </c>
      <c r="K177" s="521" t="s">
        <v>605</v>
      </c>
      <c r="L177" s="526" t="s">
        <v>315</v>
      </c>
      <c r="M177" s="527" t="s">
        <v>315</v>
      </c>
      <c r="N177" s="528" t="s">
        <v>315</v>
      </c>
      <c r="O177" s="663"/>
      <c r="P177" s="666"/>
      <c r="Q177" s="566"/>
      <c r="R177" s="530" t="s">
        <v>315</v>
      </c>
      <c r="S177" s="530"/>
      <c r="T177" s="667"/>
    </row>
    <row r="178" spans="1:20" s="508" customFormat="1" ht="45" hidden="1">
      <c r="A178" s="668"/>
      <c r="B178" s="507" t="s">
        <v>1614</v>
      </c>
      <c r="C178" s="534" t="s">
        <v>1615</v>
      </c>
      <c r="D178" s="534" t="s">
        <v>1659</v>
      </c>
      <c r="E178" s="519" t="str">
        <f>IF('GPS Anthro Tool'!$B$6=1,"China GB27887","")</f>
        <v/>
      </c>
      <c r="F178" s="507" t="s">
        <v>4244</v>
      </c>
      <c r="G178" s="520"/>
      <c r="H178" s="507" t="s">
        <v>1660</v>
      </c>
      <c r="I178" s="507"/>
      <c r="J178" s="519" t="s">
        <v>3960</v>
      </c>
      <c r="K178" s="521" t="s">
        <v>605</v>
      </c>
      <c r="L178" s="526" t="s">
        <v>315</v>
      </c>
      <c r="M178" s="527" t="s">
        <v>315</v>
      </c>
      <c r="N178" s="528" t="s">
        <v>315</v>
      </c>
      <c r="O178" s="663"/>
      <c r="P178" s="666"/>
      <c r="Q178" s="566"/>
      <c r="R178" s="530" t="s">
        <v>315</v>
      </c>
      <c r="S178" s="530"/>
      <c r="T178" s="667"/>
    </row>
    <row r="179" spans="1:20" s="508" customFormat="1" ht="105" hidden="1">
      <c r="A179" s="668"/>
      <c r="B179" s="507" t="s">
        <v>1614</v>
      </c>
      <c r="C179" s="534" t="s">
        <v>1615</v>
      </c>
      <c r="D179" s="534" t="s">
        <v>1663</v>
      </c>
      <c r="E179" s="519" t="str">
        <f>IF('GPS Anthro Tool'!$B$6=1,"China GB27887","")</f>
        <v/>
      </c>
      <c r="F179" s="507" t="s">
        <v>4244</v>
      </c>
      <c r="G179" s="520"/>
      <c r="H179" s="507" t="s">
        <v>1664</v>
      </c>
      <c r="I179" s="507"/>
      <c r="J179" s="519" t="s">
        <v>3960</v>
      </c>
      <c r="K179" s="521" t="s">
        <v>605</v>
      </c>
      <c r="L179" s="526" t="s">
        <v>315</v>
      </c>
      <c r="M179" s="527" t="s">
        <v>315</v>
      </c>
      <c r="N179" s="528" t="s">
        <v>315</v>
      </c>
      <c r="O179" s="663"/>
      <c r="P179" s="666"/>
      <c r="Q179" s="566"/>
      <c r="R179" s="530" t="s">
        <v>315</v>
      </c>
      <c r="S179" s="530"/>
      <c r="T179" s="667"/>
    </row>
    <row r="180" spans="1:20" s="508" customFormat="1" ht="30" hidden="1">
      <c r="A180" s="668"/>
      <c r="B180" s="507" t="s">
        <v>1614</v>
      </c>
      <c r="C180" s="534" t="s">
        <v>1615</v>
      </c>
      <c r="D180" s="534" t="s">
        <v>1678</v>
      </c>
      <c r="E180" s="519" t="str">
        <f>IF('GPS Anthro Tool'!$B$6=1,"China GB27887","")</f>
        <v/>
      </c>
      <c r="F180" s="507" t="s">
        <v>4244</v>
      </c>
      <c r="G180" s="520"/>
      <c r="H180" s="507" t="s">
        <v>1679</v>
      </c>
      <c r="I180" s="507"/>
      <c r="J180" s="519" t="s">
        <v>3960</v>
      </c>
      <c r="K180" s="521" t="s">
        <v>605</v>
      </c>
      <c r="L180" s="526" t="s">
        <v>315</v>
      </c>
      <c r="M180" s="527" t="s">
        <v>315</v>
      </c>
      <c r="N180" s="528" t="s">
        <v>315</v>
      </c>
      <c r="O180" s="663"/>
      <c r="P180" s="666"/>
      <c r="Q180" s="566"/>
      <c r="R180" s="530" t="s">
        <v>315</v>
      </c>
      <c r="S180" s="530"/>
      <c r="T180" s="667"/>
    </row>
    <row r="181" spans="1:20" s="508" customFormat="1" ht="30" hidden="1">
      <c r="A181" s="668"/>
      <c r="B181" s="507" t="s">
        <v>1614</v>
      </c>
      <c r="C181" s="534" t="s">
        <v>1615</v>
      </c>
      <c r="D181" s="534" t="s">
        <v>1680</v>
      </c>
      <c r="E181" s="519" t="str">
        <f>IF('GPS Anthro Tool'!$B$6=1,"China GB27887","")</f>
        <v/>
      </c>
      <c r="F181" s="507" t="s">
        <v>4244</v>
      </c>
      <c r="G181" s="520"/>
      <c r="H181" s="507" t="s">
        <v>1681</v>
      </c>
      <c r="I181" s="507"/>
      <c r="J181" s="519" t="s">
        <v>3960</v>
      </c>
      <c r="K181" s="521" t="s">
        <v>605</v>
      </c>
      <c r="L181" s="526" t="s">
        <v>315</v>
      </c>
      <c r="M181" s="527" t="s">
        <v>315</v>
      </c>
      <c r="N181" s="528" t="s">
        <v>315</v>
      </c>
      <c r="O181" s="663"/>
      <c r="P181" s="666"/>
      <c r="Q181" s="566"/>
      <c r="R181" s="530" t="s">
        <v>315</v>
      </c>
      <c r="S181" s="530"/>
      <c r="T181" s="667"/>
    </row>
    <row r="182" spans="1:20" s="508" customFormat="1" ht="75" hidden="1">
      <c r="A182" s="668"/>
      <c r="B182" s="507" t="s">
        <v>1614</v>
      </c>
      <c r="C182" s="534" t="s">
        <v>1615</v>
      </c>
      <c r="D182" s="534" t="s">
        <v>1717</v>
      </c>
      <c r="E182" s="519" t="str">
        <f>IF('GPS Anthro Tool'!$B$6=1,"China GB27887","")</f>
        <v/>
      </c>
      <c r="F182" s="507" t="s">
        <v>4244</v>
      </c>
      <c r="G182" s="520"/>
      <c r="H182" s="507" t="s">
        <v>1718</v>
      </c>
      <c r="I182" s="507"/>
      <c r="J182" s="519" t="s">
        <v>3960</v>
      </c>
      <c r="K182" s="521" t="s">
        <v>605</v>
      </c>
      <c r="L182" s="526" t="s">
        <v>315</v>
      </c>
      <c r="M182" s="527" t="s">
        <v>315</v>
      </c>
      <c r="N182" s="528" t="s">
        <v>315</v>
      </c>
      <c r="O182" s="663"/>
      <c r="P182" s="666"/>
      <c r="Q182" s="566"/>
      <c r="R182" s="530" t="s">
        <v>315</v>
      </c>
      <c r="S182" s="535"/>
      <c r="T182" s="667"/>
    </row>
    <row r="183" spans="1:20" s="508" customFormat="1" ht="45" hidden="1">
      <c r="A183" s="668"/>
      <c r="B183" s="507" t="s">
        <v>1614</v>
      </c>
      <c r="C183" s="534" t="s">
        <v>1615</v>
      </c>
      <c r="D183" s="534" t="s">
        <v>1721</v>
      </c>
      <c r="E183" s="519" t="str">
        <f>IF('GPS Anthro Tool'!$B$6=1,"China GB27887","")</f>
        <v/>
      </c>
      <c r="F183" s="507" t="s">
        <v>4244</v>
      </c>
      <c r="G183" s="520"/>
      <c r="H183" s="507" t="s">
        <v>1722</v>
      </c>
      <c r="I183" s="507"/>
      <c r="J183" s="519" t="s">
        <v>3960</v>
      </c>
      <c r="K183" s="521" t="s">
        <v>605</v>
      </c>
      <c r="L183" s="526" t="s">
        <v>315</v>
      </c>
      <c r="M183" s="527" t="s">
        <v>315</v>
      </c>
      <c r="N183" s="528" t="s">
        <v>315</v>
      </c>
      <c r="O183" s="663"/>
      <c r="P183" s="666"/>
      <c r="Q183" s="566"/>
      <c r="R183" s="530" t="s">
        <v>315</v>
      </c>
      <c r="S183" s="535"/>
      <c r="T183" s="667"/>
    </row>
    <row r="184" spans="1:20" s="508" customFormat="1" ht="60" hidden="1">
      <c r="A184" s="668"/>
      <c r="B184" s="507" t="s">
        <v>1614</v>
      </c>
      <c r="C184" s="534" t="s">
        <v>1615</v>
      </c>
      <c r="D184" s="534" t="s">
        <v>1725</v>
      </c>
      <c r="E184" s="519" t="str">
        <f>IF('GPS Anthro Tool'!$B$6=1,"China GB27887","")</f>
        <v/>
      </c>
      <c r="F184" s="507" t="s">
        <v>4244</v>
      </c>
      <c r="G184" s="520"/>
      <c r="H184" s="507" t="s">
        <v>1726</v>
      </c>
      <c r="I184" s="507"/>
      <c r="J184" s="519" t="s">
        <v>3960</v>
      </c>
      <c r="K184" s="521" t="s">
        <v>605</v>
      </c>
      <c r="L184" s="526" t="s">
        <v>315</v>
      </c>
      <c r="M184" s="527" t="s">
        <v>315</v>
      </c>
      <c r="N184" s="528" t="s">
        <v>315</v>
      </c>
      <c r="O184" s="663"/>
      <c r="P184" s="666"/>
      <c r="Q184" s="566"/>
      <c r="R184" s="530" t="s">
        <v>315</v>
      </c>
      <c r="S184" s="535"/>
      <c r="T184" s="667"/>
    </row>
    <row r="185" spans="1:20" s="508" customFormat="1" ht="120" hidden="1">
      <c r="A185" s="668"/>
      <c r="B185" s="507" t="s">
        <v>1614</v>
      </c>
      <c r="C185" s="534" t="s">
        <v>1615</v>
      </c>
      <c r="D185" s="534" t="s">
        <v>1729</v>
      </c>
      <c r="E185" s="519" t="str">
        <f>IF('GPS Anthro Tool'!$B$6=1,"China GB27887","")</f>
        <v/>
      </c>
      <c r="F185" s="507" t="s">
        <v>4244</v>
      </c>
      <c r="G185" s="520"/>
      <c r="H185" s="507" t="s">
        <v>1730</v>
      </c>
      <c r="I185" s="507"/>
      <c r="J185" s="519" t="s">
        <v>3960</v>
      </c>
      <c r="K185" s="521" t="s">
        <v>605</v>
      </c>
      <c r="L185" s="526" t="s">
        <v>315</v>
      </c>
      <c r="M185" s="527" t="s">
        <v>315</v>
      </c>
      <c r="N185" s="528" t="s">
        <v>315</v>
      </c>
      <c r="O185" s="663"/>
      <c r="P185" s="666"/>
      <c r="Q185" s="566"/>
      <c r="R185" s="530" t="s">
        <v>315</v>
      </c>
      <c r="S185" s="535"/>
      <c r="T185" s="667"/>
    </row>
    <row r="186" spans="1:20" s="508" customFormat="1" ht="120" hidden="1">
      <c r="A186" s="668"/>
      <c r="B186" s="507" t="s">
        <v>1614</v>
      </c>
      <c r="C186" s="534" t="s">
        <v>1615</v>
      </c>
      <c r="D186" s="534" t="s">
        <v>1737</v>
      </c>
      <c r="E186" s="519" t="str">
        <f>IF('GPS Anthro Tool'!$B$6=1,"China GB27887","")</f>
        <v/>
      </c>
      <c r="F186" s="507" t="s">
        <v>4244</v>
      </c>
      <c r="G186" s="520"/>
      <c r="H186" s="507" t="s">
        <v>1738</v>
      </c>
      <c r="I186" s="507"/>
      <c r="J186" s="519" t="s">
        <v>3960</v>
      </c>
      <c r="K186" s="521" t="s">
        <v>605</v>
      </c>
      <c r="L186" s="526" t="s">
        <v>315</v>
      </c>
      <c r="M186" s="527" t="s">
        <v>315</v>
      </c>
      <c r="N186" s="528" t="s">
        <v>315</v>
      </c>
      <c r="O186" s="663"/>
      <c r="P186" s="666"/>
      <c r="Q186" s="566"/>
      <c r="R186" s="530" t="s">
        <v>315</v>
      </c>
      <c r="S186" s="535"/>
      <c r="T186" s="667"/>
    </row>
    <row r="187" spans="1:20" s="508" customFormat="1" ht="180" hidden="1">
      <c r="A187" s="668"/>
      <c r="B187" s="507" t="s">
        <v>1614</v>
      </c>
      <c r="C187" s="534" t="s">
        <v>1615</v>
      </c>
      <c r="D187" s="534" t="s">
        <v>1739</v>
      </c>
      <c r="E187" s="519" t="str">
        <f>IF('GPS Anthro Tool'!$B$6=1,"China GB27887","")</f>
        <v/>
      </c>
      <c r="F187" s="507" t="s">
        <v>4244</v>
      </c>
      <c r="G187" s="520"/>
      <c r="H187" s="509" t="s">
        <v>1740</v>
      </c>
      <c r="I187" s="509"/>
      <c r="J187" s="519" t="s">
        <v>3960</v>
      </c>
      <c r="K187" s="521" t="s">
        <v>605</v>
      </c>
      <c r="L187" s="526" t="s">
        <v>315</v>
      </c>
      <c r="M187" s="527" t="s">
        <v>315</v>
      </c>
      <c r="N187" s="528" t="s">
        <v>315</v>
      </c>
      <c r="O187" s="663"/>
      <c r="P187" s="666"/>
      <c r="Q187" s="566"/>
      <c r="R187" s="530" t="s">
        <v>315</v>
      </c>
      <c r="S187" s="535"/>
      <c r="T187" s="667"/>
    </row>
    <row r="188" spans="1:20" s="508" customFormat="1" ht="75" hidden="1">
      <c r="A188" s="668"/>
      <c r="B188" s="507" t="s">
        <v>1614</v>
      </c>
      <c r="C188" s="534" t="s">
        <v>1615</v>
      </c>
      <c r="D188" s="534" t="s">
        <v>1741</v>
      </c>
      <c r="E188" s="519" t="str">
        <f>IF('GPS Anthro Tool'!$B$6=1,"China GB27887","")</f>
        <v/>
      </c>
      <c r="F188" s="507" t="s">
        <v>4244</v>
      </c>
      <c r="G188" s="520"/>
      <c r="H188" s="509" t="s">
        <v>1742</v>
      </c>
      <c r="I188" s="509"/>
      <c r="J188" s="519" t="s">
        <v>3960</v>
      </c>
      <c r="K188" s="521" t="s">
        <v>605</v>
      </c>
      <c r="L188" s="526" t="s">
        <v>315</v>
      </c>
      <c r="M188" s="527" t="s">
        <v>315</v>
      </c>
      <c r="N188" s="528" t="s">
        <v>315</v>
      </c>
      <c r="O188" s="663"/>
      <c r="P188" s="666"/>
      <c r="Q188" s="566"/>
      <c r="R188" s="530" t="s">
        <v>315</v>
      </c>
      <c r="S188" s="535"/>
      <c r="T188" s="667"/>
    </row>
    <row r="189" spans="1:20" s="508" customFormat="1" ht="75" hidden="1">
      <c r="A189" s="668"/>
      <c r="B189" s="507" t="s">
        <v>1614</v>
      </c>
      <c r="C189" s="534" t="s">
        <v>1615</v>
      </c>
      <c r="D189" s="534" t="s">
        <v>1745</v>
      </c>
      <c r="E189" s="519" t="str">
        <f>IF('GPS Anthro Tool'!$B$6=1,"China GB27887","")</f>
        <v/>
      </c>
      <c r="F189" s="507" t="s">
        <v>4244</v>
      </c>
      <c r="G189" s="520"/>
      <c r="H189" s="509" t="s">
        <v>1746</v>
      </c>
      <c r="I189" s="509"/>
      <c r="J189" s="519" t="s">
        <v>3960</v>
      </c>
      <c r="K189" s="521" t="s">
        <v>605</v>
      </c>
      <c r="L189" s="526" t="s">
        <v>315</v>
      </c>
      <c r="M189" s="527" t="s">
        <v>315</v>
      </c>
      <c r="N189" s="528" t="s">
        <v>315</v>
      </c>
      <c r="O189" s="663"/>
      <c r="P189" s="666"/>
      <c r="Q189" s="566"/>
      <c r="R189" s="530" t="s">
        <v>315</v>
      </c>
      <c r="S189" s="535"/>
      <c r="T189" s="667"/>
    </row>
    <row r="190" spans="1:20" s="508" customFormat="1" ht="60" hidden="1">
      <c r="A190" s="668"/>
      <c r="B190" s="507" t="s">
        <v>1614</v>
      </c>
      <c r="C190" s="534" t="s">
        <v>1615</v>
      </c>
      <c r="D190" s="534" t="s">
        <v>1747</v>
      </c>
      <c r="E190" s="519" t="str">
        <f>IF('GPS Anthro Tool'!$B$6=1,"China GB27887","")</f>
        <v/>
      </c>
      <c r="F190" s="507" t="s">
        <v>4244</v>
      </c>
      <c r="G190" s="520"/>
      <c r="H190" s="509" t="s">
        <v>1748</v>
      </c>
      <c r="I190" s="509"/>
      <c r="J190" s="519" t="s">
        <v>3960</v>
      </c>
      <c r="K190" s="521" t="s">
        <v>605</v>
      </c>
      <c r="L190" s="526" t="s">
        <v>315</v>
      </c>
      <c r="M190" s="527" t="s">
        <v>315</v>
      </c>
      <c r="N190" s="528" t="s">
        <v>315</v>
      </c>
      <c r="O190" s="663"/>
      <c r="P190" s="666"/>
      <c r="Q190" s="566"/>
      <c r="R190" s="530" t="s">
        <v>315</v>
      </c>
      <c r="S190" s="535"/>
      <c r="T190" s="667"/>
    </row>
    <row r="191" spans="1:20" s="508" customFormat="1" ht="120" hidden="1">
      <c r="A191" s="668"/>
      <c r="B191" s="507" t="s">
        <v>1614</v>
      </c>
      <c r="C191" s="534" t="s">
        <v>1615</v>
      </c>
      <c r="D191" s="534" t="s">
        <v>1684</v>
      </c>
      <c r="E191" s="519" t="str">
        <f>IF('GPS Anthro Tool'!$B$6=1,"China GB27887","")</f>
        <v/>
      </c>
      <c r="F191" s="507" t="s">
        <v>4244</v>
      </c>
      <c r="G191" s="520"/>
      <c r="H191" s="507" t="s">
        <v>1685</v>
      </c>
      <c r="I191" s="507"/>
      <c r="J191" s="519" t="s">
        <v>3960</v>
      </c>
      <c r="K191" s="521" t="s">
        <v>605</v>
      </c>
      <c r="L191" s="526" t="s">
        <v>315</v>
      </c>
      <c r="M191" s="527" t="s">
        <v>315</v>
      </c>
      <c r="N191" s="528" t="s">
        <v>315</v>
      </c>
      <c r="O191" s="663"/>
      <c r="P191" s="666"/>
      <c r="Q191" s="566"/>
      <c r="R191" s="530" t="s">
        <v>315</v>
      </c>
      <c r="S191" s="530"/>
      <c r="T191" s="667"/>
    </row>
    <row r="192" spans="1:20" s="508" customFormat="1" ht="120" hidden="1">
      <c r="A192" s="668"/>
      <c r="B192" s="507" t="s">
        <v>1614</v>
      </c>
      <c r="C192" s="534" t="s">
        <v>1615</v>
      </c>
      <c r="D192" s="534" t="s">
        <v>1686</v>
      </c>
      <c r="E192" s="519" t="str">
        <f>IF('GPS Anthro Tool'!$B$6=1,"China GB27887","")</f>
        <v/>
      </c>
      <c r="F192" s="507" t="s">
        <v>4244</v>
      </c>
      <c r="G192" s="520"/>
      <c r="H192" s="507" t="s">
        <v>1687</v>
      </c>
      <c r="I192" s="507"/>
      <c r="J192" s="519" t="s">
        <v>3960</v>
      </c>
      <c r="K192" s="521" t="s">
        <v>605</v>
      </c>
      <c r="L192" s="526" t="s">
        <v>315</v>
      </c>
      <c r="M192" s="527" t="s">
        <v>315</v>
      </c>
      <c r="N192" s="528" t="s">
        <v>315</v>
      </c>
      <c r="O192" s="663"/>
      <c r="P192" s="666"/>
      <c r="Q192" s="566"/>
      <c r="R192" s="530" t="s">
        <v>315</v>
      </c>
      <c r="S192" s="530"/>
      <c r="T192" s="667"/>
    </row>
    <row r="193" spans="1:20" s="508" customFormat="1" ht="45" hidden="1">
      <c r="A193" s="668"/>
      <c r="B193" s="507" t="s">
        <v>1614</v>
      </c>
      <c r="C193" s="534" t="s">
        <v>1615</v>
      </c>
      <c r="D193" s="534" t="s">
        <v>1693</v>
      </c>
      <c r="E193" s="519" t="str">
        <f>IF('GPS Anthro Tool'!$B$6=1,"China GB27887","")</f>
        <v/>
      </c>
      <c r="F193" s="507" t="s">
        <v>4244</v>
      </c>
      <c r="G193" s="520"/>
      <c r="H193" s="507" t="s">
        <v>1694</v>
      </c>
      <c r="I193" s="507"/>
      <c r="J193" s="519" t="s">
        <v>3960</v>
      </c>
      <c r="K193" s="521" t="s">
        <v>605</v>
      </c>
      <c r="L193" s="526" t="s">
        <v>315</v>
      </c>
      <c r="M193" s="527" t="s">
        <v>315</v>
      </c>
      <c r="N193" s="528" t="s">
        <v>315</v>
      </c>
      <c r="O193" s="663"/>
      <c r="P193" s="666"/>
      <c r="Q193" s="566"/>
      <c r="R193" s="530" t="s">
        <v>315</v>
      </c>
      <c r="S193" s="530"/>
      <c r="T193" s="667"/>
    </row>
    <row r="194" spans="1:20" s="508" customFormat="1" ht="90" hidden="1">
      <c r="A194" s="668"/>
      <c r="B194" s="507" t="s">
        <v>1614</v>
      </c>
      <c r="C194" s="534" t="s">
        <v>1615</v>
      </c>
      <c r="D194" s="534" t="s">
        <v>1697</v>
      </c>
      <c r="E194" s="519" t="str">
        <f>IF('GPS Anthro Tool'!$B$6=1,"China GB27887","")</f>
        <v/>
      </c>
      <c r="F194" s="507" t="s">
        <v>4244</v>
      </c>
      <c r="G194" s="520"/>
      <c r="H194" s="507" t="s">
        <v>1698</v>
      </c>
      <c r="I194" s="507"/>
      <c r="J194" s="519" t="s">
        <v>3960</v>
      </c>
      <c r="K194" s="521" t="s">
        <v>605</v>
      </c>
      <c r="L194" s="526" t="s">
        <v>315</v>
      </c>
      <c r="M194" s="527" t="s">
        <v>315</v>
      </c>
      <c r="N194" s="528" t="s">
        <v>315</v>
      </c>
      <c r="O194" s="663"/>
      <c r="P194" s="666"/>
      <c r="Q194" s="566"/>
      <c r="R194" s="530" t="s">
        <v>315</v>
      </c>
      <c r="S194" s="530"/>
      <c r="T194" s="667"/>
    </row>
    <row r="195" spans="1:20" s="508" customFormat="1" ht="45" hidden="1">
      <c r="A195" s="668"/>
      <c r="B195" s="507" t="s">
        <v>1614</v>
      </c>
      <c r="C195" s="534" t="s">
        <v>1615</v>
      </c>
      <c r="D195" s="534" t="s">
        <v>1701</v>
      </c>
      <c r="E195" s="519" t="str">
        <f>IF('GPS Anthro Tool'!$B$6=1,"China GB27887","")</f>
        <v/>
      </c>
      <c r="F195" s="507" t="s">
        <v>4244</v>
      </c>
      <c r="G195" s="520"/>
      <c r="H195" s="507" t="s">
        <v>1702</v>
      </c>
      <c r="I195" s="507"/>
      <c r="J195" s="519" t="s">
        <v>3960</v>
      </c>
      <c r="K195" s="521" t="s">
        <v>605</v>
      </c>
      <c r="L195" s="526" t="s">
        <v>315</v>
      </c>
      <c r="M195" s="527" t="s">
        <v>315</v>
      </c>
      <c r="N195" s="528" t="s">
        <v>315</v>
      </c>
      <c r="O195" s="663"/>
      <c r="P195" s="666"/>
      <c r="Q195" s="566"/>
      <c r="R195" s="530" t="s">
        <v>315</v>
      </c>
      <c r="S195" s="530"/>
      <c r="T195" s="667"/>
    </row>
    <row r="196" spans="1:20" s="508" customFormat="1" ht="60" hidden="1">
      <c r="A196" s="668"/>
      <c r="B196" s="507" t="s">
        <v>1614</v>
      </c>
      <c r="C196" s="534" t="s">
        <v>1615</v>
      </c>
      <c r="D196" s="534" t="s">
        <v>1705</v>
      </c>
      <c r="E196" s="519" t="str">
        <f>IF('GPS Anthro Tool'!$B$6=1,"China GB27887","")</f>
        <v/>
      </c>
      <c r="F196" s="507" t="s">
        <v>4244</v>
      </c>
      <c r="G196" s="520"/>
      <c r="H196" s="507" t="s">
        <v>1706</v>
      </c>
      <c r="I196" s="507"/>
      <c r="J196" s="519" t="s">
        <v>3960</v>
      </c>
      <c r="K196" s="521" t="s">
        <v>605</v>
      </c>
      <c r="L196" s="526" t="s">
        <v>315</v>
      </c>
      <c r="M196" s="527" t="s">
        <v>315</v>
      </c>
      <c r="N196" s="528" t="s">
        <v>315</v>
      </c>
      <c r="O196" s="663"/>
      <c r="P196" s="666"/>
      <c r="Q196" s="566"/>
      <c r="R196" s="530" t="s">
        <v>315</v>
      </c>
      <c r="S196" s="535"/>
      <c r="T196" s="667"/>
    </row>
    <row r="197" spans="1:20" s="508" customFormat="1" ht="30" hidden="1">
      <c r="A197" s="668"/>
      <c r="B197" s="507" t="s">
        <v>1614</v>
      </c>
      <c r="C197" s="534" t="s">
        <v>1615</v>
      </c>
      <c r="D197" s="534" t="s">
        <v>1709</v>
      </c>
      <c r="E197" s="519" t="str">
        <f>IF('GPS Anthro Tool'!$B$6=1,"China GB27887","")</f>
        <v/>
      </c>
      <c r="F197" s="507" t="s">
        <v>4244</v>
      </c>
      <c r="G197" s="520"/>
      <c r="H197" s="507" t="s">
        <v>1710</v>
      </c>
      <c r="I197" s="507"/>
      <c r="J197" s="519" t="s">
        <v>3960</v>
      </c>
      <c r="K197" s="521" t="s">
        <v>605</v>
      </c>
      <c r="L197" s="526" t="s">
        <v>315</v>
      </c>
      <c r="M197" s="527" t="s">
        <v>315</v>
      </c>
      <c r="N197" s="528" t="s">
        <v>315</v>
      </c>
      <c r="O197" s="663"/>
      <c r="P197" s="666"/>
      <c r="Q197" s="566"/>
      <c r="R197" s="530" t="s">
        <v>315</v>
      </c>
      <c r="S197" s="535"/>
      <c r="T197" s="667"/>
    </row>
    <row r="198" spans="1:20" s="508" customFormat="1" ht="105" hidden="1">
      <c r="A198" s="668"/>
      <c r="B198" s="507" t="s">
        <v>1614</v>
      </c>
      <c r="C198" s="534" t="s">
        <v>1615</v>
      </c>
      <c r="D198" s="534" t="s">
        <v>1713</v>
      </c>
      <c r="E198" s="519" t="str">
        <f>IF('GPS Anthro Tool'!$B$6=1,"China GB27887","")</f>
        <v/>
      </c>
      <c r="F198" s="507" t="s">
        <v>4244</v>
      </c>
      <c r="G198" s="520"/>
      <c r="H198" s="507" t="s">
        <v>1714</v>
      </c>
      <c r="I198" s="507"/>
      <c r="J198" s="519" t="s">
        <v>3960</v>
      </c>
      <c r="K198" s="521" t="s">
        <v>605</v>
      </c>
      <c r="L198" s="526" t="s">
        <v>315</v>
      </c>
      <c r="M198" s="527" t="s">
        <v>315</v>
      </c>
      <c r="N198" s="528" t="s">
        <v>315</v>
      </c>
      <c r="O198" s="663"/>
      <c r="P198" s="666"/>
      <c r="Q198" s="566"/>
      <c r="R198" s="530" t="s">
        <v>315</v>
      </c>
      <c r="S198" s="535"/>
      <c r="T198" s="667"/>
    </row>
    <row r="199" spans="1:20" s="508" customFormat="1" ht="30" hidden="1">
      <c r="A199" s="668"/>
      <c r="B199" s="639" t="s">
        <v>3571</v>
      </c>
      <c r="C199" s="506" t="s">
        <v>2104</v>
      </c>
      <c r="D199" s="639" t="s">
        <v>3772</v>
      </c>
      <c r="E199" s="519" t="str">
        <f>IF('GPS Anthro Tool'!$B$5=1,"ECE R129","")</f>
        <v/>
      </c>
      <c r="F199" s="506" t="s">
        <v>4317</v>
      </c>
      <c r="G199" s="534" t="s">
        <v>3594</v>
      </c>
      <c r="H199" s="534" t="s">
        <v>3898</v>
      </c>
      <c r="I199" s="534" t="s">
        <v>3898</v>
      </c>
      <c r="J199" s="513" t="s">
        <v>2957</v>
      </c>
      <c r="K199" s="525" t="s">
        <v>312</v>
      </c>
      <c r="L199" s="526" t="s">
        <v>315</v>
      </c>
      <c r="M199" s="527" t="s">
        <v>315</v>
      </c>
      <c r="N199" s="528" t="s">
        <v>315</v>
      </c>
      <c r="O199" s="663"/>
      <c r="P199" s="529"/>
      <c r="Q199" s="531"/>
      <c r="R199" s="530"/>
      <c r="S199" s="530" t="s">
        <v>315</v>
      </c>
      <c r="T199" s="667"/>
    </row>
    <row r="200" spans="1:20" s="508" customFormat="1" ht="45" hidden="1">
      <c r="A200" s="668"/>
      <c r="B200" s="639" t="s">
        <v>3571</v>
      </c>
      <c r="C200" s="506" t="s">
        <v>2104</v>
      </c>
      <c r="D200" s="639" t="s">
        <v>3773</v>
      </c>
      <c r="E200" s="519" t="str">
        <f>IF('GPS Anthro Tool'!$B$5=1,"ECE R129","")</f>
        <v/>
      </c>
      <c r="F200" s="506" t="s">
        <v>4317</v>
      </c>
      <c r="G200" s="534" t="s">
        <v>3595</v>
      </c>
      <c r="H200" s="534"/>
      <c r="I200" s="534" t="s">
        <v>3899</v>
      </c>
      <c r="J200" s="513" t="s">
        <v>2957</v>
      </c>
      <c r="K200" s="525" t="s">
        <v>605</v>
      </c>
      <c r="L200" s="526" t="s">
        <v>315</v>
      </c>
      <c r="M200" s="527" t="s">
        <v>315</v>
      </c>
      <c r="N200" s="528" t="s">
        <v>315</v>
      </c>
      <c r="O200" s="663"/>
      <c r="P200" s="529"/>
      <c r="Q200" s="531"/>
      <c r="R200" s="530"/>
      <c r="S200" s="530" t="s">
        <v>315</v>
      </c>
      <c r="T200" s="667"/>
    </row>
    <row r="201" spans="1:20" s="508" customFormat="1" ht="30" hidden="1">
      <c r="A201" s="668"/>
      <c r="B201" s="639" t="s">
        <v>3571</v>
      </c>
      <c r="C201" s="506" t="s">
        <v>2104</v>
      </c>
      <c r="D201" s="639" t="s">
        <v>3774</v>
      </c>
      <c r="E201" s="519" t="str">
        <f>IF('GPS Anthro Tool'!$B$5=1,"ECE R129","")</f>
        <v/>
      </c>
      <c r="F201" s="506" t="s">
        <v>4317</v>
      </c>
      <c r="G201" s="534" t="s">
        <v>3596</v>
      </c>
      <c r="H201" s="534"/>
      <c r="I201" s="534" t="s">
        <v>3900</v>
      </c>
      <c r="J201" s="513" t="s">
        <v>2957</v>
      </c>
      <c r="K201" s="525" t="s">
        <v>312</v>
      </c>
      <c r="L201" s="526" t="s">
        <v>315</v>
      </c>
      <c r="M201" s="527" t="s">
        <v>315</v>
      </c>
      <c r="N201" s="528" t="s">
        <v>315</v>
      </c>
      <c r="O201" s="663"/>
      <c r="P201" s="529"/>
      <c r="Q201" s="531"/>
      <c r="R201" s="530"/>
      <c r="S201" s="530" t="s">
        <v>315</v>
      </c>
      <c r="T201" s="667"/>
    </row>
    <row r="202" spans="1:20" s="508" customFormat="1" ht="30" hidden="1">
      <c r="A202" s="668"/>
      <c r="B202" s="639" t="s">
        <v>3571</v>
      </c>
      <c r="C202" s="506" t="s">
        <v>2104</v>
      </c>
      <c r="D202" s="639" t="s">
        <v>3775</v>
      </c>
      <c r="E202" s="519" t="str">
        <f>IF('GPS Anthro Tool'!$B$5=1,"ECE R129","")</f>
        <v/>
      </c>
      <c r="F202" s="506" t="s">
        <v>4317</v>
      </c>
      <c r="G202" s="534" t="s">
        <v>3597</v>
      </c>
      <c r="H202" s="534"/>
      <c r="I202" s="534" t="s">
        <v>3901</v>
      </c>
      <c r="J202" s="513" t="s">
        <v>2957</v>
      </c>
      <c r="K202" s="525" t="s">
        <v>312</v>
      </c>
      <c r="L202" s="526" t="s">
        <v>315</v>
      </c>
      <c r="M202" s="527" t="s">
        <v>315</v>
      </c>
      <c r="N202" s="528" t="s">
        <v>315</v>
      </c>
      <c r="O202" s="663"/>
      <c r="P202" s="529"/>
      <c r="Q202" s="531"/>
      <c r="R202" s="530"/>
      <c r="S202" s="530" t="s">
        <v>315</v>
      </c>
      <c r="T202" s="667"/>
    </row>
    <row r="203" spans="1:20" s="508" customFormat="1" ht="30" hidden="1">
      <c r="A203" s="668"/>
      <c r="B203" s="639" t="s">
        <v>3571</v>
      </c>
      <c r="C203" s="506" t="s">
        <v>2104</v>
      </c>
      <c r="D203" s="639" t="s">
        <v>3776</v>
      </c>
      <c r="E203" s="519" t="str">
        <f>IF('GPS Anthro Tool'!$B$5=1,"ECE R129","")</f>
        <v/>
      </c>
      <c r="F203" s="506" t="s">
        <v>4317</v>
      </c>
      <c r="G203" s="534" t="s">
        <v>3598</v>
      </c>
      <c r="H203" s="534"/>
      <c r="I203" s="534" t="s">
        <v>3902</v>
      </c>
      <c r="J203" s="513" t="s">
        <v>2957</v>
      </c>
      <c r="K203" s="525" t="s">
        <v>312</v>
      </c>
      <c r="L203" s="526" t="s">
        <v>315</v>
      </c>
      <c r="M203" s="527" t="s">
        <v>315</v>
      </c>
      <c r="N203" s="528" t="s">
        <v>315</v>
      </c>
      <c r="O203" s="663"/>
      <c r="P203" s="529"/>
      <c r="Q203" s="531"/>
      <c r="R203" s="530"/>
      <c r="S203" s="530" t="s">
        <v>315</v>
      </c>
      <c r="T203" s="667"/>
    </row>
    <row r="204" spans="1:20" s="508" customFormat="1" ht="30" hidden="1">
      <c r="A204" s="668"/>
      <c r="B204" s="639" t="s">
        <v>3572</v>
      </c>
      <c r="C204" s="506" t="s">
        <v>2104</v>
      </c>
      <c r="D204" s="639" t="s">
        <v>3777</v>
      </c>
      <c r="E204" s="519" t="str">
        <f>IF('GPS Anthro Tool'!$B$5=1,"ECE R129","")</f>
        <v/>
      </c>
      <c r="F204" s="506" t="s">
        <v>4317</v>
      </c>
      <c r="G204" s="534" t="s">
        <v>3599</v>
      </c>
      <c r="H204" s="534"/>
      <c r="I204" s="534" t="s">
        <v>3903</v>
      </c>
      <c r="J204" s="513" t="s">
        <v>2957</v>
      </c>
      <c r="K204" s="525" t="s">
        <v>312</v>
      </c>
      <c r="L204" s="526" t="s">
        <v>315</v>
      </c>
      <c r="M204" s="527" t="s">
        <v>315</v>
      </c>
      <c r="N204" s="528" t="s">
        <v>315</v>
      </c>
      <c r="O204" s="663"/>
      <c r="P204" s="529"/>
      <c r="Q204" s="531"/>
      <c r="R204" s="530"/>
      <c r="S204" s="530" t="s">
        <v>315</v>
      </c>
      <c r="T204" s="667"/>
    </row>
    <row r="205" spans="1:20" s="508" customFormat="1" ht="30" hidden="1">
      <c r="A205" s="668"/>
      <c r="B205" s="639" t="s">
        <v>3572</v>
      </c>
      <c r="C205" s="635" t="s">
        <v>4276</v>
      </c>
      <c r="D205" s="639" t="s">
        <v>3778</v>
      </c>
      <c r="E205" s="519" t="str">
        <f>IF('GPS Anthro Tool'!$B$5=1,"ECE R129","")</f>
        <v/>
      </c>
      <c r="F205" s="506" t="s">
        <v>4317</v>
      </c>
      <c r="G205" s="635" t="s">
        <v>3600</v>
      </c>
      <c r="H205" s="635" t="s">
        <v>3904</v>
      </c>
      <c r="I205" s="635" t="s">
        <v>3904</v>
      </c>
      <c r="J205" s="513" t="s">
        <v>2957</v>
      </c>
      <c r="K205" s="650" t="s">
        <v>312</v>
      </c>
      <c r="L205" s="526" t="s">
        <v>315</v>
      </c>
      <c r="M205" s="527" t="s">
        <v>315</v>
      </c>
      <c r="N205" s="528" t="s">
        <v>315</v>
      </c>
      <c r="O205" s="663"/>
      <c r="P205" s="529"/>
      <c r="Q205" s="531"/>
      <c r="R205" s="530"/>
      <c r="S205" s="530" t="s">
        <v>315</v>
      </c>
      <c r="T205" s="667"/>
    </row>
    <row r="206" spans="1:20" s="508" customFormat="1" ht="30" hidden="1">
      <c r="A206" s="668"/>
      <c r="B206" s="639" t="s">
        <v>3572</v>
      </c>
      <c r="C206" s="635" t="s">
        <v>4276</v>
      </c>
      <c r="D206" s="639" t="s">
        <v>3779</v>
      </c>
      <c r="E206" s="519" t="str">
        <f>IF('GPS Anthro Tool'!$B$5=1,"ECE R129","")</f>
        <v/>
      </c>
      <c r="F206" s="506" t="s">
        <v>4317</v>
      </c>
      <c r="G206" s="636" t="s">
        <v>3601</v>
      </c>
      <c r="H206" s="636" t="s">
        <v>3905</v>
      </c>
      <c r="I206" s="636" t="s">
        <v>3905</v>
      </c>
      <c r="J206" s="513" t="s">
        <v>2957</v>
      </c>
      <c r="K206" s="646" t="s">
        <v>312</v>
      </c>
      <c r="L206" s="526" t="s">
        <v>315</v>
      </c>
      <c r="M206" s="527" t="s">
        <v>315</v>
      </c>
      <c r="N206" s="528" t="s">
        <v>315</v>
      </c>
      <c r="O206" s="663"/>
      <c r="P206" s="529"/>
      <c r="Q206" s="531"/>
      <c r="R206" s="530"/>
      <c r="S206" s="530" t="s">
        <v>315</v>
      </c>
      <c r="T206" s="667"/>
    </row>
    <row r="207" spans="1:20" s="508" customFormat="1" ht="30" hidden="1">
      <c r="A207" s="668"/>
      <c r="B207" s="639" t="s">
        <v>3572</v>
      </c>
      <c r="C207" s="506" t="s">
        <v>2104</v>
      </c>
      <c r="D207" s="639" t="s">
        <v>3780</v>
      </c>
      <c r="E207" s="519" t="str">
        <f>IF('GPS Anthro Tool'!$B$5=1,"ECE R129","")</f>
        <v/>
      </c>
      <c r="F207" s="506" t="s">
        <v>4317</v>
      </c>
      <c r="G207" s="636" t="s">
        <v>3602</v>
      </c>
      <c r="H207" s="636" t="s">
        <v>3906</v>
      </c>
      <c r="I207" s="636" t="s">
        <v>3906</v>
      </c>
      <c r="J207" s="513" t="s">
        <v>2957</v>
      </c>
      <c r="K207" s="646" t="s">
        <v>312</v>
      </c>
      <c r="L207" s="526" t="s">
        <v>315</v>
      </c>
      <c r="M207" s="527" t="s">
        <v>315</v>
      </c>
      <c r="N207" s="528" t="s">
        <v>315</v>
      </c>
      <c r="O207" s="663"/>
      <c r="P207" s="529"/>
      <c r="Q207" s="531"/>
      <c r="R207" s="530"/>
      <c r="S207" s="530" t="s">
        <v>315</v>
      </c>
      <c r="T207" s="667"/>
    </row>
    <row r="208" spans="1:20" s="508" customFormat="1" ht="45" hidden="1">
      <c r="A208" s="668"/>
      <c r="B208" s="639" t="s">
        <v>3572</v>
      </c>
      <c r="C208" s="636" t="s">
        <v>4277</v>
      </c>
      <c r="D208" s="639" t="s">
        <v>3781</v>
      </c>
      <c r="E208" s="519" t="str">
        <f>IF('GPS Anthro Tool'!$B$5=1,"ECE R129","")</f>
        <v/>
      </c>
      <c r="F208" s="506" t="s">
        <v>4317</v>
      </c>
      <c r="G208" s="636" t="s">
        <v>3603</v>
      </c>
      <c r="H208" s="636"/>
      <c r="I208" s="636" t="s">
        <v>3907</v>
      </c>
      <c r="J208" s="513" t="s">
        <v>2957</v>
      </c>
      <c r="K208" s="646" t="s">
        <v>312</v>
      </c>
      <c r="L208" s="526" t="s">
        <v>315</v>
      </c>
      <c r="M208" s="527" t="s">
        <v>315</v>
      </c>
      <c r="N208" s="528" t="s">
        <v>315</v>
      </c>
      <c r="O208" s="663"/>
      <c r="P208" s="529"/>
      <c r="Q208" s="531"/>
      <c r="R208" s="530"/>
      <c r="S208" s="530" t="s">
        <v>315</v>
      </c>
      <c r="T208" s="667"/>
    </row>
    <row r="209" spans="1:20" s="508" customFormat="1" ht="30" hidden="1">
      <c r="A209" s="668"/>
      <c r="B209" s="639" t="s">
        <v>3572</v>
      </c>
      <c r="C209" s="636" t="s">
        <v>4277</v>
      </c>
      <c r="D209" s="639" t="s">
        <v>3782</v>
      </c>
      <c r="E209" s="519" t="str">
        <f>IF('GPS Anthro Tool'!$B$5=1,"ECE R129","")</f>
        <v/>
      </c>
      <c r="F209" s="506" t="s">
        <v>4317</v>
      </c>
      <c r="G209" s="636" t="s">
        <v>3604</v>
      </c>
      <c r="H209" s="636"/>
      <c r="I209" s="636"/>
      <c r="J209" s="513" t="s">
        <v>2957</v>
      </c>
      <c r="K209" s="646" t="s">
        <v>312</v>
      </c>
      <c r="L209" s="526" t="s">
        <v>315</v>
      </c>
      <c r="M209" s="527" t="s">
        <v>315</v>
      </c>
      <c r="N209" s="528" t="s">
        <v>315</v>
      </c>
      <c r="O209" s="663"/>
      <c r="P209" s="529"/>
      <c r="Q209" s="531"/>
      <c r="R209" s="530"/>
      <c r="S209" s="530" t="s">
        <v>315</v>
      </c>
      <c r="T209" s="667"/>
    </row>
    <row r="210" spans="1:20" s="508" customFormat="1" ht="45" hidden="1">
      <c r="A210" s="668"/>
      <c r="B210" s="639" t="s">
        <v>3573</v>
      </c>
      <c r="C210" s="636" t="s">
        <v>4278</v>
      </c>
      <c r="D210" s="639" t="s">
        <v>3783</v>
      </c>
      <c r="E210" s="519" t="str">
        <f>IF('GPS Anthro Tool'!$B$5=1,"ECE R129","")</f>
        <v/>
      </c>
      <c r="F210" s="506" t="s">
        <v>4317</v>
      </c>
      <c r="G210" s="636" t="s">
        <v>3605</v>
      </c>
      <c r="H210" s="636"/>
      <c r="I210" s="636" t="s">
        <v>3907</v>
      </c>
      <c r="J210" s="513" t="s">
        <v>2957</v>
      </c>
      <c r="K210" s="646" t="s">
        <v>312</v>
      </c>
      <c r="L210" s="526" t="s">
        <v>315</v>
      </c>
      <c r="M210" s="527" t="s">
        <v>315</v>
      </c>
      <c r="N210" s="528" t="s">
        <v>315</v>
      </c>
      <c r="O210" s="663"/>
      <c r="P210" s="529"/>
      <c r="Q210" s="531"/>
      <c r="R210" s="530"/>
      <c r="S210" s="530" t="s">
        <v>315</v>
      </c>
      <c r="T210" s="667"/>
    </row>
    <row r="211" spans="1:20" s="508" customFormat="1" ht="45" hidden="1">
      <c r="A211" s="668"/>
      <c r="B211" s="639" t="s">
        <v>3573</v>
      </c>
      <c r="C211" s="636" t="s">
        <v>4278</v>
      </c>
      <c r="D211" s="639" t="s">
        <v>3784</v>
      </c>
      <c r="E211" s="519" t="str">
        <f>IF('GPS Anthro Tool'!$B$5=1,"ECE R129","")</f>
        <v/>
      </c>
      <c r="F211" s="506" t="s">
        <v>4317</v>
      </c>
      <c r="G211" s="636" t="s">
        <v>3606</v>
      </c>
      <c r="H211" s="636"/>
      <c r="I211" s="636" t="s">
        <v>3907</v>
      </c>
      <c r="J211" s="513" t="s">
        <v>2957</v>
      </c>
      <c r="K211" s="646" t="s">
        <v>312</v>
      </c>
      <c r="L211" s="526" t="s">
        <v>315</v>
      </c>
      <c r="M211" s="527" t="s">
        <v>315</v>
      </c>
      <c r="N211" s="528" t="s">
        <v>315</v>
      </c>
      <c r="O211" s="663"/>
      <c r="P211" s="529"/>
      <c r="Q211" s="531"/>
      <c r="R211" s="530"/>
      <c r="S211" s="530" t="s">
        <v>315</v>
      </c>
      <c r="T211" s="667"/>
    </row>
    <row r="212" spans="1:20" s="508" customFormat="1" ht="30" hidden="1">
      <c r="A212" s="668"/>
      <c r="B212" s="639" t="s">
        <v>3574</v>
      </c>
      <c r="C212" s="506" t="s">
        <v>2104</v>
      </c>
      <c r="D212" s="639" t="s">
        <v>3785</v>
      </c>
      <c r="E212" s="519" t="str">
        <f>IF('GPS Anthro Tool'!$B$5=1,"ECE R129","")</f>
        <v/>
      </c>
      <c r="F212" s="506" t="s">
        <v>4317</v>
      </c>
      <c r="G212" s="636" t="s">
        <v>3607</v>
      </c>
      <c r="H212" s="636" t="s">
        <v>3908</v>
      </c>
      <c r="I212" s="636" t="s">
        <v>3908</v>
      </c>
      <c r="J212" s="513" t="s">
        <v>2957</v>
      </c>
      <c r="K212" s="646" t="s">
        <v>312</v>
      </c>
      <c r="L212" s="526" t="s">
        <v>315</v>
      </c>
      <c r="M212" s="527" t="s">
        <v>315</v>
      </c>
      <c r="N212" s="528" t="s">
        <v>315</v>
      </c>
      <c r="O212" s="663"/>
      <c r="P212" s="529"/>
      <c r="Q212" s="531"/>
      <c r="R212" s="530"/>
      <c r="S212" s="530" t="s">
        <v>315</v>
      </c>
      <c r="T212" s="667"/>
    </row>
    <row r="213" spans="1:20" s="508" customFormat="1" ht="30" hidden="1">
      <c r="A213" s="668"/>
      <c r="B213" s="639" t="s">
        <v>3574</v>
      </c>
      <c r="C213" s="506" t="s">
        <v>2104</v>
      </c>
      <c r="D213" s="639" t="s">
        <v>3786</v>
      </c>
      <c r="E213" s="519" t="str">
        <f>IF('GPS Anthro Tool'!$B$5=1,"ECE R129","")</f>
        <v/>
      </c>
      <c r="F213" s="506" t="s">
        <v>4317</v>
      </c>
      <c r="G213" s="636" t="s">
        <v>3608</v>
      </c>
      <c r="H213" s="636" t="s">
        <v>3909</v>
      </c>
      <c r="I213" s="636" t="s">
        <v>3909</v>
      </c>
      <c r="J213" s="513" t="s">
        <v>2957</v>
      </c>
      <c r="K213" s="646" t="s">
        <v>312</v>
      </c>
      <c r="L213" s="526" t="s">
        <v>315</v>
      </c>
      <c r="M213" s="527" t="s">
        <v>315</v>
      </c>
      <c r="N213" s="528" t="s">
        <v>315</v>
      </c>
      <c r="O213" s="663"/>
      <c r="P213" s="529"/>
      <c r="Q213" s="531"/>
      <c r="R213" s="530"/>
      <c r="S213" s="530" t="s">
        <v>315</v>
      </c>
      <c r="T213" s="667"/>
    </row>
    <row r="214" spans="1:20" s="508" customFormat="1" ht="30" hidden="1">
      <c r="A214" s="668"/>
      <c r="B214" s="639" t="s">
        <v>3574</v>
      </c>
      <c r="C214" s="506" t="s">
        <v>2104</v>
      </c>
      <c r="D214" s="639" t="s">
        <v>3787</v>
      </c>
      <c r="E214" s="519" t="str">
        <f>IF('GPS Anthro Tool'!$B$5=1,"ECE R129","")</f>
        <v/>
      </c>
      <c r="F214" s="506" t="s">
        <v>4317</v>
      </c>
      <c r="G214" s="636" t="s">
        <v>3609</v>
      </c>
      <c r="H214" s="636" t="s">
        <v>3909</v>
      </c>
      <c r="I214" s="636" t="s">
        <v>3909</v>
      </c>
      <c r="J214" s="513" t="s">
        <v>2957</v>
      </c>
      <c r="K214" s="646" t="s">
        <v>312</v>
      </c>
      <c r="L214" s="526" t="s">
        <v>315</v>
      </c>
      <c r="M214" s="527" t="s">
        <v>315</v>
      </c>
      <c r="N214" s="528" t="s">
        <v>315</v>
      </c>
      <c r="O214" s="663"/>
      <c r="P214" s="529"/>
      <c r="Q214" s="531"/>
      <c r="R214" s="530"/>
      <c r="S214" s="530" t="s">
        <v>315</v>
      </c>
      <c r="T214" s="667"/>
    </row>
    <row r="215" spans="1:20" s="508" customFormat="1" ht="45" hidden="1">
      <c r="A215" s="668"/>
      <c r="B215" s="639" t="s">
        <v>3574</v>
      </c>
      <c r="C215" s="506" t="s">
        <v>2104</v>
      </c>
      <c r="D215" s="639" t="s">
        <v>3788</v>
      </c>
      <c r="E215" s="519" t="str">
        <f>IF('GPS Anthro Tool'!$B$5=1,"ECE R129","")</f>
        <v/>
      </c>
      <c r="F215" s="506" t="s">
        <v>4317</v>
      </c>
      <c r="G215" s="636" t="s">
        <v>3610</v>
      </c>
      <c r="H215" s="636"/>
      <c r="I215" s="636" t="s">
        <v>3910</v>
      </c>
      <c r="J215" s="513" t="s">
        <v>2957</v>
      </c>
      <c r="K215" s="646" t="s">
        <v>312</v>
      </c>
      <c r="L215" s="526" t="s">
        <v>315</v>
      </c>
      <c r="M215" s="527" t="s">
        <v>315</v>
      </c>
      <c r="N215" s="528" t="s">
        <v>315</v>
      </c>
      <c r="O215" s="663"/>
      <c r="P215" s="529"/>
      <c r="Q215" s="531"/>
      <c r="R215" s="530"/>
      <c r="S215" s="530" t="s">
        <v>315</v>
      </c>
      <c r="T215" s="667"/>
    </row>
    <row r="216" spans="1:20" s="508" customFormat="1" ht="45" hidden="1">
      <c r="A216" s="668"/>
      <c r="B216" s="639" t="s">
        <v>3574</v>
      </c>
      <c r="C216" s="506" t="s">
        <v>2104</v>
      </c>
      <c r="D216" s="639" t="s">
        <v>3789</v>
      </c>
      <c r="E216" s="519" t="str">
        <f>IF('GPS Anthro Tool'!$B$5=1,"ECE R129","")</f>
        <v/>
      </c>
      <c r="F216" s="506" t="s">
        <v>4317</v>
      </c>
      <c r="G216" s="636" t="s">
        <v>3611</v>
      </c>
      <c r="H216" s="636"/>
      <c r="I216" s="636" t="s">
        <v>3910</v>
      </c>
      <c r="J216" s="513" t="s">
        <v>2957</v>
      </c>
      <c r="K216" s="646" t="s">
        <v>312</v>
      </c>
      <c r="L216" s="526" t="s">
        <v>315</v>
      </c>
      <c r="M216" s="527" t="s">
        <v>315</v>
      </c>
      <c r="N216" s="528" t="s">
        <v>315</v>
      </c>
      <c r="O216" s="663"/>
      <c r="P216" s="529"/>
      <c r="Q216" s="531"/>
      <c r="R216" s="530"/>
      <c r="S216" s="530" t="s">
        <v>315</v>
      </c>
      <c r="T216" s="667"/>
    </row>
    <row r="217" spans="1:20" s="508" customFormat="1" ht="45" hidden="1">
      <c r="A217" s="668"/>
      <c r="B217" s="639" t="s">
        <v>3574</v>
      </c>
      <c r="C217" s="636" t="s">
        <v>4277</v>
      </c>
      <c r="D217" s="639" t="s">
        <v>3790</v>
      </c>
      <c r="E217" s="519" t="str">
        <f>IF('GPS Anthro Tool'!$B$5=1,"ECE R129","")</f>
        <v/>
      </c>
      <c r="F217" s="506" t="s">
        <v>4317</v>
      </c>
      <c r="G217" s="636" t="s">
        <v>3612</v>
      </c>
      <c r="H217" s="639"/>
      <c r="I217" s="639" t="s">
        <v>3907</v>
      </c>
      <c r="J217" s="513" t="s">
        <v>2957</v>
      </c>
      <c r="K217" s="646" t="s">
        <v>312</v>
      </c>
      <c r="L217" s="526" t="s">
        <v>315</v>
      </c>
      <c r="M217" s="527" t="s">
        <v>315</v>
      </c>
      <c r="N217" s="528" t="s">
        <v>315</v>
      </c>
      <c r="O217" s="663"/>
      <c r="P217" s="529"/>
      <c r="Q217" s="531"/>
      <c r="R217" s="530"/>
      <c r="S217" s="530" t="s">
        <v>315</v>
      </c>
      <c r="T217" s="667"/>
    </row>
    <row r="218" spans="1:20" s="508" customFormat="1" ht="15.75" hidden="1">
      <c r="A218" s="668"/>
      <c r="B218" s="639" t="s">
        <v>2963</v>
      </c>
      <c r="C218" s="506" t="s">
        <v>2104</v>
      </c>
      <c r="D218" s="639" t="s">
        <v>3791</v>
      </c>
      <c r="E218" s="519" t="str">
        <f>IF('GPS Anthro Tool'!$B$5=1,"ECE R129","")</f>
        <v/>
      </c>
      <c r="F218" s="506" t="s">
        <v>4317</v>
      </c>
      <c r="G218" s="636" t="s">
        <v>3613</v>
      </c>
      <c r="H218" s="639" t="s">
        <v>3911</v>
      </c>
      <c r="I218" s="639" t="s">
        <v>3911</v>
      </c>
      <c r="J218" s="513" t="s">
        <v>2957</v>
      </c>
      <c r="K218" s="646" t="s">
        <v>312</v>
      </c>
      <c r="L218" s="526" t="s">
        <v>315</v>
      </c>
      <c r="M218" s="527" t="s">
        <v>315</v>
      </c>
      <c r="N218" s="528" t="s">
        <v>315</v>
      </c>
      <c r="O218" s="663"/>
      <c r="P218" s="529"/>
      <c r="Q218" s="531"/>
      <c r="R218" s="530"/>
      <c r="S218" s="530" t="s">
        <v>315</v>
      </c>
      <c r="T218" s="667"/>
    </row>
    <row r="219" spans="1:20" s="508" customFormat="1" ht="60" hidden="1">
      <c r="A219" s="668"/>
      <c r="B219" s="639" t="s">
        <v>2963</v>
      </c>
      <c r="C219" s="506" t="s">
        <v>2104</v>
      </c>
      <c r="D219" s="639" t="s">
        <v>3800</v>
      </c>
      <c r="E219" s="519" t="str">
        <f>IF('GPS Anthro Tool'!$B$5=1,"ECE R129","")</f>
        <v/>
      </c>
      <c r="F219" s="506" t="s">
        <v>4317</v>
      </c>
      <c r="G219" s="637" t="s">
        <v>3622</v>
      </c>
      <c r="H219" s="637"/>
      <c r="I219" s="637" t="s">
        <v>3915</v>
      </c>
      <c r="J219" s="513" t="s">
        <v>2957</v>
      </c>
      <c r="K219" s="648" t="s">
        <v>3771</v>
      </c>
      <c r="L219" s="526" t="s">
        <v>315</v>
      </c>
      <c r="M219" s="527" t="s">
        <v>315</v>
      </c>
      <c r="N219" s="528" t="s">
        <v>315</v>
      </c>
      <c r="O219" s="663"/>
      <c r="P219" s="529"/>
      <c r="Q219" s="531"/>
      <c r="R219" s="530"/>
      <c r="S219" s="530" t="s">
        <v>315</v>
      </c>
      <c r="T219" s="667"/>
    </row>
    <row r="220" spans="1:20" s="508" customFormat="1" ht="30" hidden="1">
      <c r="A220" s="668"/>
      <c r="B220" s="639" t="s">
        <v>2963</v>
      </c>
      <c r="C220" s="506" t="s">
        <v>2104</v>
      </c>
      <c r="D220" s="639" t="s">
        <v>3792</v>
      </c>
      <c r="E220" s="519" t="str">
        <f>IF('GPS Anthro Tool'!$B$5=1,"ECE R129","")</f>
        <v/>
      </c>
      <c r="F220" s="506" t="s">
        <v>4317</v>
      </c>
      <c r="G220" s="636" t="s">
        <v>3614</v>
      </c>
      <c r="H220" s="636" t="s">
        <v>3911</v>
      </c>
      <c r="I220" s="636" t="s">
        <v>3911</v>
      </c>
      <c r="J220" s="513" t="s">
        <v>2957</v>
      </c>
      <c r="K220" s="646" t="s">
        <v>312</v>
      </c>
      <c r="L220" s="526" t="s">
        <v>315</v>
      </c>
      <c r="M220" s="527" t="s">
        <v>315</v>
      </c>
      <c r="N220" s="528" t="s">
        <v>315</v>
      </c>
      <c r="O220" s="663"/>
      <c r="P220" s="529"/>
      <c r="Q220" s="531"/>
      <c r="R220" s="530"/>
      <c r="S220" s="530" t="s">
        <v>315</v>
      </c>
      <c r="T220" s="667"/>
    </row>
    <row r="221" spans="1:20" s="508" customFormat="1" ht="30" hidden="1">
      <c r="A221" s="668"/>
      <c r="B221" s="639" t="s">
        <v>2963</v>
      </c>
      <c r="C221" s="506" t="s">
        <v>2104</v>
      </c>
      <c r="D221" s="639" t="s">
        <v>3793</v>
      </c>
      <c r="E221" s="519" t="str">
        <f>IF('GPS Anthro Tool'!$B$5=1,"ECE R129","")</f>
        <v/>
      </c>
      <c r="F221" s="506" t="s">
        <v>4317</v>
      </c>
      <c r="G221" s="636" t="s">
        <v>3615</v>
      </c>
      <c r="H221" s="636" t="s">
        <v>3911</v>
      </c>
      <c r="I221" s="636" t="s">
        <v>3911</v>
      </c>
      <c r="J221" s="513" t="s">
        <v>2957</v>
      </c>
      <c r="K221" s="646" t="s">
        <v>312</v>
      </c>
      <c r="L221" s="526" t="s">
        <v>315</v>
      </c>
      <c r="M221" s="527" t="s">
        <v>315</v>
      </c>
      <c r="N221" s="528" t="s">
        <v>315</v>
      </c>
      <c r="O221" s="663"/>
      <c r="P221" s="529"/>
      <c r="Q221" s="531"/>
      <c r="R221" s="530"/>
      <c r="S221" s="530" t="s">
        <v>315</v>
      </c>
      <c r="T221" s="566"/>
    </row>
    <row r="222" spans="1:20" s="508" customFormat="1" ht="30" hidden="1">
      <c r="A222" s="668"/>
      <c r="B222" s="639" t="s">
        <v>2963</v>
      </c>
      <c r="C222" s="506" t="s">
        <v>2104</v>
      </c>
      <c r="D222" s="639" t="s">
        <v>3794</v>
      </c>
      <c r="E222" s="519" t="str">
        <f>IF('GPS Anthro Tool'!$B$5=1,"ECE R129","")</f>
        <v/>
      </c>
      <c r="F222" s="506" t="s">
        <v>4317</v>
      </c>
      <c r="G222" s="636" t="s">
        <v>3616</v>
      </c>
      <c r="H222" s="636"/>
      <c r="I222" s="636"/>
      <c r="J222" s="513" t="s">
        <v>2957</v>
      </c>
      <c r="K222" s="646" t="s">
        <v>312</v>
      </c>
      <c r="L222" s="526" t="s">
        <v>315</v>
      </c>
      <c r="M222" s="527" t="s">
        <v>315</v>
      </c>
      <c r="N222" s="528" t="s">
        <v>315</v>
      </c>
      <c r="O222" s="663"/>
      <c r="P222" s="529"/>
      <c r="Q222" s="531"/>
      <c r="R222" s="530"/>
      <c r="S222" s="530" t="s">
        <v>315</v>
      </c>
      <c r="T222" s="566"/>
    </row>
    <row r="223" spans="1:20" s="508" customFormat="1" ht="45" hidden="1">
      <c r="A223" s="668"/>
      <c r="B223" s="639" t="s">
        <v>2963</v>
      </c>
      <c r="C223" s="506" t="s">
        <v>2104</v>
      </c>
      <c r="D223" s="639" t="s">
        <v>3795</v>
      </c>
      <c r="E223" s="519" t="str">
        <f>IF('GPS Anthro Tool'!$B$5=1,"ECE R129","")</f>
        <v/>
      </c>
      <c r="F223" s="506" t="s">
        <v>4317</v>
      </c>
      <c r="G223" s="636" t="s">
        <v>3617</v>
      </c>
      <c r="H223" s="636"/>
      <c r="I223" s="636" t="s">
        <v>3907</v>
      </c>
      <c r="J223" s="513" t="s">
        <v>2957</v>
      </c>
      <c r="K223" s="646" t="s">
        <v>312</v>
      </c>
      <c r="L223" s="526" t="s">
        <v>315</v>
      </c>
      <c r="M223" s="527" t="s">
        <v>315</v>
      </c>
      <c r="N223" s="528" t="s">
        <v>315</v>
      </c>
      <c r="O223" s="663"/>
      <c r="P223" s="529"/>
      <c r="Q223" s="531"/>
      <c r="R223" s="530"/>
      <c r="S223" s="530" t="s">
        <v>315</v>
      </c>
      <c r="T223" s="566"/>
    </row>
    <row r="224" spans="1:20" s="508" customFormat="1" ht="45" hidden="1">
      <c r="A224" s="668"/>
      <c r="B224" s="639" t="s">
        <v>2963</v>
      </c>
      <c r="C224" s="506" t="s">
        <v>2104</v>
      </c>
      <c r="D224" s="639" t="s">
        <v>3796</v>
      </c>
      <c r="E224" s="519" t="str">
        <f>IF('GPS Anthro Tool'!$B$5=1,"ECE R129","")</f>
        <v/>
      </c>
      <c r="F224" s="506" t="s">
        <v>4317</v>
      </c>
      <c r="G224" s="637" t="s">
        <v>3618</v>
      </c>
      <c r="H224" s="637"/>
      <c r="I224" s="637" t="s">
        <v>3907</v>
      </c>
      <c r="J224" s="513" t="s">
        <v>2957</v>
      </c>
      <c r="K224" s="648" t="s">
        <v>312</v>
      </c>
      <c r="L224" s="526" t="s">
        <v>315</v>
      </c>
      <c r="M224" s="527" t="s">
        <v>315</v>
      </c>
      <c r="N224" s="528" t="s">
        <v>315</v>
      </c>
      <c r="O224" s="663"/>
      <c r="P224" s="529"/>
      <c r="Q224" s="531"/>
      <c r="R224" s="530"/>
      <c r="S224" s="530" t="s">
        <v>315</v>
      </c>
      <c r="T224" s="566"/>
    </row>
    <row r="225" spans="1:20" s="508" customFormat="1" ht="45" hidden="1">
      <c r="A225" s="668"/>
      <c r="B225" s="639" t="s">
        <v>2963</v>
      </c>
      <c r="C225" s="506" t="s">
        <v>2104</v>
      </c>
      <c r="D225" s="639" t="s">
        <v>3797</v>
      </c>
      <c r="E225" s="519" t="str">
        <f>IF('GPS Anthro Tool'!$B$5=1,"ECE R129","")</f>
        <v/>
      </c>
      <c r="F225" s="506" t="s">
        <v>4317</v>
      </c>
      <c r="G225" s="637" t="s">
        <v>3619</v>
      </c>
      <c r="H225" s="637"/>
      <c r="I225" s="637" t="s">
        <v>3912</v>
      </c>
      <c r="J225" s="513" t="s">
        <v>2957</v>
      </c>
      <c r="K225" s="648" t="s">
        <v>312</v>
      </c>
      <c r="L225" s="526" t="s">
        <v>315</v>
      </c>
      <c r="M225" s="527" t="s">
        <v>315</v>
      </c>
      <c r="N225" s="528" t="s">
        <v>315</v>
      </c>
      <c r="O225" s="663"/>
      <c r="P225" s="529"/>
      <c r="Q225" s="531"/>
      <c r="R225" s="530"/>
      <c r="S225" s="530" t="s">
        <v>315</v>
      </c>
      <c r="T225" s="566"/>
    </row>
    <row r="226" spans="1:20" s="508" customFormat="1" ht="15.75" hidden="1">
      <c r="A226" s="668"/>
      <c r="B226" s="639" t="s">
        <v>2963</v>
      </c>
      <c r="C226" s="506" t="s">
        <v>2104</v>
      </c>
      <c r="D226" s="639" t="s">
        <v>3798</v>
      </c>
      <c r="E226" s="519" t="str">
        <f>IF('GPS Anthro Tool'!$B$5=1,"ECE R129","")</f>
        <v/>
      </c>
      <c r="F226" s="506" t="s">
        <v>4317</v>
      </c>
      <c r="G226" s="637" t="s">
        <v>3620</v>
      </c>
      <c r="H226" s="637" t="s">
        <v>3913</v>
      </c>
      <c r="I226" s="637" t="s">
        <v>3913</v>
      </c>
      <c r="J226" s="513" t="s">
        <v>2957</v>
      </c>
      <c r="K226" s="648" t="s">
        <v>312</v>
      </c>
      <c r="L226" s="526" t="s">
        <v>315</v>
      </c>
      <c r="M226" s="527" t="s">
        <v>315</v>
      </c>
      <c r="N226" s="528" t="s">
        <v>315</v>
      </c>
      <c r="O226" s="663"/>
      <c r="P226" s="529"/>
      <c r="Q226" s="531"/>
      <c r="R226" s="530"/>
      <c r="S226" s="530" t="s">
        <v>315</v>
      </c>
      <c r="T226" s="566"/>
    </row>
    <row r="227" spans="1:20" s="508" customFormat="1" ht="30" hidden="1">
      <c r="A227" s="668"/>
      <c r="B227" s="639" t="s">
        <v>2963</v>
      </c>
      <c r="C227" s="506" t="s">
        <v>2104</v>
      </c>
      <c r="D227" s="639" t="s">
        <v>3799</v>
      </c>
      <c r="E227" s="519" t="str">
        <f>IF('GPS Anthro Tool'!$B$5=1,"ECE R129","")</f>
        <v/>
      </c>
      <c r="F227" s="506" t="s">
        <v>4317</v>
      </c>
      <c r="G227" s="637" t="s">
        <v>3621</v>
      </c>
      <c r="H227" s="637"/>
      <c r="I227" s="637" t="s">
        <v>3914</v>
      </c>
      <c r="J227" s="513" t="s">
        <v>2957</v>
      </c>
      <c r="K227" s="648" t="s">
        <v>312</v>
      </c>
      <c r="L227" s="526" t="s">
        <v>315</v>
      </c>
      <c r="M227" s="527" t="s">
        <v>315</v>
      </c>
      <c r="N227" s="528" t="s">
        <v>315</v>
      </c>
      <c r="O227" s="663"/>
      <c r="P227" s="529"/>
      <c r="Q227" s="531"/>
      <c r="R227" s="530"/>
      <c r="S227" s="530" t="s">
        <v>315</v>
      </c>
      <c r="T227" s="566"/>
    </row>
    <row r="228" spans="1:20" s="508" customFormat="1" ht="45" hidden="1">
      <c r="A228" s="668"/>
      <c r="B228" s="639" t="s">
        <v>3576</v>
      </c>
      <c r="C228" s="506" t="s">
        <v>2104</v>
      </c>
      <c r="D228" s="639" t="s">
        <v>3802</v>
      </c>
      <c r="E228" s="519" t="str">
        <f>IF('GPS Anthro Tool'!$B$5=1,"ECE R129","")</f>
        <v/>
      </c>
      <c r="F228" s="506" t="s">
        <v>4317</v>
      </c>
      <c r="G228" s="534" t="s">
        <v>3630</v>
      </c>
      <c r="H228" s="534" t="s">
        <v>3916</v>
      </c>
      <c r="I228" s="534" t="s">
        <v>3916</v>
      </c>
      <c r="J228" s="513" t="s">
        <v>2957</v>
      </c>
      <c r="K228" s="525" t="s">
        <v>605</v>
      </c>
      <c r="L228" s="526" t="s">
        <v>315</v>
      </c>
      <c r="M228" s="527" t="s">
        <v>315</v>
      </c>
      <c r="N228" s="528" t="s">
        <v>315</v>
      </c>
      <c r="O228" s="663"/>
      <c r="P228" s="529"/>
      <c r="Q228" s="531"/>
      <c r="R228" s="530"/>
      <c r="S228" s="530" t="s">
        <v>315</v>
      </c>
      <c r="T228" s="566"/>
    </row>
    <row r="229" spans="1:20" s="508" customFormat="1" ht="45" hidden="1">
      <c r="A229" s="668"/>
      <c r="B229" s="639" t="s">
        <v>3576</v>
      </c>
      <c r="C229" s="639" t="s">
        <v>4279</v>
      </c>
      <c r="D229" s="639" t="s">
        <v>3811</v>
      </c>
      <c r="E229" s="519" t="str">
        <f>IF('GPS Anthro Tool'!$B$5=1,"ECE R129","")</f>
        <v/>
      </c>
      <c r="F229" s="506" t="s">
        <v>4317</v>
      </c>
      <c r="G229" s="639" t="s">
        <v>3639</v>
      </c>
      <c r="H229" s="639"/>
      <c r="I229" s="639"/>
      <c r="J229" s="513" t="s">
        <v>2957</v>
      </c>
      <c r="K229" s="643" t="s">
        <v>312</v>
      </c>
      <c r="L229" s="526" t="s">
        <v>315</v>
      </c>
      <c r="M229" s="527" t="s">
        <v>315</v>
      </c>
      <c r="N229" s="528" t="s">
        <v>315</v>
      </c>
      <c r="O229" s="663"/>
      <c r="P229" s="529"/>
      <c r="Q229" s="531"/>
      <c r="R229" s="530"/>
      <c r="S229" s="530" t="s">
        <v>315</v>
      </c>
      <c r="T229" s="566"/>
    </row>
    <row r="230" spans="1:20" s="508" customFormat="1" ht="45" hidden="1">
      <c r="A230" s="668"/>
      <c r="B230" s="639" t="s">
        <v>3576</v>
      </c>
      <c r="C230" s="639" t="s">
        <v>4279</v>
      </c>
      <c r="D230" s="639" t="s">
        <v>3812</v>
      </c>
      <c r="E230" s="519" t="str">
        <f>IF('GPS Anthro Tool'!$B$5=1,"ECE R129","")</f>
        <v/>
      </c>
      <c r="F230" s="506" t="s">
        <v>4317</v>
      </c>
      <c r="G230" s="639" t="s">
        <v>3640</v>
      </c>
      <c r="H230" s="639"/>
      <c r="I230" s="639"/>
      <c r="J230" s="513" t="s">
        <v>2957</v>
      </c>
      <c r="K230" s="643" t="s">
        <v>312</v>
      </c>
      <c r="L230" s="526" t="s">
        <v>315</v>
      </c>
      <c r="M230" s="527" t="s">
        <v>315</v>
      </c>
      <c r="N230" s="528" t="s">
        <v>315</v>
      </c>
      <c r="O230" s="663"/>
      <c r="P230" s="529"/>
      <c r="Q230" s="531"/>
      <c r="R230" s="530"/>
      <c r="S230" s="530" t="s">
        <v>315</v>
      </c>
      <c r="T230" s="566"/>
    </row>
    <row r="231" spans="1:20" s="508" customFormat="1" ht="45" hidden="1">
      <c r="A231" s="668"/>
      <c r="B231" s="639" t="s">
        <v>3576</v>
      </c>
      <c r="C231" s="639" t="s">
        <v>4280</v>
      </c>
      <c r="D231" s="639" t="s">
        <v>3813</v>
      </c>
      <c r="E231" s="519" t="str">
        <f>IF('GPS Anthro Tool'!$B$5=1,"ECE R129","")</f>
        <v/>
      </c>
      <c r="F231" s="506" t="s">
        <v>4317</v>
      </c>
      <c r="G231" s="639" t="s">
        <v>3641</v>
      </c>
      <c r="H231" s="639"/>
      <c r="I231" s="639" t="s">
        <v>3917</v>
      </c>
      <c r="J231" s="513" t="s">
        <v>2957</v>
      </c>
      <c r="K231" s="643" t="s">
        <v>312</v>
      </c>
      <c r="L231" s="526" t="s">
        <v>315</v>
      </c>
      <c r="M231" s="527" t="s">
        <v>315</v>
      </c>
      <c r="N231" s="528" t="s">
        <v>315</v>
      </c>
      <c r="O231" s="663"/>
      <c r="P231" s="529"/>
      <c r="Q231" s="531"/>
      <c r="R231" s="530"/>
      <c r="S231" s="530" t="s">
        <v>315</v>
      </c>
      <c r="T231" s="566"/>
    </row>
    <row r="232" spans="1:20" s="508" customFormat="1" ht="45" hidden="1">
      <c r="A232" s="668"/>
      <c r="B232" s="639" t="s">
        <v>3576</v>
      </c>
      <c r="C232" s="639" t="s">
        <v>4280</v>
      </c>
      <c r="D232" s="639" t="s">
        <v>3814</v>
      </c>
      <c r="E232" s="519" t="str">
        <f>IF('GPS Anthro Tool'!$B$5=1,"ECE R129","")</f>
        <v/>
      </c>
      <c r="F232" s="506" t="s">
        <v>4317</v>
      </c>
      <c r="G232" s="639" t="s">
        <v>3642</v>
      </c>
      <c r="H232" s="639" t="s">
        <v>3923</v>
      </c>
      <c r="I232" s="639" t="s">
        <v>3923</v>
      </c>
      <c r="J232" s="513" t="s">
        <v>2957</v>
      </c>
      <c r="K232" s="643" t="s">
        <v>605</v>
      </c>
      <c r="L232" s="526" t="s">
        <v>315</v>
      </c>
      <c r="M232" s="527" t="s">
        <v>315</v>
      </c>
      <c r="N232" s="528" t="s">
        <v>315</v>
      </c>
      <c r="O232" s="663"/>
      <c r="P232" s="529"/>
      <c r="Q232" s="531"/>
      <c r="R232" s="530"/>
      <c r="S232" s="530" t="s">
        <v>315</v>
      </c>
      <c r="T232" s="566"/>
    </row>
    <row r="233" spans="1:20" s="508" customFormat="1" ht="30" hidden="1">
      <c r="A233" s="668"/>
      <c r="B233" s="639" t="s">
        <v>426</v>
      </c>
      <c r="C233" s="639" t="s">
        <v>4280</v>
      </c>
      <c r="D233" s="639" t="s">
        <v>3820</v>
      </c>
      <c r="E233" s="519" t="str">
        <f>IF('GPS Anthro Tool'!$B$5=1,"ECE R129","")</f>
        <v/>
      </c>
      <c r="F233" s="506" t="s">
        <v>4317</v>
      </c>
      <c r="G233" s="534" t="s">
        <v>3652</v>
      </c>
      <c r="H233" s="534" t="s">
        <v>3925</v>
      </c>
      <c r="I233" s="639" t="s">
        <v>3925</v>
      </c>
      <c r="J233" s="513" t="s">
        <v>2957</v>
      </c>
      <c r="K233" s="525" t="s">
        <v>605</v>
      </c>
      <c r="L233" s="526" t="s">
        <v>315</v>
      </c>
      <c r="M233" s="527" t="s">
        <v>315</v>
      </c>
      <c r="N233" s="528" t="s">
        <v>315</v>
      </c>
      <c r="O233" s="663"/>
      <c r="P233" s="529"/>
      <c r="Q233" s="531"/>
      <c r="R233" s="530"/>
      <c r="S233" s="530" t="s">
        <v>315</v>
      </c>
      <c r="T233" s="566"/>
    </row>
    <row r="234" spans="1:20" s="508" customFormat="1" ht="45" hidden="1">
      <c r="A234" s="668"/>
      <c r="B234" s="639" t="s">
        <v>3576</v>
      </c>
      <c r="C234" s="639" t="s">
        <v>4280</v>
      </c>
      <c r="D234" s="639" t="s">
        <v>3803</v>
      </c>
      <c r="E234" s="519" t="str">
        <f>IF('GPS Anthro Tool'!$B$5=1,"ECE R129","")</f>
        <v/>
      </c>
      <c r="F234" s="506" t="s">
        <v>4317</v>
      </c>
      <c r="G234" s="534" t="s">
        <v>3631</v>
      </c>
      <c r="H234" s="534"/>
      <c r="I234" s="534" t="s">
        <v>3917</v>
      </c>
      <c r="J234" s="513" t="s">
        <v>2957</v>
      </c>
      <c r="K234" s="525" t="s">
        <v>312</v>
      </c>
      <c r="L234" s="526" t="s">
        <v>315</v>
      </c>
      <c r="M234" s="527" t="s">
        <v>315</v>
      </c>
      <c r="N234" s="528" t="s">
        <v>315</v>
      </c>
      <c r="O234" s="663"/>
      <c r="P234" s="529"/>
      <c r="Q234" s="531"/>
      <c r="R234" s="530"/>
      <c r="S234" s="530" t="s">
        <v>315</v>
      </c>
      <c r="T234" s="566"/>
    </row>
    <row r="235" spans="1:20" s="508" customFormat="1" ht="45" hidden="1">
      <c r="A235" s="668"/>
      <c r="B235" s="639" t="s">
        <v>3576</v>
      </c>
      <c r="C235" s="639" t="s">
        <v>4280</v>
      </c>
      <c r="D235" s="639" t="s">
        <v>3817</v>
      </c>
      <c r="E235" s="519" t="str">
        <f>IF('GPS Anthro Tool'!$B$5=1,"ECE R129","")</f>
        <v/>
      </c>
      <c r="F235" s="506" t="s">
        <v>4317</v>
      </c>
      <c r="G235" s="639" t="s">
        <v>3649</v>
      </c>
      <c r="H235" s="639"/>
      <c r="I235" s="639"/>
      <c r="J235" s="513" t="s">
        <v>2957</v>
      </c>
      <c r="K235" s="643" t="s">
        <v>312</v>
      </c>
      <c r="L235" s="526" t="s">
        <v>315</v>
      </c>
      <c r="M235" s="527" t="s">
        <v>315</v>
      </c>
      <c r="N235" s="528" t="s">
        <v>315</v>
      </c>
      <c r="O235" s="663"/>
      <c r="P235" s="529"/>
      <c r="Q235" s="531"/>
      <c r="R235" s="530"/>
      <c r="S235" s="530" t="s">
        <v>315</v>
      </c>
      <c r="T235" s="566"/>
    </row>
    <row r="236" spans="1:20" s="508" customFormat="1" ht="45" hidden="1">
      <c r="A236" s="668"/>
      <c r="B236" s="639" t="s">
        <v>3576</v>
      </c>
      <c r="C236" s="639" t="s">
        <v>4280</v>
      </c>
      <c r="D236" s="639" t="s">
        <v>3818</v>
      </c>
      <c r="E236" s="519" t="str">
        <f>IF('GPS Anthro Tool'!$B$5=1,"ECE R129","")</f>
        <v/>
      </c>
      <c r="F236" s="506" t="s">
        <v>4317</v>
      </c>
      <c r="G236" s="534" t="s">
        <v>3650</v>
      </c>
      <c r="H236" s="534"/>
      <c r="I236" s="639"/>
      <c r="J236" s="513" t="s">
        <v>2957</v>
      </c>
      <c r="K236" s="525" t="s">
        <v>312</v>
      </c>
      <c r="L236" s="526" t="s">
        <v>315</v>
      </c>
      <c r="M236" s="527" t="s">
        <v>315</v>
      </c>
      <c r="N236" s="528" t="s">
        <v>315</v>
      </c>
      <c r="O236" s="663"/>
      <c r="P236" s="529"/>
      <c r="Q236" s="531"/>
      <c r="R236" s="530"/>
      <c r="S236" s="530" t="s">
        <v>315</v>
      </c>
      <c r="T236" s="566"/>
    </row>
    <row r="237" spans="1:20" s="508" customFormat="1" ht="45" hidden="1">
      <c r="A237" s="668"/>
      <c r="B237" s="639" t="s">
        <v>3576</v>
      </c>
      <c r="C237" s="534" t="s">
        <v>4277</v>
      </c>
      <c r="D237" s="639" t="s">
        <v>3804</v>
      </c>
      <c r="E237" s="519" t="str">
        <f>IF('GPS Anthro Tool'!$B$5=1,"ECE R129","")</f>
        <v/>
      </c>
      <c r="F237" s="506" t="s">
        <v>4317</v>
      </c>
      <c r="G237" s="534" t="s">
        <v>3632</v>
      </c>
      <c r="H237" s="534"/>
      <c r="I237" s="534" t="s">
        <v>3917</v>
      </c>
      <c r="J237" s="513" t="s">
        <v>2957</v>
      </c>
      <c r="K237" s="525" t="s">
        <v>605</v>
      </c>
      <c r="L237" s="526" t="s">
        <v>315</v>
      </c>
      <c r="M237" s="527" t="s">
        <v>315</v>
      </c>
      <c r="N237" s="528" t="s">
        <v>315</v>
      </c>
      <c r="O237" s="663"/>
      <c r="P237" s="529"/>
      <c r="Q237" s="531"/>
      <c r="R237" s="530"/>
      <c r="S237" s="530" t="s">
        <v>315</v>
      </c>
      <c r="T237" s="566"/>
    </row>
    <row r="238" spans="1:20" s="508" customFormat="1" ht="45" hidden="1">
      <c r="A238" s="668"/>
      <c r="B238" s="639" t="s">
        <v>3576</v>
      </c>
      <c r="C238" s="534" t="s">
        <v>4277</v>
      </c>
      <c r="D238" s="639" t="s">
        <v>3819</v>
      </c>
      <c r="E238" s="519" t="str">
        <f>IF('GPS Anthro Tool'!$B$5=1,"ECE R129","")</f>
        <v/>
      </c>
      <c r="F238" s="506" t="s">
        <v>4317</v>
      </c>
      <c r="G238" s="534" t="s">
        <v>3651</v>
      </c>
      <c r="H238" s="534"/>
      <c r="I238" s="639"/>
      <c r="J238" s="513" t="s">
        <v>2957</v>
      </c>
      <c r="K238" s="525" t="s">
        <v>312</v>
      </c>
      <c r="L238" s="526" t="s">
        <v>315</v>
      </c>
      <c r="M238" s="527" t="s">
        <v>315</v>
      </c>
      <c r="N238" s="528" t="s">
        <v>315</v>
      </c>
      <c r="O238" s="663"/>
      <c r="P238" s="529"/>
      <c r="Q238" s="531"/>
      <c r="R238" s="530"/>
      <c r="S238" s="530" t="s">
        <v>315</v>
      </c>
      <c r="T238" s="566"/>
    </row>
    <row r="239" spans="1:20" s="508" customFormat="1" ht="45" hidden="1">
      <c r="A239" s="668"/>
      <c r="B239" s="639" t="s">
        <v>3576</v>
      </c>
      <c r="C239" s="534" t="s">
        <v>4281</v>
      </c>
      <c r="D239" s="639" t="s">
        <v>3805</v>
      </c>
      <c r="E239" s="519" t="str">
        <f>IF('GPS Anthro Tool'!$B$5=1,"ECE R129","")</f>
        <v/>
      </c>
      <c r="F239" s="506" t="s">
        <v>4317</v>
      </c>
      <c r="G239" s="534" t="s">
        <v>3633</v>
      </c>
      <c r="H239" s="534"/>
      <c r="I239" s="534" t="s">
        <v>3918</v>
      </c>
      <c r="J239" s="513" t="s">
        <v>2957</v>
      </c>
      <c r="K239" s="525" t="s">
        <v>605</v>
      </c>
      <c r="L239" s="526" t="s">
        <v>315</v>
      </c>
      <c r="M239" s="527" t="s">
        <v>315</v>
      </c>
      <c r="N239" s="528" t="s">
        <v>315</v>
      </c>
      <c r="O239" s="663"/>
      <c r="P239" s="529"/>
      <c r="Q239" s="531"/>
      <c r="R239" s="530"/>
      <c r="S239" s="530" t="s">
        <v>315</v>
      </c>
      <c r="T239" s="566"/>
    </row>
    <row r="240" spans="1:20" s="508" customFormat="1" ht="45" hidden="1">
      <c r="A240" s="668"/>
      <c r="B240" s="639" t="s">
        <v>3576</v>
      </c>
      <c r="C240" s="534" t="s">
        <v>4282</v>
      </c>
      <c r="D240" s="639" t="s">
        <v>3806</v>
      </c>
      <c r="E240" s="519" t="str">
        <f>IF('GPS Anthro Tool'!$B$5=1,"ECE R129","")</f>
        <v/>
      </c>
      <c r="F240" s="506" t="s">
        <v>4317</v>
      </c>
      <c r="G240" s="534" t="s">
        <v>3634</v>
      </c>
      <c r="H240" s="534" t="s">
        <v>3919</v>
      </c>
      <c r="I240" s="534" t="s">
        <v>3919</v>
      </c>
      <c r="J240" s="513" t="s">
        <v>2957</v>
      </c>
      <c r="K240" s="525" t="s">
        <v>3771</v>
      </c>
      <c r="L240" s="526" t="s">
        <v>315</v>
      </c>
      <c r="M240" s="527" t="s">
        <v>315</v>
      </c>
      <c r="N240" s="528" t="s">
        <v>315</v>
      </c>
      <c r="O240" s="663"/>
      <c r="P240" s="529"/>
      <c r="Q240" s="531"/>
      <c r="R240" s="530"/>
      <c r="S240" s="530" t="s">
        <v>315</v>
      </c>
      <c r="T240" s="566"/>
    </row>
    <row r="241" spans="1:20" s="508" customFormat="1" ht="45" hidden="1">
      <c r="A241" s="668"/>
      <c r="B241" s="639" t="s">
        <v>3576</v>
      </c>
      <c r="C241" s="534" t="s">
        <v>2104</v>
      </c>
      <c r="D241" s="639" t="s">
        <v>3807</v>
      </c>
      <c r="E241" s="519" t="str">
        <f>IF('GPS Anthro Tool'!$B$5=1,"ECE R129","")</f>
        <v/>
      </c>
      <c r="F241" s="506" t="s">
        <v>4317</v>
      </c>
      <c r="G241" s="534" t="s">
        <v>3635</v>
      </c>
      <c r="H241" s="534"/>
      <c r="I241" s="534" t="s">
        <v>3920</v>
      </c>
      <c r="J241" s="513" t="s">
        <v>2957</v>
      </c>
      <c r="K241" s="525" t="s">
        <v>312</v>
      </c>
      <c r="L241" s="526" t="s">
        <v>315</v>
      </c>
      <c r="M241" s="527" t="s">
        <v>315</v>
      </c>
      <c r="N241" s="528" t="s">
        <v>315</v>
      </c>
      <c r="O241" s="663"/>
      <c r="P241" s="529"/>
      <c r="Q241" s="531"/>
      <c r="R241" s="530"/>
      <c r="S241" s="530" t="s">
        <v>315</v>
      </c>
      <c r="T241" s="566"/>
    </row>
    <row r="242" spans="1:20" s="508" customFormat="1" ht="45" hidden="1">
      <c r="A242" s="668"/>
      <c r="B242" s="639" t="s">
        <v>3576</v>
      </c>
      <c r="C242" s="534" t="s">
        <v>2104</v>
      </c>
      <c r="D242" s="639" t="s">
        <v>3808</v>
      </c>
      <c r="E242" s="519" t="str">
        <f>IF('GPS Anthro Tool'!$B$5=1,"ECE R129","")</f>
        <v/>
      </c>
      <c r="F242" s="506" t="s">
        <v>4317</v>
      </c>
      <c r="G242" s="638" t="s">
        <v>3636</v>
      </c>
      <c r="H242" s="638"/>
      <c r="I242" s="638" t="s">
        <v>3921</v>
      </c>
      <c r="J242" s="513" t="s">
        <v>2957</v>
      </c>
      <c r="K242" s="651" t="s">
        <v>312</v>
      </c>
      <c r="L242" s="526" t="s">
        <v>315</v>
      </c>
      <c r="M242" s="527" t="s">
        <v>315</v>
      </c>
      <c r="N242" s="528" t="s">
        <v>315</v>
      </c>
      <c r="O242" s="663"/>
      <c r="P242" s="529"/>
      <c r="Q242" s="531"/>
      <c r="R242" s="530"/>
      <c r="S242" s="530" t="s">
        <v>315</v>
      </c>
      <c r="T242" s="566"/>
    </row>
    <row r="243" spans="1:20" s="508" customFormat="1" ht="45" hidden="1">
      <c r="A243" s="668"/>
      <c r="B243" s="639" t="s">
        <v>3576</v>
      </c>
      <c r="C243" s="534" t="s">
        <v>2104</v>
      </c>
      <c r="D243" s="639" t="s">
        <v>3809</v>
      </c>
      <c r="E243" s="519" t="str">
        <f>IF('GPS Anthro Tool'!$B$5=1,"ECE R129","")</f>
        <v/>
      </c>
      <c r="F243" s="506" t="s">
        <v>4317</v>
      </c>
      <c r="G243" s="639" t="s">
        <v>3637</v>
      </c>
      <c r="H243" s="639"/>
      <c r="I243" s="639" t="s">
        <v>3922</v>
      </c>
      <c r="J243" s="513" t="s">
        <v>2957</v>
      </c>
      <c r="K243" s="643" t="s">
        <v>312</v>
      </c>
      <c r="L243" s="526" t="s">
        <v>315</v>
      </c>
      <c r="M243" s="527" t="s">
        <v>315</v>
      </c>
      <c r="N243" s="528" t="s">
        <v>315</v>
      </c>
      <c r="O243" s="663"/>
      <c r="P243" s="529"/>
      <c r="Q243" s="531"/>
      <c r="R243" s="530"/>
      <c r="S243" s="530" t="s">
        <v>315</v>
      </c>
      <c r="T243" s="566"/>
    </row>
    <row r="244" spans="1:20" s="508" customFormat="1" ht="45" hidden="1">
      <c r="A244" s="668"/>
      <c r="B244" s="639" t="s">
        <v>3576</v>
      </c>
      <c r="C244" s="534" t="s">
        <v>4277</v>
      </c>
      <c r="D244" s="639" t="s">
        <v>3810</v>
      </c>
      <c r="E244" s="519" t="str">
        <f>IF('GPS Anthro Tool'!$B$5=1,"ECE R129","")</f>
        <v/>
      </c>
      <c r="F244" s="506" t="s">
        <v>4317</v>
      </c>
      <c r="G244" s="639" t="s">
        <v>3638</v>
      </c>
      <c r="H244" s="639"/>
      <c r="I244" s="639" t="s">
        <v>3917</v>
      </c>
      <c r="J244" s="513" t="s">
        <v>2957</v>
      </c>
      <c r="K244" s="643" t="s">
        <v>312</v>
      </c>
      <c r="L244" s="526" t="s">
        <v>315</v>
      </c>
      <c r="M244" s="527" t="s">
        <v>315</v>
      </c>
      <c r="N244" s="528" t="s">
        <v>315</v>
      </c>
      <c r="O244" s="663"/>
      <c r="P244" s="529"/>
      <c r="Q244" s="531"/>
      <c r="R244" s="530"/>
      <c r="S244" s="530" t="s">
        <v>315</v>
      </c>
      <c r="T244" s="566"/>
    </row>
    <row r="245" spans="1:20" s="508" customFormat="1" ht="60" hidden="1">
      <c r="A245" s="668"/>
      <c r="B245" s="639" t="s">
        <v>3577</v>
      </c>
      <c r="C245" s="534" t="s">
        <v>4281</v>
      </c>
      <c r="D245" s="639" t="s">
        <v>3830</v>
      </c>
      <c r="E245" s="519" t="str">
        <f>IF('GPS Anthro Tool'!$B$5=1,"ECE R129","")</f>
        <v/>
      </c>
      <c r="F245" s="506" t="s">
        <v>4317</v>
      </c>
      <c r="G245" s="639" t="s">
        <v>3662</v>
      </c>
      <c r="H245" s="639"/>
      <c r="I245" s="639" t="s">
        <v>3931</v>
      </c>
      <c r="J245" s="513" t="s">
        <v>2957</v>
      </c>
      <c r="K245" s="643" t="s">
        <v>312</v>
      </c>
      <c r="L245" s="526" t="s">
        <v>315</v>
      </c>
      <c r="M245" s="527" t="s">
        <v>315</v>
      </c>
      <c r="N245" s="528" t="s">
        <v>315</v>
      </c>
      <c r="O245" s="663"/>
      <c r="P245" s="529"/>
      <c r="Q245" s="531"/>
      <c r="R245" s="530"/>
      <c r="S245" s="530" t="s">
        <v>315</v>
      </c>
      <c r="T245" s="566"/>
    </row>
    <row r="246" spans="1:20" s="508" customFormat="1" ht="30" hidden="1">
      <c r="A246" s="668"/>
      <c r="B246" s="639" t="s">
        <v>3577</v>
      </c>
      <c r="C246" s="534" t="s">
        <v>4280</v>
      </c>
      <c r="D246" s="639" t="s">
        <v>3821</v>
      </c>
      <c r="E246" s="519" t="str">
        <f>IF('GPS Anthro Tool'!$B$5=1,"ECE R129","")</f>
        <v/>
      </c>
      <c r="F246" s="506" t="s">
        <v>4317</v>
      </c>
      <c r="G246" s="534" t="s">
        <v>3653</v>
      </c>
      <c r="H246" s="534" t="s">
        <v>3926</v>
      </c>
      <c r="I246" s="639" t="s">
        <v>3926</v>
      </c>
      <c r="J246" s="513" t="s">
        <v>2957</v>
      </c>
      <c r="K246" s="525" t="s">
        <v>312</v>
      </c>
      <c r="L246" s="526" t="s">
        <v>315</v>
      </c>
      <c r="M246" s="527" t="s">
        <v>315</v>
      </c>
      <c r="N246" s="528" t="s">
        <v>315</v>
      </c>
      <c r="O246" s="663"/>
      <c r="P246" s="529"/>
      <c r="Q246" s="531"/>
      <c r="R246" s="530"/>
      <c r="S246" s="530" t="s">
        <v>315</v>
      </c>
      <c r="T246" s="566"/>
    </row>
    <row r="247" spans="1:20" s="508" customFormat="1" ht="30" hidden="1">
      <c r="A247" s="668"/>
      <c r="B247" s="639" t="s">
        <v>3577</v>
      </c>
      <c r="C247" s="534" t="s">
        <v>4280</v>
      </c>
      <c r="D247" s="639" t="s">
        <v>3822</v>
      </c>
      <c r="E247" s="519" t="str">
        <f>IF('GPS Anthro Tool'!$B$5=1,"ECE R129","")</f>
        <v/>
      </c>
      <c r="F247" s="506" t="s">
        <v>4317</v>
      </c>
      <c r="G247" s="534" t="s">
        <v>3654</v>
      </c>
      <c r="H247" s="534" t="s">
        <v>3927</v>
      </c>
      <c r="I247" s="639" t="s">
        <v>3927</v>
      </c>
      <c r="J247" s="513" t="s">
        <v>2957</v>
      </c>
      <c r="K247" s="525" t="s">
        <v>312</v>
      </c>
      <c r="L247" s="526" t="s">
        <v>315</v>
      </c>
      <c r="M247" s="527" t="s">
        <v>315</v>
      </c>
      <c r="N247" s="528" t="s">
        <v>315</v>
      </c>
      <c r="O247" s="663"/>
      <c r="P247" s="529"/>
      <c r="Q247" s="531"/>
      <c r="R247" s="530"/>
      <c r="S247" s="530" t="s">
        <v>315</v>
      </c>
      <c r="T247" s="566"/>
    </row>
    <row r="248" spans="1:20" s="508" customFormat="1" ht="15.75" hidden="1">
      <c r="A248" s="668"/>
      <c r="B248" s="639" t="s">
        <v>3577</v>
      </c>
      <c r="C248" s="534" t="s">
        <v>4280</v>
      </c>
      <c r="D248" s="639" t="s">
        <v>3823</v>
      </c>
      <c r="E248" s="519" t="str">
        <f>IF('GPS Anthro Tool'!$B$5=1,"ECE R129","")</f>
        <v/>
      </c>
      <c r="F248" s="506" t="s">
        <v>4317</v>
      </c>
      <c r="G248" s="534" t="s">
        <v>3655</v>
      </c>
      <c r="H248" s="534" t="s">
        <v>3928</v>
      </c>
      <c r="I248" s="639" t="s">
        <v>3928</v>
      </c>
      <c r="J248" s="513" t="s">
        <v>2957</v>
      </c>
      <c r="K248" s="525" t="s">
        <v>312</v>
      </c>
      <c r="L248" s="526" t="s">
        <v>315</v>
      </c>
      <c r="M248" s="527" t="s">
        <v>315</v>
      </c>
      <c r="N248" s="528" t="s">
        <v>315</v>
      </c>
      <c r="O248" s="663"/>
      <c r="P248" s="529"/>
      <c r="Q248" s="531"/>
      <c r="R248" s="530"/>
      <c r="S248" s="530" t="s">
        <v>315</v>
      </c>
      <c r="T248" s="566"/>
    </row>
    <row r="249" spans="1:20" s="508" customFormat="1" ht="30" hidden="1">
      <c r="A249" s="668"/>
      <c r="B249" s="639" t="s">
        <v>3577</v>
      </c>
      <c r="C249" s="534" t="s">
        <v>4280</v>
      </c>
      <c r="D249" s="639" t="s">
        <v>3824</v>
      </c>
      <c r="E249" s="519" t="str">
        <f>IF('GPS Anthro Tool'!$B$5=1,"ECE R129","")</f>
        <v/>
      </c>
      <c r="F249" s="506" t="s">
        <v>4317</v>
      </c>
      <c r="G249" s="534" t="s">
        <v>3656</v>
      </c>
      <c r="H249" s="534"/>
      <c r="I249" s="639" t="s">
        <v>3929</v>
      </c>
      <c r="J249" s="513" t="s">
        <v>2957</v>
      </c>
      <c r="K249" s="525" t="s">
        <v>312</v>
      </c>
      <c r="L249" s="526" t="s">
        <v>315</v>
      </c>
      <c r="M249" s="527" t="s">
        <v>315</v>
      </c>
      <c r="N249" s="528" t="s">
        <v>315</v>
      </c>
      <c r="O249" s="663"/>
      <c r="P249" s="529"/>
      <c r="Q249" s="531"/>
      <c r="R249" s="530"/>
      <c r="S249" s="530" t="s">
        <v>315</v>
      </c>
      <c r="T249" s="566"/>
    </row>
    <row r="250" spans="1:20" s="508" customFormat="1" ht="30" hidden="1">
      <c r="A250" s="668"/>
      <c r="B250" s="639" t="s">
        <v>3577</v>
      </c>
      <c r="C250" s="534" t="s">
        <v>4280</v>
      </c>
      <c r="D250" s="639" t="s">
        <v>3825</v>
      </c>
      <c r="E250" s="519" t="str">
        <f>IF('GPS Anthro Tool'!$B$5=1,"ECE R129","")</f>
        <v/>
      </c>
      <c r="F250" s="506" t="s">
        <v>4317</v>
      </c>
      <c r="G250" s="534" t="s">
        <v>3657</v>
      </c>
      <c r="H250" s="534" t="s">
        <v>3930</v>
      </c>
      <c r="I250" s="639" t="s">
        <v>3930</v>
      </c>
      <c r="J250" s="513" t="s">
        <v>2957</v>
      </c>
      <c r="K250" s="525" t="s">
        <v>312</v>
      </c>
      <c r="L250" s="526" t="s">
        <v>315</v>
      </c>
      <c r="M250" s="527" t="s">
        <v>315</v>
      </c>
      <c r="N250" s="528" t="s">
        <v>315</v>
      </c>
      <c r="O250" s="663"/>
      <c r="P250" s="529"/>
      <c r="Q250" s="531"/>
      <c r="R250" s="530"/>
      <c r="S250" s="530" t="s">
        <v>315</v>
      </c>
      <c r="T250" s="566"/>
    </row>
    <row r="251" spans="1:20" s="508" customFormat="1" ht="60" hidden="1">
      <c r="A251" s="668"/>
      <c r="B251" s="639" t="s">
        <v>3577</v>
      </c>
      <c r="C251" s="534" t="s">
        <v>4281</v>
      </c>
      <c r="D251" s="639" t="s">
        <v>3826</v>
      </c>
      <c r="E251" s="519" t="str">
        <f>IF('GPS Anthro Tool'!$B$5=1,"ECE R129","")</f>
        <v/>
      </c>
      <c r="F251" s="506" t="s">
        <v>4317</v>
      </c>
      <c r="G251" s="534" t="s">
        <v>3658</v>
      </c>
      <c r="H251" s="534"/>
      <c r="I251" s="639" t="s">
        <v>3931</v>
      </c>
      <c r="J251" s="513" t="s">
        <v>2957</v>
      </c>
      <c r="K251" s="525" t="s">
        <v>312</v>
      </c>
      <c r="L251" s="526" t="s">
        <v>315</v>
      </c>
      <c r="M251" s="527" t="s">
        <v>315</v>
      </c>
      <c r="N251" s="528" t="s">
        <v>315</v>
      </c>
      <c r="O251" s="663"/>
      <c r="P251" s="529"/>
      <c r="Q251" s="531"/>
      <c r="R251" s="530"/>
      <c r="S251" s="530" t="s">
        <v>315</v>
      </c>
      <c r="T251" s="566"/>
    </row>
    <row r="252" spans="1:20" s="508" customFormat="1" ht="45" hidden="1">
      <c r="A252" s="668"/>
      <c r="B252" s="639" t="s">
        <v>3577</v>
      </c>
      <c r="C252" s="534" t="s">
        <v>4277</v>
      </c>
      <c r="D252" s="639" t="s">
        <v>3827</v>
      </c>
      <c r="E252" s="519" t="str">
        <f>IF('GPS Anthro Tool'!$B$5=1,"ECE R129","")</f>
        <v/>
      </c>
      <c r="F252" s="506" t="s">
        <v>4317</v>
      </c>
      <c r="G252" s="534" t="s">
        <v>3659</v>
      </c>
      <c r="H252" s="534"/>
      <c r="I252" s="534" t="s">
        <v>3917</v>
      </c>
      <c r="J252" s="513" t="s">
        <v>2957</v>
      </c>
      <c r="K252" s="525" t="s">
        <v>605</v>
      </c>
      <c r="L252" s="526" t="s">
        <v>315</v>
      </c>
      <c r="M252" s="527" t="s">
        <v>315</v>
      </c>
      <c r="N252" s="528" t="s">
        <v>315</v>
      </c>
      <c r="O252" s="663"/>
      <c r="P252" s="529"/>
      <c r="Q252" s="531"/>
      <c r="R252" s="530"/>
      <c r="S252" s="530" t="s">
        <v>315</v>
      </c>
      <c r="T252" s="566"/>
    </row>
    <row r="253" spans="1:20" s="508" customFormat="1" ht="60" hidden="1">
      <c r="A253" s="668"/>
      <c r="B253" s="639" t="s">
        <v>3577</v>
      </c>
      <c r="C253" s="534" t="s">
        <v>4281</v>
      </c>
      <c r="D253" s="639" t="s">
        <v>3828</v>
      </c>
      <c r="E253" s="519" t="str">
        <f>IF('GPS Anthro Tool'!$B$5=1,"ECE R129","")</f>
        <v/>
      </c>
      <c r="F253" s="506" t="s">
        <v>4317</v>
      </c>
      <c r="G253" s="534" t="s">
        <v>3660</v>
      </c>
      <c r="H253" s="534"/>
      <c r="I253" s="534" t="s">
        <v>3931</v>
      </c>
      <c r="J253" s="513" t="s">
        <v>2957</v>
      </c>
      <c r="K253" s="525" t="s">
        <v>605</v>
      </c>
      <c r="L253" s="526" t="s">
        <v>315</v>
      </c>
      <c r="M253" s="527" t="s">
        <v>315</v>
      </c>
      <c r="N253" s="528" t="s">
        <v>315</v>
      </c>
      <c r="O253" s="663"/>
      <c r="P253" s="529"/>
      <c r="Q253" s="531"/>
      <c r="R253" s="530"/>
      <c r="S253" s="530" t="s">
        <v>315</v>
      </c>
      <c r="T253" s="566"/>
    </row>
    <row r="254" spans="1:20" s="508" customFormat="1" ht="60" hidden="1">
      <c r="A254" s="668"/>
      <c r="B254" s="639" t="s">
        <v>3577</v>
      </c>
      <c r="C254" s="534" t="s">
        <v>4281</v>
      </c>
      <c r="D254" s="639" t="s">
        <v>3829</v>
      </c>
      <c r="E254" s="519" t="str">
        <f>IF('GPS Anthro Tool'!$B$5=1,"ECE R129","")</f>
        <v/>
      </c>
      <c r="F254" s="506" t="s">
        <v>4317</v>
      </c>
      <c r="G254" s="639" t="s">
        <v>3661</v>
      </c>
      <c r="H254" s="639"/>
      <c r="I254" s="639" t="s">
        <v>3931</v>
      </c>
      <c r="J254" s="513" t="s">
        <v>2957</v>
      </c>
      <c r="K254" s="643" t="s">
        <v>312</v>
      </c>
      <c r="L254" s="526" t="s">
        <v>315</v>
      </c>
      <c r="M254" s="527" t="s">
        <v>315</v>
      </c>
      <c r="N254" s="528" t="s">
        <v>315</v>
      </c>
      <c r="O254" s="663"/>
      <c r="P254" s="529"/>
      <c r="Q254" s="531"/>
      <c r="R254" s="530"/>
      <c r="S254" s="530" t="s">
        <v>315</v>
      </c>
      <c r="T254" s="566"/>
    </row>
    <row r="255" spans="1:20" s="508" customFormat="1" ht="30" hidden="1">
      <c r="A255" s="668"/>
      <c r="B255" s="639" t="s">
        <v>3578</v>
      </c>
      <c r="C255" s="534" t="s">
        <v>4280</v>
      </c>
      <c r="D255" s="639" t="s">
        <v>3831</v>
      </c>
      <c r="E255" s="519" t="str">
        <f>IF('GPS Anthro Tool'!$B$5=1,"ECE R129","")</f>
        <v/>
      </c>
      <c r="F255" s="506" t="s">
        <v>4317</v>
      </c>
      <c r="G255" s="639" t="s">
        <v>3663</v>
      </c>
      <c r="H255" s="639" t="s">
        <v>3932</v>
      </c>
      <c r="I255" s="639" t="s">
        <v>3932</v>
      </c>
      <c r="J255" s="513" t="s">
        <v>2957</v>
      </c>
      <c r="K255" s="643" t="s">
        <v>3771</v>
      </c>
      <c r="L255" s="526" t="s">
        <v>315</v>
      </c>
      <c r="M255" s="527" t="s">
        <v>315</v>
      </c>
      <c r="N255" s="528" t="s">
        <v>315</v>
      </c>
      <c r="O255" s="663"/>
      <c r="P255" s="529"/>
      <c r="Q255" s="531"/>
      <c r="R255" s="530"/>
      <c r="S255" s="530" t="s">
        <v>315</v>
      </c>
      <c r="T255" s="566"/>
    </row>
    <row r="256" spans="1:20" s="508" customFormat="1" ht="30" hidden="1">
      <c r="A256" s="668"/>
      <c r="B256" s="639" t="s">
        <v>3578</v>
      </c>
      <c r="C256" s="534" t="s">
        <v>4280</v>
      </c>
      <c r="D256" s="639" t="s">
        <v>3832</v>
      </c>
      <c r="E256" s="519" t="str">
        <f>IF('GPS Anthro Tool'!$B$5=1,"ECE R129","")</f>
        <v/>
      </c>
      <c r="F256" s="506" t="s">
        <v>4317</v>
      </c>
      <c r="G256" s="639" t="s">
        <v>3664</v>
      </c>
      <c r="H256" s="639" t="s">
        <v>3933</v>
      </c>
      <c r="I256" s="639" t="s">
        <v>3933</v>
      </c>
      <c r="J256" s="513" t="s">
        <v>2957</v>
      </c>
      <c r="K256" s="643" t="s">
        <v>312</v>
      </c>
      <c r="L256" s="526" t="s">
        <v>315</v>
      </c>
      <c r="M256" s="527" t="s">
        <v>315</v>
      </c>
      <c r="N256" s="528" t="s">
        <v>315</v>
      </c>
      <c r="O256" s="663"/>
      <c r="P256" s="529"/>
      <c r="Q256" s="531"/>
      <c r="R256" s="530"/>
      <c r="S256" s="530" t="s">
        <v>315</v>
      </c>
      <c r="T256" s="566"/>
    </row>
    <row r="257" spans="1:20" s="508" customFormat="1" ht="30" hidden="1">
      <c r="A257" s="668"/>
      <c r="B257" s="639" t="s">
        <v>3578</v>
      </c>
      <c r="C257" s="534" t="s">
        <v>4280</v>
      </c>
      <c r="D257" s="639" t="s">
        <v>3833</v>
      </c>
      <c r="E257" s="519" t="str">
        <f>IF('GPS Anthro Tool'!$B$5=1,"ECE R129","")</f>
        <v/>
      </c>
      <c r="F257" s="506" t="s">
        <v>4317</v>
      </c>
      <c r="G257" s="639" t="s">
        <v>3665</v>
      </c>
      <c r="H257" s="639" t="s">
        <v>3934</v>
      </c>
      <c r="I257" s="639" t="s">
        <v>3934</v>
      </c>
      <c r="J257" s="513" t="s">
        <v>2957</v>
      </c>
      <c r="K257" s="643" t="s">
        <v>312</v>
      </c>
      <c r="L257" s="526" t="s">
        <v>315</v>
      </c>
      <c r="M257" s="527" t="s">
        <v>315</v>
      </c>
      <c r="N257" s="528" t="s">
        <v>315</v>
      </c>
      <c r="O257" s="663"/>
      <c r="P257" s="529"/>
      <c r="Q257" s="531"/>
      <c r="R257" s="530"/>
      <c r="S257" s="530" t="s">
        <v>315</v>
      </c>
      <c r="T257" s="566"/>
    </row>
    <row r="258" spans="1:20" s="508" customFormat="1" ht="45" hidden="1">
      <c r="A258" s="668"/>
      <c r="B258" s="639" t="s">
        <v>3578</v>
      </c>
      <c r="C258" s="639" t="s">
        <v>4277</v>
      </c>
      <c r="D258" s="639" t="s">
        <v>3834</v>
      </c>
      <c r="E258" s="519" t="str">
        <f>IF('GPS Anthro Tool'!$B$5=1,"ECE R129","")</f>
        <v/>
      </c>
      <c r="F258" s="506" t="s">
        <v>4317</v>
      </c>
      <c r="G258" s="639" t="s">
        <v>3666</v>
      </c>
      <c r="H258" s="639"/>
      <c r="I258" s="639" t="s">
        <v>3935</v>
      </c>
      <c r="J258" s="513" t="s">
        <v>2957</v>
      </c>
      <c r="K258" s="643" t="s">
        <v>312</v>
      </c>
      <c r="L258" s="526" t="s">
        <v>315</v>
      </c>
      <c r="M258" s="527" t="s">
        <v>315</v>
      </c>
      <c r="N258" s="528" t="s">
        <v>315</v>
      </c>
      <c r="O258" s="663"/>
      <c r="P258" s="529"/>
      <c r="Q258" s="531"/>
      <c r="R258" s="530"/>
      <c r="S258" s="530" t="s">
        <v>315</v>
      </c>
      <c r="T258" s="566"/>
    </row>
    <row r="259" spans="1:20" s="508" customFormat="1" ht="45" hidden="1">
      <c r="A259" s="668"/>
      <c r="B259" s="639" t="s">
        <v>3578</v>
      </c>
      <c r="C259" s="639" t="s">
        <v>4277</v>
      </c>
      <c r="D259" s="639" t="s">
        <v>3835</v>
      </c>
      <c r="E259" s="519" t="str">
        <f>IF('GPS Anthro Tool'!$B$5=1,"ECE R129","")</f>
        <v/>
      </c>
      <c r="F259" s="506" t="s">
        <v>4317</v>
      </c>
      <c r="G259" s="639" t="s">
        <v>3667</v>
      </c>
      <c r="H259" s="639"/>
      <c r="I259" s="639" t="s">
        <v>3917</v>
      </c>
      <c r="J259" s="513" t="s">
        <v>2957</v>
      </c>
      <c r="K259" s="643" t="s">
        <v>312</v>
      </c>
      <c r="L259" s="526" t="s">
        <v>315</v>
      </c>
      <c r="M259" s="527" t="s">
        <v>315</v>
      </c>
      <c r="N259" s="528" t="s">
        <v>315</v>
      </c>
      <c r="O259" s="663"/>
      <c r="P259" s="529"/>
      <c r="Q259" s="531"/>
      <c r="R259" s="530"/>
      <c r="S259" s="530" t="s">
        <v>315</v>
      </c>
      <c r="T259" s="566"/>
    </row>
    <row r="260" spans="1:20" s="508" customFormat="1" ht="45" hidden="1">
      <c r="A260" s="668"/>
      <c r="B260" s="639" t="s">
        <v>3578</v>
      </c>
      <c r="C260" s="639" t="s">
        <v>4277</v>
      </c>
      <c r="D260" s="639" t="s">
        <v>3836</v>
      </c>
      <c r="E260" s="519" t="str">
        <f>IF('GPS Anthro Tool'!$B$5=1,"ECE R129","")</f>
        <v/>
      </c>
      <c r="F260" s="506" t="s">
        <v>4317</v>
      </c>
      <c r="G260" s="639" t="s">
        <v>3668</v>
      </c>
      <c r="H260" s="639"/>
      <c r="I260" s="639" t="s">
        <v>3917</v>
      </c>
      <c r="J260" s="513" t="s">
        <v>2957</v>
      </c>
      <c r="K260" s="643" t="s">
        <v>312</v>
      </c>
      <c r="L260" s="526" t="s">
        <v>315</v>
      </c>
      <c r="M260" s="527" t="s">
        <v>315</v>
      </c>
      <c r="N260" s="528" t="s">
        <v>315</v>
      </c>
      <c r="O260" s="663"/>
      <c r="P260" s="529"/>
      <c r="Q260" s="531"/>
      <c r="R260" s="530"/>
      <c r="S260" s="530" t="s">
        <v>315</v>
      </c>
      <c r="T260" s="566"/>
    </row>
    <row r="261" spans="1:20" s="508" customFormat="1" ht="45" hidden="1">
      <c r="A261" s="668"/>
      <c r="B261" s="639" t="s">
        <v>3578</v>
      </c>
      <c r="C261" s="534" t="s">
        <v>4281</v>
      </c>
      <c r="D261" s="639" t="s">
        <v>3837</v>
      </c>
      <c r="E261" s="519" t="str">
        <f>IF('GPS Anthro Tool'!$B$5=1,"ECE R129","")</f>
        <v/>
      </c>
      <c r="F261" s="506" t="s">
        <v>4317</v>
      </c>
      <c r="G261" s="639" t="s">
        <v>3669</v>
      </c>
      <c r="H261" s="639"/>
      <c r="I261" s="639" t="s">
        <v>3917</v>
      </c>
      <c r="J261" s="513" t="s">
        <v>2957</v>
      </c>
      <c r="K261" s="643" t="s">
        <v>312</v>
      </c>
      <c r="L261" s="526" t="s">
        <v>315</v>
      </c>
      <c r="M261" s="527" t="s">
        <v>315</v>
      </c>
      <c r="N261" s="528" t="s">
        <v>315</v>
      </c>
      <c r="O261" s="663"/>
      <c r="P261" s="529"/>
      <c r="Q261" s="531"/>
      <c r="R261" s="530"/>
      <c r="S261" s="530" t="s">
        <v>315</v>
      </c>
      <c r="T261" s="566"/>
    </row>
    <row r="262" spans="1:20" s="508" customFormat="1" ht="60" hidden="1">
      <c r="A262" s="668"/>
      <c r="B262" s="639" t="s">
        <v>3579</v>
      </c>
      <c r="C262" s="639" t="s">
        <v>4277</v>
      </c>
      <c r="D262" s="639" t="s">
        <v>3839</v>
      </c>
      <c r="E262" s="519" t="str">
        <f>IF('GPS Anthro Tool'!$B$5=1,"ECE R129","")</f>
        <v/>
      </c>
      <c r="F262" s="506" t="s">
        <v>4317</v>
      </c>
      <c r="G262" s="639" t="s">
        <v>3671</v>
      </c>
      <c r="H262" s="639"/>
      <c r="I262" s="639" t="s">
        <v>3936</v>
      </c>
      <c r="J262" s="513" t="s">
        <v>2957</v>
      </c>
      <c r="K262" s="643" t="s">
        <v>312</v>
      </c>
      <c r="L262" s="526" t="s">
        <v>315</v>
      </c>
      <c r="M262" s="527" t="s">
        <v>315</v>
      </c>
      <c r="N262" s="528" t="s">
        <v>315</v>
      </c>
      <c r="O262" s="663"/>
      <c r="P262" s="529"/>
      <c r="Q262" s="531"/>
      <c r="R262" s="530"/>
      <c r="S262" s="530" t="s">
        <v>315</v>
      </c>
      <c r="T262" s="566"/>
    </row>
    <row r="263" spans="1:20" s="508" customFormat="1" ht="30" hidden="1">
      <c r="A263" s="668"/>
      <c r="B263" s="639" t="s">
        <v>3579</v>
      </c>
      <c r="C263" s="534" t="s">
        <v>4280</v>
      </c>
      <c r="D263" s="639" t="s">
        <v>3840</v>
      </c>
      <c r="E263" s="519" t="str">
        <f>IF('GPS Anthro Tool'!$B$5=1,"ECE R129","")</f>
        <v/>
      </c>
      <c r="F263" s="506" t="s">
        <v>4317</v>
      </c>
      <c r="G263" s="639" t="s">
        <v>3672</v>
      </c>
      <c r="H263" s="639" t="s">
        <v>3937</v>
      </c>
      <c r="I263" s="639" t="s">
        <v>3937</v>
      </c>
      <c r="J263" s="513" t="s">
        <v>2957</v>
      </c>
      <c r="K263" s="643" t="s">
        <v>312</v>
      </c>
      <c r="L263" s="526" t="s">
        <v>315</v>
      </c>
      <c r="M263" s="527" t="s">
        <v>315</v>
      </c>
      <c r="N263" s="528" t="s">
        <v>315</v>
      </c>
      <c r="O263" s="663"/>
      <c r="P263" s="529"/>
      <c r="Q263" s="531"/>
      <c r="R263" s="530"/>
      <c r="S263" s="530" t="s">
        <v>315</v>
      </c>
      <c r="T263" s="566"/>
    </row>
    <row r="264" spans="1:20" s="508" customFormat="1" ht="30" hidden="1">
      <c r="A264" s="668"/>
      <c r="B264" s="639" t="s">
        <v>3579</v>
      </c>
      <c r="C264" s="534" t="s">
        <v>4280</v>
      </c>
      <c r="D264" s="639" t="s">
        <v>3841</v>
      </c>
      <c r="E264" s="519" t="str">
        <f>IF('GPS Anthro Tool'!$B$5=1,"ECE R129","")</f>
        <v/>
      </c>
      <c r="F264" s="506" t="s">
        <v>4317</v>
      </c>
      <c r="G264" s="639" t="s">
        <v>3673</v>
      </c>
      <c r="H264" s="639" t="s">
        <v>3938</v>
      </c>
      <c r="I264" s="639" t="s">
        <v>3938</v>
      </c>
      <c r="J264" s="513" t="s">
        <v>2957</v>
      </c>
      <c r="K264" s="643" t="s">
        <v>312</v>
      </c>
      <c r="L264" s="526" t="s">
        <v>315</v>
      </c>
      <c r="M264" s="527" t="s">
        <v>315</v>
      </c>
      <c r="N264" s="528" t="s">
        <v>315</v>
      </c>
      <c r="O264" s="663"/>
      <c r="P264" s="529"/>
      <c r="Q264" s="531"/>
      <c r="R264" s="530"/>
      <c r="S264" s="530" t="s">
        <v>315</v>
      </c>
      <c r="T264" s="566"/>
    </row>
    <row r="265" spans="1:20" s="508" customFormat="1" ht="30" hidden="1">
      <c r="A265" s="668"/>
      <c r="B265" s="639" t="s">
        <v>3579</v>
      </c>
      <c r="C265" s="534" t="s">
        <v>4280</v>
      </c>
      <c r="D265" s="639" t="s">
        <v>3842</v>
      </c>
      <c r="E265" s="519" t="str">
        <f>IF('GPS Anthro Tool'!$B$5=1,"ECE R129","")</f>
        <v/>
      </c>
      <c r="F265" s="506" t="s">
        <v>4317</v>
      </c>
      <c r="G265" s="639" t="s">
        <v>3674</v>
      </c>
      <c r="H265" s="639" t="s">
        <v>3939</v>
      </c>
      <c r="I265" s="639" t="s">
        <v>3939</v>
      </c>
      <c r="J265" s="513" t="s">
        <v>2957</v>
      </c>
      <c r="K265" s="643" t="s">
        <v>312</v>
      </c>
      <c r="L265" s="526" t="s">
        <v>315</v>
      </c>
      <c r="M265" s="527" t="s">
        <v>315</v>
      </c>
      <c r="N265" s="528" t="s">
        <v>315</v>
      </c>
      <c r="O265" s="663"/>
      <c r="P265" s="529"/>
      <c r="Q265" s="531"/>
      <c r="R265" s="530"/>
      <c r="S265" s="530" t="s">
        <v>315</v>
      </c>
      <c r="T265" s="566"/>
    </row>
    <row r="266" spans="1:20" s="508" customFormat="1" ht="30" hidden="1">
      <c r="A266" s="668"/>
      <c r="B266" s="639" t="s">
        <v>3579</v>
      </c>
      <c r="C266" s="639" t="s">
        <v>4277</v>
      </c>
      <c r="D266" s="639" t="s">
        <v>3843</v>
      </c>
      <c r="E266" s="519" t="str">
        <f>IF('GPS Anthro Tool'!$B$5=1,"ECE R129","")</f>
        <v/>
      </c>
      <c r="F266" s="506" t="s">
        <v>4317</v>
      </c>
      <c r="G266" s="639" t="s">
        <v>3675</v>
      </c>
      <c r="H266" s="642" t="s">
        <v>3940</v>
      </c>
      <c r="I266" s="642" t="s">
        <v>3940</v>
      </c>
      <c r="J266" s="513" t="s">
        <v>2957</v>
      </c>
      <c r="K266" s="643" t="s">
        <v>3771</v>
      </c>
      <c r="L266" s="526" t="s">
        <v>315</v>
      </c>
      <c r="M266" s="527" t="s">
        <v>315</v>
      </c>
      <c r="N266" s="528" t="s">
        <v>315</v>
      </c>
      <c r="O266" s="663"/>
      <c r="P266" s="529"/>
      <c r="Q266" s="531"/>
      <c r="R266" s="530"/>
      <c r="S266" s="530" t="s">
        <v>315</v>
      </c>
      <c r="T266" s="667"/>
    </row>
    <row r="267" spans="1:20" s="508" customFormat="1" ht="30" hidden="1">
      <c r="A267" s="668"/>
      <c r="B267" s="639" t="s">
        <v>3579</v>
      </c>
      <c r="C267" s="534" t="s">
        <v>4280</v>
      </c>
      <c r="D267" s="639" t="s">
        <v>3844</v>
      </c>
      <c r="E267" s="519" t="str">
        <f>IF('GPS Anthro Tool'!$B$5=1,"ECE R129","")</f>
        <v/>
      </c>
      <c r="F267" s="506" t="s">
        <v>4317</v>
      </c>
      <c r="G267" s="639" t="s">
        <v>3676</v>
      </c>
      <c r="H267" s="642" t="s">
        <v>3940</v>
      </c>
      <c r="I267" s="642" t="s">
        <v>3940</v>
      </c>
      <c r="J267" s="513" t="s">
        <v>2957</v>
      </c>
      <c r="K267" s="643" t="s">
        <v>3771</v>
      </c>
      <c r="L267" s="526" t="s">
        <v>315</v>
      </c>
      <c r="M267" s="527" t="s">
        <v>315</v>
      </c>
      <c r="N267" s="528" t="s">
        <v>315</v>
      </c>
      <c r="O267" s="663"/>
      <c r="P267" s="529"/>
      <c r="Q267" s="531"/>
      <c r="R267" s="530"/>
      <c r="S267" s="530" t="s">
        <v>315</v>
      </c>
      <c r="T267" s="667"/>
    </row>
    <row r="268" spans="1:20" s="508" customFormat="1" ht="30" hidden="1">
      <c r="A268" s="668"/>
      <c r="B268" s="639" t="s">
        <v>3579</v>
      </c>
      <c r="C268" s="534" t="s">
        <v>4281</v>
      </c>
      <c r="D268" s="639" t="s">
        <v>3845</v>
      </c>
      <c r="E268" s="519" t="str">
        <f>IF('GPS Anthro Tool'!$B$5=1,"ECE R129","")</f>
        <v/>
      </c>
      <c r="F268" s="506" t="s">
        <v>4317</v>
      </c>
      <c r="G268" s="639" t="s">
        <v>3677</v>
      </c>
      <c r="H268" s="642" t="s">
        <v>3940</v>
      </c>
      <c r="I268" s="642" t="s">
        <v>3940</v>
      </c>
      <c r="J268" s="513" t="s">
        <v>2957</v>
      </c>
      <c r="K268" s="643" t="s">
        <v>312</v>
      </c>
      <c r="L268" s="526" t="s">
        <v>315</v>
      </c>
      <c r="M268" s="527" t="s">
        <v>315</v>
      </c>
      <c r="N268" s="528" t="s">
        <v>315</v>
      </c>
      <c r="O268" s="663"/>
      <c r="P268" s="529"/>
      <c r="Q268" s="531"/>
      <c r="R268" s="530"/>
      <c r="S268" s="530" t="s">
        <v>315</v>
      </c>
      <c r="T268" s="667"/>
    </row>
    <row r="269" spans="1:20" s="508" customFormat="1" ht="45" hidden="1">
      <c r="A269" s="668"/>
      <c r="B269" s="639" t="s">
        <v>3580</v>
      </c>
      <c r="C269" s="639" t="s">
        <v>4277</v>
      </c>
      <c r="D269" s="639" t="s">
        <v>3846</v>
      </c>
      <c r="E269" s="519" t="str">
        <f>IF('GPS Anthro Tool'!$B$5=1,"ECE R129","")</f>
        <v/>
      </c>
      <c r="F269" s="506" t="s">
        <v>4317</v>
      </c>
      <c r="G269" s="639" t="s">
        <v>3678</v>
      </c>
      <c r="H269" s="639"/>
      <c r="I269" s="639" t="s">
        <v>3907</v>
      </c>
      <c r="J269" s="513" t="s">
        <v>2957</v>
      </c>
      <c r="K269" s="643" t="s">
        <v>312</v>
      </c>
      <c r="L269" s="526" t="s">
        <v>315</v>
      </c>
      <c r="M269" s="527" t="s">
        <v>315</v>
      </c>
      <c r="N269" s="528" t="s">
        <v>315</v>
      </c>
      <c r="O269" s="663"/>
      <c r="P269" s="529"/>
      <c r="Q269" s="531"/>
      <c r="R269" s="530"/>
      <c r="S269" s="530" t="s">
        <v>315</v>
      </c>
      <c r="T269" s="667"/>
    </row>
    <row r="270" spans="1:20" s="508" customFormat="1" ht="30" hidden="1">
      <c r="A270" s="668"/>
      <c r="B270" s="639" t="s">
        <v>3580</v>
      </c>
      <c r="C270" s="534" t="s">
        <v>4280</v>
      </c>
      <c r="D270" s="639" t="s">
        <v>3847</v>
      </c>
      <c r="E270" s="519" t="str">
        <f>IF('GPS Anthro Tool'!$B$5=1,"ECE R129","")</f>
        <v/>
      </c>
      <c r="F270" s="506" t="s">
        <v>4317</v>
      </c>
      <c r="G270" s="639" t="s">
        <v>3679</v>
      </c>
      <c r="H270" s="639"/>
      <c r="I270" s="639"/>
      <c r="J270" s="513" t="s">
        <v>2957</v>
      </c>
      <c r="K270" s="643" t="s">
        <v>312</v>
      </c>
      <c r="L270" s="526" t="s">
        <v>315</v>
      </c>
      <c r="M270" s="527" t="s">
        <v>315</v>
      </c>
      <c r="N270" s="528" t="s">
        <v>315</v>
      </c>
      <c r="O270" s="663"/>
      <c r="P270" s="529"/>
      <c r="Q270" s="531"/>
      <c r="R270" s="530"/>
      <c r="S270" s="530" t="s">
        <v>315</v>
      </c>
      <c r="T270" s="667"/>
    </row>
    <row r="271" spans="1:20" s="508" customFormat="1" ht="45" hidden="1">
      <c r="A271" s="668"/>
      <c r="B271" s="639" t="s">
        <v>3580</v>
      </c>
      <c r="C271" s="639" t="s">
        <v>4277</v>
      </c>
      <c r="D271" s="639" t="s">
        <v>3848</v>
      </c>
      <c r="E271" s="519" t="str">
        <f>IF('GPS Anthro Tool'!$B$5=1,"ECE R129","")</f>
        <v/>
      </c>
      <c r="F271" s="506" t="s">
        <v>4317</v>
      </c>
      <c r="G271" s="639" t="s">
        <v>3680</v>
      </c>
      <c r="H271" s="639"/>
      <c r="I271" s="639" t="s">
        <v>3907</v>
      </c>
      <c r="J271" s="513" t="s">
        <v>2957</v>
      </c>
      <c r="K271" s="643" t="s">
        <v>312</v>
      </c>
      <c r="L271" s="526" t="s">
        <v>315</v>
      </c>
      <c r="M271" s="527" t="s">
        <v>315</v>
      </c>
      <c r="N271" s="528" t="s">
        <v>315</v>
      </c>
      <c r="O271" s="663"/>
      <c r="P271" s="529"/>
      <c r="Q271" s="531"/>
      <c r="R271" s="530"/>
      <c r="S271" s="530" t="s">
        <v>315</v>
      </c>
      <c r="T271" s="667"/>
    </row>
    <row r="272" spans="1:20" s="508" customFormat="1" ht="30" hidden="1">
      <c r="A272" s="668"/>
      <c r="B272" s="639" t="s">
        <v>3580</v>
      </c>
      <c r="C272" s="534" t="s">
        <v>4280</v>
      </c>
      <c r="D272" s="639" t="s">
        <v>3849</v>
      </c>
      <c r="E272" s="519" t="str">
        <f>IF('GPS Anthro Tool'!$B$5=1,"ECE R129","")</f>
        <v/>
      </c>
      <c r="F272" s="506" t="s">
        <v>4317</v>
      </c>
      <c r="G272" s="639" t="s">
        <v>3681</v>
      </c>
      <c r="H272" s="639"/>
      <c r="I272" s="639"/>
      <c r="J272" s="513" t="s">
        <v>2957</v>
      </c>
      <c r="K272" s="643" t="s">
        <v>312</v>
      </c>
      <c r="L272" s="526" t="s">
        <v>315</v>
      </c>
      <c r="M272" s="527" t="s">
        <v>315</v>
      </c>
      <c r="N272" s="528" t="s">
        <v>315</v>
      </c>
      <c r="O272" s="663"/>
      <c r="P272" s="529"/>
      <c r="Q272" s="531"/>
      <c r="R272" s="530"/>
      <c r="S272" s="530" t="s">
        <v>315</v>
      </c>
      <c r="T272" s="667"/>
    </row>
    <row r="273" spans="1:20" s="508" customFormat="1" ht="30" hidden="1">
      <c r="A273" s="668"/>
      <c r="B273" s="639" t="s">
        <v>3580</v>
      </c>
      <c r="C273" s="534" t="s">
        <v>4280</v>
      </c>
      <c r="D273" s="639" t="s">
        <v>3850</v>
      </c>
      <c r="E273" s="519" t="str">
        <f>IF('GPS Anthro Tool'!$B$5=1,"ECE R129","")</f>
        <v/>
      </c>
      <c r="F273" s="506" t="s">
        <v>4317</v>
      </c>
      <c r="G273" s="639" t="s">
        <v>3682</v>
      </c>
      <c r="H273" s="639"/>
      <c r="I273" s="639"/>
      <c r="J273" s="513" t="s">
        <v>2957</v>
      </c>
      <c r="K273" s="643" t="s">
        <v>312</v>
      </c>
      <c r="L273" s="526" t="s">
        <v>315</v>
      </c>
      <c r="M273" s="527" t="s">
        <v>315</v>
      </c>
      <c r="N273" s="528" t="s">
        <v>315</v>
      </c>
      <c r="O273" s="663"/>
      <c r="P273" s="529"/>
      <c r="Q273" s="531"/>
      <c r="R273" s="530"/>
      <c r="S273" s="530" t="s">
        <v>315</v>
      </c>
      <c r="T273" s="667"/>
    </row>
    <row r="274" spans="1:20" s="508" customFormat="1" ht="30" hidden="1">
      <c r="A274" s="668"/>
      <c r="B274" s="639" t="s">
        <v>3580</v>
      </c>
      <c r="C274" s="534" t="s">
        <v>4280</v>
      </c>
      <c r="D274" s="639" t="s">
        <v>3851</v>
      </c>
      <c r="E274" s="519" t="str">
        <f>IF('GPS Anthro Tool'!$B$5=1,"ECE R129","")</f>
        <v/>
      </c>
      <c r="F274" s="506" t="s">
        <v>4317</v>
      </c>
      <c r="G274" s="639" t="s">
        <v>3683</v>
      </c>
      <c r="H274" s="639"/>
      <c r="I274" s="639"/>
      <c r="J274" s="513" t="s">
        <v>2957</v>
      </c>
      <c r="K274" s="643" t="s">
        <v>312</v>
      </c>
      <c r="L274" s="526" t="s">
        <v>315</v>
      </c>
      <c r="M274" s="527" t="s">
        <v>315</v>
      </c>
      <c r="N274" s="528" t="s">
        <v>315</v>
      </c>
      <c r="O274" s="663"/>
      <c r="P274" s="529"/>
      <c r="Q274" s="531"/>
      <c r="R274" s="530"/>
      <c r="S274" s="530" t="s">
        <v>315</v>
      </c>
      <c r="T274" s="667"/>
    </row>
    <row r="275" spans="1:20" s="508" customFormat="1" ht="30" hidden="1">
      <c r="A275" s="668"/>
      <c r="B275" s="639" t="s">
        <v>3580</v>
      </c>
      <c r="C275" s="534" t="s">
        <v>4280</v>
      </c>
      <c r="D275" s="639" t="s">
        <v>3852</v>
      </c>
      <c r="E275" s="519" t="str">
        <f>IF('GPS Anthro Tool'!$B$5=1,"ECE R129","")</f>
        <v/>
      </c>
      <c r="F275" s="506" t="s">
        <v>4317</v>
      </c>
      <c r="G275" s="639" t="s">
        <v>3684</v>
      </c>
      <c r="H275" s="639"/>
      <c r="I275" s="639"/>
      <c r="J275" s="513" t="s">
        <v>2957</v>
      </c>
      <c r="K275" s="643" t="s">
        <v>312</v>
      </c>
      <c r="L275" s="526" t="s">
        <v>315</v>
      </c>
      <c r="M275" s="527" t="s">
        <v>315</v>
      </c>
      <c r="N275" s="528" t="s">
        <v>315</v>
      </c>
      <c r="O275" s="663"/>
      <c r="P275" s="529"/>
      <c r="Q275" s="531"/>
      <c r="R275" s="530"/>
      <c r="S275" s="530" t="s">
        <v>315</v>
      </c>
      <c r="T275" s="667"/>
    </row>
    <row r="276" spans="1:20" s="508" customFormat="1" ht="45" hidden="1">
      <c r="A276" s="668"/>
      <c r="B276" s="639" t="s">
        <v>3581</v>
      </c>
      <c r="C276" s="534" t="s">
        <v>4281</v>
      </c>
      <c r="D276" s="639" t="s">
        <v>3853</v>
      </c>
      <c r="E276" s="519" t="str">
        <f>IF('GPS Anthro Tool'!$B$5=1,"ECE R129","")</f>
        <v/>
      </c>
      <c r="F276" s="506" t="s">
        <v>4317</v>
      </c>
      <c r="G276" s="639" t="s">
        <v>3685</v>
      </c>
      <c r="H276" s="639" t="s">
        <v>3941</v>
      </c>
      <c r="I276" s="639" t="s">
        <v>3941</v>
      </c>
      <c r="J276" s="513" t="s">
        <v>2957</v>
      </c>
      <c r="K276" s="643" t="s">
        <v>312</v>
      </c>
      <c r="L276" s="526" t="s">
        <v>315</v>
      </c>
      <c r="M276" s="527" t="s">
        <v>315</v>
      </c>
      <c r="N276" s="528" t="s">
        <v>315</v>
      </c>
      <c r="O276" s="663"/>
      <c r="P276" s="529"/>
      <c r="Q276" s="531"/>
      <c r="R276" s="530"/>
      <c r="S276" s="530" t="s">
        <v>315</v>
      </c>
      <c r="T276" s="667"/>
    </row>
    <row r="277" spans="1:20" s="508" customFormat="1" ht="45" hidden="1">
      <c r="A277" s="668"/>
      <c r="B277" s="639" t="s">
        <v>3581</v>
      </c>
      <c r="C277" s="534" t="s">
        <v>4281</v>
      </c>
      <c r="D277" s="639" t="s">
        <v>3854</v>
      </c>
      <c r="E277" s="519" t="str">
        <f>IF('GPS Anthro Tool'!$B$5=1,"ECE R129","")</f>
        <v/>
      </c>
      <c r="F277" s="506" t="s">
        <v>4317</v>
      </c>
      <c r="G277" s="639" t="s">
        <v>3686</v>
      </c>
      <c r="H277" s="639" t="s">
        <v>3942</v>
      </c>
      <c r="I277" s="639" t="s">
        <v>3942</v>
      </c>
      <c r="J277" s="513" t="s">
        <v>2957</v>
      </c>
      <c r="K277" s="643" t="s">
        <v>312</v>
      </c>
      <c r="L277" s="526" t="s">
        <v>315</v>
      </c>
      <c r="M277" s="527" t="s">
        <v>315</v>
      </c>
      <c r="N277" s="528" t="s">
        <v>315</v>
      </c>
      <c r="O277" s="663"/>
      <c r="P277" s="529"/>
      <c r="Q277" s="531"/>
      <c r="R277" s="530"/>
      <c r="S277" s="530" t="s">
        <v>315</v>
      </c>
      <c r="T277" s="667"/>
    </row>
    <row r="278" spans="1:20" s="508" customFormat="1" ht="90" hidden="1">
      <c r="A278" s="668"/>
      <c r="B278" s="639" t="s">
        <v>3581</v>
      </c>
      <c r="C278" s="534" t="s">
        <v>4281</v>
      </c>
      <c r="D278" s="639" t="s">
        <v>3855</v>
      </c>
      <c r="E278" s="519" t="str">
        <f>IF('GPS Anthro Tool'!$B$5=1,"ECE R129","")</f>
        <v/>
      </c>
      <c r="F278" s="506" t="s">
        <v>4317</v>
      </c>
      <c r="G278" s="639" t="s">
        <v>3687</v>
      </c>
      <c r="H278" s="639" t="s">
        <v>3943</v>
      </c>
      <c r="I278" s="639" t="s">
        <v>3943</v>
      </c>
      <c r="J278" s="513" t="s">
        <v>2957</v>
      </c>
      <c r="K278" s="643" t="s">
        <v>312</v>
      </c>
      <c r="L278" s="526" t="s">
        <v>315</v>
      </c>
      <c r="M278" s="527" t="s">
        <v>315</v>
      </c>
      <c r="N278" s="528" t="s">
        <v>315</v>
      </c>
      <c r="O278" s="663"/>
      <c r="P278" s="529"/>
      <c r="Q278" s="531"/>
      <c r="R278" s="530"/>
      <c r="S278" s="530" t="s">
        <v>315</v>
      </c>
      <c r="T278" s="667"/>
    </row>
    <row r="279" spans="1:20" s="508" customFormat="1" ht="90" hidden="1">
      <c r="A279" s="668"/>
      <c r="B279" s="639" t="s">
        <v>3581</v>
      </c>
      <c r="C279" s="639" t="s">
        <v>3688</v>
      </c>
      <c r="D279" s="639" t="s">
        <v>3856</v>
      </c>
      <c r="E279" s="519" t="str">
        <f>IF('GPS Anthro Tool'!$B$5=1,"ECE R129","")</f>
        <v/>
      </c>
      <c r="F279" s="506" t="s">
        <v>4317</v>
      </c>
      <c r="G279" s="639" t="s">
        <v>3688</v>
      </c>
      <c r="H279" s="639" t="s">
        <v>3944</v>
      </c>
      <c r="I279" s="639" t="s">
        <v>3944</v>
      </c>
      <c r="J279" s="513" t="s">
        <v>2957</v>
      </c>
      <c r="K279" s="643" t="s">
        <v>312</v>
      </c>
      <c r="L279" s="526" t="s">
        <v>315</v>
      </c>
      <c r="M279" s="527" t="s">
        <v>315</v>
      </c>
      <c r="N279" s="528" t="s">
        <v>315</v>
      </c>
      <c r="O279" s="663"/>
      <c r="P279" s="529"/>
      <c r="Q279" s="531"/>
      <c r="R279" s="530"/>
      <c r="S279" s="530" t="s">
        <v>315</v>
      </c>
      <c r="T279" s="667"/>
    </row>
    <row r="280" spans="1:20" s="508" customFormat="1" ht="30" hidden="1">
      <c r="A280" s="668"/>
      <c r="B280" s="639" t="s">
        <v>3588</v>
      </c>
      <c r="C280" s="639" t="s">
        <v>4283</v>
      </c>
      <c r="D280" s="639" t="s">
        <v>3881</v>
      </c>
      <c r="E280" s="519" t="str">
        <f>IF('GPS Anthro Tool'!$B$5=1,"ECE R129","")</f>
        <v/>
      </c>
      <c r="F280" s="506" t="s">
        <v>4317</v>
      </c>
      <c r="G280" s="639" t="s">
        <v>3748</v>
      </c>
      <c r="H280" s="639"/>
      <c r="I280" s="639"/>
      <c r="J280" s="513" t="s">
        <v>2957</v>
      </c>
      <c r="K280" s="643" t="s">
        <v>312</v>
      </c>
      <c r="L280" s="526" t="s">
        <v>315</v>
      </c>
      <c r="M280" s="527" t="s">
        <v>315</v>
      </c>
      <c r="N280" s="528" t="s">
        <v>315</v>
      </c>
      <c r="O280" s="663"/>
      <c r="P280" s="529"/>
      <c r="Q280" s="531"/>
      <c r="R280" s="530"/>
      <c r="S280" s="530" t="s">
        <v>315</v>
      </c>
      <c r="T280" s="667"/>
    </row>
    <row r="281" spans="1:20" s="508" customFormat="1" ht="30" hidden="1">
      <c r="A281" s="668"/>
      <c r="B281" s="639" t="s">
        <v>3588</v>
      </c>
      <c r="C281" s="639" t="s">
        <v>4284</v>
      </c>
      <c r="D281" s="639" t="s">
        <v>3872</v>
      </c>
      <c r="E281" s="519" t="str">
        <f>IF('GPS Anthro Tool'!$B$5=1,"ECE R129","")</f>
        <v/>
      </c>
      <c r="F281" s="506" t="s">
        <v>4317</v>
      </c>
      <c r="G281" s="639" t="s">
        <v>3739</v>
      </c>
      <c r="H281" s="639"/>
      <c r="I281" s="639"/>
      <c r="J281" s="513" t="s">
        <v>2957</v>
      </c>
      <c r="K281" s="643" t="s">
        <v>312</v>
      </c>
      <c r="L281" s="526" t="s">
        <v>315</v>
      </c>
      <c r="M281" s="527" t="s">
        <v>315</v>
      </c>
      <c r="N281" s="528" t="s">
        <v>315</v>
      </c>
      <c r="O281" s="663"/>
      <c r="P281" s="529"/>
      <c r="Q281" s="531"/>
      <c r="R281" s="530"/>
      <c r="S281" s="530" t="s">
        <v>315</v>
      </c>
      <c r="T281" s="667"/>
    </row>
    <row r="282" spans="1:20" s="508" customFormat="1" ht="30" hidden="1">
      <c r="A282" s="668"/>
      <c r="B282" s="639" t="s">
        <v>3588</v>
      </c>
      <c r="C282" s="639" t="s">
        <v>4283</v>
      </c>
      <c r="D282" s="639" t="s">
        <v>3882</v>
      </c>
      <c r="E282" s="519" t="str">
        <f>IF('GPS Anthro Tool'!$B$5=1,"ECE R129","")</f>
        <v/>
      </c>
      <c r="F282" s="506" t="s">
        <v>4317</v>
      </c>
      <c r="G282" s="639" t="s">
        <v>3749</v>
      </c>
      <c r="H282" s="639"/>
      <c r="I282" s="639"/>
      <c r="J282" s="513" t="s">
        <v>2957</v>
      </c>
      <c r="K282" s="643" t="s">
        <v>312</v>
      </c>
      <c r="L282" s="526" t="s">
        <v>315</v>
      </c>
      <c r="M282" s="527" t="s">
        <v>315</v>
      </c>
      <c r="N282" s="528" t="s">
        <v>315</v>
      </c>
      <c r="O282" s="663"/>
      <c r="P282" s="529"/>
      <c r="Q282" s="531"/>
      <c r="R282" s="530"/>
      <c r="S282" s="530" t="s">
        <v>315</v>
      </c>
      <c r="T282" s="667"/>
    </row>
    <row r="283" spans="1:20" s="508" customFormat="1" ht="30" hidden="1">
      <c r="A283" s="668"/>
      <c r="B283" s="639" t="s">
        <v>3588</v>
      </c>
      <c r="C283" s="639" t="s">
        <v>4283</v>
      </c>
      <c r="D283" s="639" t="s">
        <v>3883</v>
      </c>
      <c r="E283" s="519" t="str">
        <f>IF('GPS Anthro Tool'!$B$5=1,"ECE R129","")</f>
        <v/>
      </c>
      <c r="F283" s="506" t="s">
        <v>4317</v>
      </c>
      <c r="G283" s="639" t="s">
        <v>3750</v>
      </c>
      <c r="H283" s="639"/>
      <c r="I283" s="639"/>
      <c r="J283" s="513" t="s">
        <v>2957</v>
      </c>
      <c r="K283" s="643" t="s">
        <v>312</v>
      </c>
      <c r="L283" s="526" t="s">
        <v>315</v>
      </c>
      <c r="M283" s="527" t="s">
        <v>315</v>
      </c>
      <c r="N283" s="528" t="s">
        <v>315</v>
      </c>
      <c r="O283" s="663"/>
      <c r="P283" s="529"/>
      <c r="Q283" s="531"/>
      <c r="R283" s="530"/>
      <c r="S283" s="530" t="s">
        <v>315</v>
      </c>
      <c r="T283" s="667"/>
    </row>
    <row r="284" spans="1:20" s="508" customFormat="1" ht="15.75" hidden="1">
      <c r="A284" s="668"/>
      <c r="B284" s="639" t="s">
        <v>3588</v>
      </c>
      <c r="C284" s="639" t="s">
        <v>4285</v>
      </c>
      <c r="D284" s="639" t="s">
        <v>3884</v>
      </c>
      <c r="E284" s="519" t="str">
        <f>IF('GPS Anthro Tool'!$B$5=1,"ECE R129","")</f>
        <v/>
      </c>
      <c r="F284" s="506" t="s">
        <v>4317</v>
      </c>
      <c r="G284" s="639" t="s">
        <v>3751</v>
      </c>
      <c r="H284" s="639"/>
      <c r="I284" s="639"/>
      <c r="J284" s="513" t="s">
        <v>2957</v>
      </c>
      <c r="K284" s="643" t="s">
        <v>3771</v>
      </c>
      <c r="L284" s="526" t="s">
        <v>315</v>
      </c>
      <c r="M284" s="527" t="s">
        <v>315</v>
      </c>
      <c r="N284" s="528" t="s">
        <v>315</v>
      </c>
      <c r="O284" s="663"/>
      <c r="P284" s="529"/>
      <c r="Q284" s="531"/>
      <c r="R284" s="530"/>
      <c r="S284" s="530" t="s">
        <v>315</v>
      </c>
      <c r="T284" s="667"/>
    </row>
    <row r="285" spans="1:20" s="508" customFormat="1" ht="15.75" hidden="1">
      <c r="A285" s="668"/>
      <c r="B285" s="639" t="s">
        <v>3588</v>
      </c>
      <c r="C285" s="534" t="s">
        <v>4282</v>
      </c>
      <c r="D285" s="639" t="s">
        <v>3885</v>
      </c>
      <c r="E285" s="519" t="str">
        <f>IF('GPS Anthro Tool'!$B$5=1,"ECE R129","")</f>
        <v/>
      </c>
      <c r="F285" s="506" t="s">
        <v>4317</v>
      </c>
      <c r="G285" s="639" t="s">
        <v>3752</v>
      </c>
      <c r="H285" s="639"/>
      <c r="I285" s="639"/>
      <c r="J285" s="513" t="s">
        <v>2957</v>
      </c>
      <c r="K285" s="643" t="s">
        <v>312</v>
      </c>
      <c r="L285" s="526" t="s">
        <v>315</v>
      </c>
      <c r="M285" s="527" t="s">
        <v>315</v>
      </c>
      <c r="N285" s="528" t="s">
        <v>315</v>
      </c>
      <c r="O285" s="663"/>
      <c r="P285" s="529"/>
      <c r="Q285" s="531"/>
      <c r="R285" s="530"/>
      <c r="S285" s="530" t="s">
        <v>315</v>
      </c>
      <c r="T285" s="667"/>
    </row>
    <row r="286" spans="1:20" s="508" customFormat="1" ht="30" hidden="1">
      <c r="A286" s="668"/>
      <c r="B286" s="639" t="s">
        <v>3588</v>
      </c>
      <c r="C286" s="534" t="s">
        <v>4282</v>
      </c>
      <c r="D286" s="639" t="s">
        <v>3873</v>
      </c>
      <c r="E286" s="519" t="str">
        <f>IF('GPS Anthro Tool'!$B$5=1,"ECE R129","")</f>
        <v/>
      </c>
      <c r="F286" s="506" t="s">
        <v>4317</v>
      </c>
      <c r="G286" s="639" t="s">
        <v>3740</v>
      </c>
      <c r="H286" s="639"/>
      <c r="I286" s="639"/>
      <c r="J286" s="513" t="s">
        <v>2957</v>
      </c>
      <c r="K286" s="643" t="s">
        <v>312</v>
      </c>
      <c r="L286" s="526" t="s">
        <v>315</v>
      </c>
      <c r="M286" s="527" t="s">
        <v>315</v>
      </c>
      <c r="N286" s="528" t="s">
        <v>315</v>
      </c>
      <c r="O286" s="663"/>
      <c r="P286" s="529"/>
      <c r="Q286" s="531"/>
      <c r="R286" s="530"/>
      <c r="S286" s="530" t="s">
        <v>315</v>
      </c>
      <c r="T286" s="667"/>
    </row>
    <row r="287" spans="1:20" s="508" customFormat="1" ht="15.75" hidden="1">
      <c r="A287" s="668"/>
      <c r="B287" s="639" t="s">
        <v>3588</v>
      </c>
      <c r="C287" s="639" t="s">
        <v>4285</v>
      </c>
      <c r="D287" s="639" t="s">
        <v>3874</v>
      </c>
      <c r="E287" s="519" t="str">
        <f>IF('GPS Anthro Tool'!$B$5=1,"ECE R129","")</f>
        <v/>
      </c>
      <c r="F287" s="506" t="s">
        <v>4317</v>
      </c>
      <c r="G287" s="639" t="s">
        <v>3741</v>
      </c>
      <c r="H287" s="639"/>
      <c r="I287" s="639"/>
      <c r="J287" s="513" t="s">
        <v>2957</v>
      </c>
      <c r="K287" s="643" t="s">
        <v>312</v>
      </c>
      <c r="L287" s="526" t="s">
        <v>315</v>
      </c>
      <c r="M287" s="527" t="s">
        <v>315</v>
      </c>
      <c r="N287" s="528" t="s">
        <v>315</v>
      </c>
      <c r="O287" s="663"/>
      <c r="P287" s="529"/>
      <c r="Q287" s="531"/>
      <c r="R287" s="530"/>
      <c r="S287" s="530" t="s">
        <v>315</v>
      </c>
      <c r="T287" s="667"/>
    </row>
    <row r="288" spans="1:20" s="508" customFormat="1" ht="15.75" hidden="1">
      <c r="A288" s="668"/>
      <c r="B288" s="639" t="s">
        <v>3588</v>
      </c>
      <c r="C288" s="639" t="s">
        <v>4285</v>
      </c>
      <c r="D288" s="639" t="s">
        <v>3875</v>
      </c>
      <c r="E288" s="519" t="str">
        <f>IF('GPS Anthro Tool'!$B$5=1,"ECE R129","")</f>
        <v/>
      </c>
      <c r="F288" s="506" t="s">
        <v>4317</v>
      </c>
      <c r="G288" s="639" t="s">
        <v>3742</v>
      </c>
      <c r="H288" s="639"/>
      <c r="I288" s="639"/>
      <c r="J288" s="513" t="s">
        <v>2957</v>
      </c>
      <c r="K288" s="643" t="s">
        <v>312</v>
      </c>
      <c r="L288" s="526" t="s">
        <v>315</v>
      </c>
      <c r="M288" s="527" t="s">
        <v>315</v>
      </c>
      <c r="N288" s="528" t="s">
        <v>315</v>
      </c>
      <c r="O288" s="663"/>
      <c r="P288" s="529"/>
      <c r="Q288" s="531"/>
      <c r="R288" s="530"/>
      <c r="S288" s="530" t="s">
        <v>315</v>
      </c>
      <c r="T288" s="667"/>
    </row>
    <row r="289" spans="1:20" s="508" customFormat="1" ht="15.75" hidden="1">
      <c r="A289" s="668"/>
      <c r="B289" s="639" t="s">
        <v>3588</v>
      </c>
      <c r="C289" s="639" t="s">
        <v>4285</v>
      </c>
      <c r="D289" s="639" t="s">
        <v>3876</v>
      </c>
      <c r="E289" s="519" t="str">
        <f>IF('GPS Anthro Tool'!$B$5=1,"ECE R129","")</f>
        <v/>
      </c>
      <c r="F289" s="506" t="s">
        <v>4317</v>
      </c>
      <c r="G289" s="639" t="s">
        <v>3743</v>
      </c>
      <c r="H289" s="639"/>
      <c r="I289" s="639"/>
      <c r="J289" s="513" t="s">
        <v>2957</v>
      </c>
      <c r="K289" s="643" t="s">
        <v>312</v>
      </c>
      <c r="L289" s="526" t="s">
        <v>315</v>
      </c>
      <c r="M289" s="527" t="s">
        <v>315</v>
      </c>
      <c r="N289" s="528" t="s">
        <v>315</v>
      </c>
      <c r="O289" s="663"/>
      <c r="P289" s="529"/>
      <c r="Q289" s="531"/>
      <c r="R289" s="530"/>
      <c r="S289" s="530" t="s">
        <v>315</v>
      </c>
      <c r="T289" s="667"/>
    </row>
    <row r="290" spans="1:20" s="508" customFormat="1" ht="30" hidden="1">
      <c r="A290" s="668"/>
      <c r="B290" s="639" t="s">
        <v>3588</v>
      </c>
      <c r="C290" s="639" t="s">
        <v>4285</v>
      </c>
      <c r="D290" s="639" t="s">
        <v>3877</v>
      </c>
      <c r="E290" s="519" t="str">
        <f>IF('GPS Anthro Tool'!$B$5=1,"ECE R129","")</f>
        <v/>
      </c>
      <c r="F290" s="506" t="s">
        <v>4317</v>
      </c>
      <c r="G290" s="639" t="s">
        <v>3744</v>
      </c>
      <c r="H290" s="639"/>
      <c r="I290" s="639"/>
      <c r="J290" s="513" t="s">
        <v>2957</v>
      </c>
      <c r="K290" s="643" t="s">
        <v>312</v>
      </c>
      <c r="L290" s="526" t="s">
        <v>315</v>
      </c>
      <c r="M290" s="527" t="s">
        <v>315</v>
      </c>
      <c r="N290" s="528" t="s">
        <v>315</v>
      </c>
      <c r="O290" s="663"/>
      <c r="P290" s="529"/>
      <c r="Q290" s="531"/>
      <c r="R290" s="530"/>
      <c r="S290" s="530" t="s">
        <v>315</v>
      </c>
      <c r="T290" s="667"/>
    </row>
    <row r="291" spans="1:20" s="508" customFormat="1" ht="15.75" hidden="1">
      <c r="A291" s="668"/>
      <c r="B291" s="639" t="s">
        <v>3588</v>
      </c>
      <c r="C291" s="639" t="s">
        <v>4285</v>
      </c>
      <c r="D291" s="639" t="s">
        <v>3878</v>
      </c>
      <c r="E291" s="519" t="str">
        <f>IF('GPS Anthro Tool'!$B$5=1,"ECE R129","")</f>
        <v/>
      </c>
      <c r="F291" s="506" t="s">
        <v>4317</v>
      </c>
      <c r="G291" s="639" t="s">
        <v>3745</v>
      </c>
      <c r="H291" s="639"/>
      <c r="I291" s="639"/>
      <c r="J291" s="513" t="s">
        <v>2957</v>
      </c>
      <c r="K291" s="643" t="s">
        <v>312</v>
      </c>
      <c r="L291" s="526" t="s">
        <v>315</v>
      </c>
      <c r="M291" s="527" t="s">
        <v>315</v>
      </c>
      <c r="N291" s="528" t="s">
        <v>315</v>
      </c>
      <c r="O291" s="663"/>
      <c r="P291" s="529"/>
      <c r="Q291" s="531"/>
      <c r="R291" s="530"/>
      <c r="S291" s="530" t="s">
        <v>315</v>
      </c>
      <c r="T291" s="667"/>
    </row>
    <row r="292" spans="1:20" s="508" customFormat="1" ht="15.75" hidden="1">
      <c r="A292" s="668"/>
      <c r="B292" s="639" t="s">
        <v>3588</v>
      </c>
      <c r="C292" s="639" t="s">
        <v>4285</v>
      </c>
      <c r="D292" s="639" t="s">
        <v>3879</v>
      </c>
      <c r="E292" s="519" t="str">
        <f>IF('GPS Anthro Tool'!$B$5=1,"ECE R129","")</f>
        <v/>
      </c>
      <c r="F292" s="506" t="s">
        <v>4317</v>
      </c>
      <c r="G292" s="639" t="s">
        <v>3746</v>
      </c>
      <c r="H292" s="639"/>
      <c r="I292" s="639"/>
      <c r="J292" s="513" t="s">
        <v>2957</v>
      </c>
      <c r="K292" s="643" t="s">
        <v>312</v>
      </c>
      <c r="L292" s="526" t="s">
        <v>315</v>
      </c>
      <c r="M292" s="527" t="s">
        <v>315</v>
      </c>
      <c r="N292" s="528" t="s">
        <v>315</v>
      </c>
      <c r="O292" s="663"/>
      <c r="P292" s="529"/>
      <c r="Q292" s="531"/>
      <c r="R292" s="530"/>
      <c r="S292" s="530" t="s">
        <v>315</v>
      </c>
      <c r="T292" s="667"/>
    </row>
    <row r="293" spans="1:20" s="508" customFormat="1" ht="15.75" hidden="1">
      <c r="A293" s="668"/>
      <c r="B293" s="639" t="s">
        <v>3588</v>
      </c>
      <c r="C293" s="639" t="s">
        <v>4285</v>
      </c>
      <c r="D293" s="639" t="s">
        <v>3880</v>
      </c>
      <c r="E293" s="519" t="str">
        <f>IF('GPS Anthro Tool'!$B$5=1,"ECE R129","")</f>
        <v/>
      </c>
      <c r="F293" s="506" t="s">
        <v>4317</v>
      </c>
      <c r="G293" s="639" t="s">
        <v>3747</v>
      </c>
      <c r="H293" s="639"/>
      <c r="I293" s="639"/>
      <c r="J293" s="513" t="s">
        <v>2957</v>
      </c>
      <c r="K293" s="643" t="s">
        <v>312</v>
      </c>
      <c r="L293" s="526" t="s">
        <v>315</v>
      </c>
      <c r="M293" s="527" t="s">
        <v>315</v>
      </c>
      <c r="N293" s="528" t="s">
        <v>315</v>
      </c>
      <c r="O293" s="663"/>
      <c r="P293" s="529"/>
      <c r="Q293" s="531"/>
      <c r="R293" s="530"/>
      <c r="S293" s="530" t="s">
        <v>315</v>
      </c>
      <c r="T293" s="667"/>
    </row>
    <row r="294" spans="1:20" s="508" customFormat="1" ht="15.75" hidden="1">
      <c r="A294" s="668"/>
      <c r="B294" s="639" t="s">
        <v>3592</v>
      </c>
      <c r="C294" s="639" t="s">
        <v>4277</v>
      </c>
      <c r="D294" s="639" t="s">
        <v>3889</v>
      </c>
      <c r="E294" s="519" t="str">
        <f>IF('GPS Anthro Tool'!$B$5=1,"ECE R129","")</f>
        <v/>
      </c>
      <c r="F294" s="506" t="s">
        <v>4317</v>
      </c>
      <c r="G294" s="639" t="s">
        <v>3762</v>
      </c>
      <c r="H294" s="639"/>
      <c r="I294" s="639"/>
      <c r="J294" s="513" t="s">
        <v>2957</v>
      </c>
      <c r="K294" s="643" t="s">
        <v>3771</v>
      </c>
      <c r="L294" s="526" t="s">
        <v>315</v>
      </c>
      <c r="M294" s="527" t="s">
        <v>315</v>
      </c>
      <c r="N294" s="528" t="s">
        <v>315</v>
      </c>
      <c r="O294" s="663"/>
      <c r="P294" s="529"/>
      <c r="Q294" s="531"/>
      <c r="R294" s="530"/>
      <c r="S294" s="530" t="s">
        <v>315</v>
      </c>
      <c r="T294" s="667"/>
    </row>
    <row r="295" spans="1:20" s="508" customFormat="1" ht="15.75" hidden="1">
      <c r="A295" s="668"/>
      <c r="B295" s="639" t="s">
        <v>3592</v>
      </c>
      <c r="C295" s="534" t="s">
        <v>4280</v>
      </c>
      <c r="D295" s="639" t="s">
        <v>3890</v>
      </c>
      <c r="E295" s="519" t="str">
        <f>IF('GPS Anthro Tool'!$B$5=1,"ECE R129","")</f>
        <v/>
      </c>
      <c r="F295" s="506" t="s">
        <v>4317</v>
      </c>
      <c r="G295" s="639" t="s">
        <v>3763</v>
      </c>
      <c r="H295" s="639"/>
      <c r="I295" s="639"/>
      <c r="J295" s="513" t="s">
        <v>2957</v>
      </c>
      <c r="K295" s="643" t="s">
        <v>312</v>
      </c>
      <c r="L295" s="526" t="s">
        <v>315</v>
      </c>
      <c r="M295" s="527" t="s">
        <v>315</v>
      </c>
      <c r="N295" s="528" t="s">
        <v>315</v>
      </c>
      <c r="O295" s="663"/>
      <c r="P295" s="529"/>
      <c r="Q295" s="531"/>
      <c r="R295" s="530"/>
      <c r="S295" s="530" t="s">
        <v>315</v>
      </c>
      <c r="T295" s="667"/>
    </row>
    <row r="296" spans="1:20" s="508" customFormat="1" ht="15.75" hidden="1">
      <c r="A296" s="668"/>
      <c r="B296" s="639" t="s">
        <v>3592</v>
      </c>
      <c r="C296" s="534" t="s">
        <v>4280</v>
      </c>
      <c r="D296" s="639" t="s">
        <v>3891</v>
      </c>
      <c r="E296" s="519" t="str">
        <f>IF('GPS Anthro Tool'!$B$5=1,"ECE R129","")</f>
        <v/>
      </c>
      <c r="F296" s="506" t="s">
        <v>4317</v>
      </c>
      <c r="G296" s="639" t="s">
        <v>3764</v>
      </c>
      <c r="H296" s="639"/>
      <c r="I296" s="639"/>
      <c r="J296" s="513" t="s">
        <v>2957</v>
      </c>
      <c r="K296" s="643" t="s">
        <v>312</v>
      </c>
      <c r="L296" s="526" t="s">
        <v>315</v>
      </c>
      <c r="M296" s="527" t="s">
        <v>315</v>
      </c>
      <c r="N296" s="528" t="s">
        <v>315</v>
      </c>
      <c r="O296" s="663"/>
      <c r="P296" s="529"/>
      <c r="Q296" s="531"/>
      <c r="R296" s="530"/>
      <c r="S296" s="530" t="s">
        <v>315</v>
      </c>
      <c r="T296" s="667"/>
    </row>
    <row r="297" spans="1:20" s="508" customFormat="1" ht="30" hidden="1">
      <c r="A297" s="668"/>
      <c r="B297" s="639" t="s">
        <v>3593</v>
      </c>
      <c r="C297" s="534" t="s">
        <v>4280</v>
      </c>
      <c r="D297" s="639" t="s">
        <v>3892</v>
      </c>
      <c r="E297" s="519" t="str">
        <f>IF('GPS Anthro Tool'!$B$5=1,"ECE R129","")</f>
        <v/>
      </c>
      <c r="F297" s="506" t="s">
        <v>4317</v>
      </c>
      <c r="G297" s="639" t="s">
        <v>3765</v>
      </c>
      <c r="H297" s="639"/>
      <c r="I297" s="639"/>
      <c r="J297" s="513" t="s">
        <v>2957</v>
      </c>
      <c r="K297" s="643" t="s">
        <v>3771</v>
      </c>
      <c r="L297" s="526" t="s">
        <v>315</v>
      </c>
      <c r="M297" s="527" t="s">
        <v>315</v>
      </c>
      <c r="N297" s="528" t="s">
        <v>315</v>
      </c>
      <c r="O297" s="663"/>
      <c r="P297" s="529"/>
      <c r="Q297" s="531"/>
      <c r="R297" s="530"/>
      <c r="S297" s="530" t="s">
        <v>315</v>
      </c>
      <c r="T297" s="667"/>
    </row>
    <row r="298" spans="1:20" s="508" customFormat="1" ht="45" hidden="1">
      <c r="A298" s="668"/>
      <c r="B298" s="639" t="s">
        <v>3593</v>
      </c>
      <c r="C298" s="534" t="s">
        <v>4280</v>
      </c>
      <c r="D298" s="639" t="s">
        <v>3893</v>
      </c>
      <c r="E298" s="519" t="str">
        <f>IF('GPS Anthro Tool'!$B$5=1,"ECE R129","")</f>
        <v/>
      </c>
      <c r="F298" s="506" t="s">
        <v>4317</v>
      </c>
      <c r="G298" s="639" t="s">
        <v>3766</v>
      </c>
      <c r="H298" s="639"/>
      <c r="I298" s="639"/>
      <c r="J298" s="513" t="s">
        <v>2957</v>
      </c>
      <c r="K298" s="643" t="s">
        <v>3771</v>
      </c>
      <c r="L298" s="526" t="s">
        <v>315</v>
      </c>
      <c r="M298" s="527" t="s">
        <v>315</v>
      </c>
      <c r="N298" s="528" t="s">
        <v>315</v>
      </c>
      <c r="O298" s="663"/>
      <c r="P298" s="529"/>
      <c r="Q298" s="531"/>
      <c r="R298" s="530"/>
      <c r="S298" s="530" t="s">
        <v>315</v>
      </c>
      <c r="T298" s="667"/>
    </row>
    <row r="299" spans="1:20" s="508" customFormat="1" ht="15.75" hidden="1">
      <c r="A299" s="668"/>
      <c r="B299" s="639" t="s">
        <v>3593</v>
      </c>
      <c r="C299" s="639" t="s">
        <v>4277</v>
      </c>
      <c r="D299" s="639" t="s">
        <v>3894</v>
      </c>
      <c r="E299" s="519" t="str">
        <f>IF('GPS Anthro Tool'!$B$5=1,"ECE R129","")</f>
        <v/>
      </c>
      <c r="F299" s="506" t="s">
        <v>4317</v>
      </c>
      <c r="G299" s="639" t="s">
        <v>3767</v>
      </c>
      <c r="H299" s="639"/>
      <c r="I299" s="639"/>
      <c r="J299" s="513" t="s">
        <v>2957</v>
      </c>
      <c r="K299" s="643" t="s">
        <v>3771</v>
      </c>
      <c r="L299" s="526" t="s">
        <v>315</v>
      </c>
      <c r="M299" s="527" t="s">
        <v>315</v>
      </c>
      <c r="N299" s="528" t="s">
        <v>315</v>
      </c>
      <c r="O299" s="663"/>
      <c r="P299" s="529"/>
      <c r="Q299" s="531"/>
      <c r="R299" s="530"/>
      <c r="S299" s="530" t="s">
        <v>315</v>
      </c>
      <c r="T299" s="667"/>
    </row>
    <row r="300" spans="1:20" s="508" customFormat="1" ht="30" hidden="1">
      <c r="A300" s="668"/>
      <c r="B300" s="639" t="s">
        <v>3593</v>
      </c>
      <c r="C300" s="534" t="s">
        <v>4280</v>
      </c>
      <c r="D300" s="639" t="s">
        <v>3895</v>
      </c>
      <c r="E300" s="519" t="str">
        <f>IF('GPS Anthro Tool'!$B$5=1,"ECE R129","")</f>
        <v/>
      </c>
      <c r="F300" s="506" t="s">
        <v>4317</v>
      </c>
      <c r="G300" s="639" t="s">
        <v>3768</v>
      </c>
      <c r="H300" s="639"/>
      <c r="I300" s="639"/>
      <c r="J300" s="513" t="s">
        <v>2957</v>
      </c>
      <c r="K300" s="643" t="s">
        <v>3771</v>
      </c>
      <c r="L300" s="526" t="s">
        <v>315</v>
      </c>
      <c r="M300" s="527" t="s">
        <v>315</v>
      </c>
      <c r="N300" s="528" t="s">
        <v>315</v>
      </c>
      <c r="O300" s="663"/>
      <c r="P300" s="529"/>
      <c r="Q300" s="531"/>
      <c r="R300" s="530"/>
      <c r="S300" s="530" t="s">
        <v>315</v>
      </c>
      <c r="T300" s="667"/>
    </row>
    <row r="301" spans="1:20" s="508" customFormat="1" ht="30" hidden="1">
      <c r="A301" s="668"/>
      <c r="B301" s="639" t="s">
        <v>3593</v>
      </c>
      <c r="C301" s="534" t="s">
        <v>4280</v>
      </c>
      <c r="D301" s="639" t="s">
        <v>3896</v>
      </c>
      <c r="E301" s="519" t="str">
        <f>IF('GPS Anthro Tool'!$B$5=1,"ECE R129","")</f>
        <v/>
      </c>
      <c r="F301" s="506" t="s">
        <v>4317</v>
      </c>
      <c r="G301" s="639" t="s">
        <v>3769</v>
      </c>
      <c r="H301" s="639"/>
      <c r="I301" s="639"/>
      <c r="J301" s="513" t="s">
        <v>2957</v>
      </c>
      <c r="K301" s="643" t="s">
        <v>3771</v>
      </c>
      <c r="L301" s="526" t="s">
        <v>315</v>
      </c>
      <c r="M301" s="527" t="s">
        <v>315</v>
      </c>
      <c r="N301" s="528" t="s">
        <v>315</v>
      </c>
      <c r="O301" s="663"/>
      <c r="P301" s="529"/>
      <c r="Q301" s="531"/>
      <c r="R301" s="530"/>
      <c r="S301" s="530" t="s">
        <v>315</v>
      </c>
      <c r="T301" s="566"/>
    </row>
    <row r="302" spans="1:20" s="508" customFormat="1" ht="30" hidden="1">
      <c r="A302" s="668"/>
      <c r="B302" s="639" t="s">
        <v>3593</v>
      </c>
      <c r="C302" s="534" t="s">
        <v>4280</v>
      </c>
      <c r="D302" s="639" t="s">
        <v>3897</v>
      </c>
      <c r="E302" s="519" t="str">
        <f>IF('GPS Anthro Tool'!$B$5=1,"ECE R129","")</f>
        <v/>
      </c>
      <c r="F302" s="506" t="s">
        <v>4317</v>
      </c>
      <c r="G302" s="639" t="s">
        <v>3770</v>
      </c>
      <c r="H302" s="639"/>
      <c r="I302" s="639"/>
      <c r="J302" s="513" t="s">
        <v>2957</v>
      </c>
      <c r="K302" s="643" t="s">
        <v>3771</v>
      </c>
      <c r="L302" s="526" t="s">
        <v>315</v>
      </c>
      <c r="M302" s="527" t="s">
        <v>315</v>
      </c>
      <c r="N302" s="528" t="s">
        <v>315</v>
      </c>
      <c r="O302" s="663"/>
      <c r="P302" s="529"/>
      <c r="Q302" s="531"/>
      <c r="R302" s="530"/>
      <c r="S302" s="530" t="s">
        <v>315</v>
      </c>
      <c r="T302" s="566"/>
    </row>
    <row r="303" spans="1:20" s="508" customFormat="1" ht="15.75" hidden="1">
      <c r="A303" s="668"/>
      <c r="B303" s="639" t="s">
        <v>3583</v>
      </c>
      <c r="C303" s="534" t="s">
        <v>4280</v>
      </c>
      <c r="D303" s="639" t="s">
        <v>3861</v>
      </c>
      <c r="E303" s="519" t="str">
        <f>IF('GPS Anthro Tool'!$B$5=1,"ECE R129","")</f>
        <v/>
      </c>
      <c r="F303" s="506" t="s">
        <v>4317</v>
      </c>
      <c r="G303" s="639" t="s">
        <v>3699</v>
      </c>
      <c r="H303" s="639" t="s">
        <v>3947</v>
      </c>
      <c r="I303" s="639" t="s">
        <v>3947</v>
      </c>
      <c r="J303" s="513" t="s">
        <v>2957</v>
      </c>
      <c r="K303" s="643" t="s">
        <v>605</v>
      </c>
      <c r="L303" s="526" t="s">
        <v>315</v>
      </c>
      <c r="M303" s="527" t="s">
        <v>315</v>
      </c>
      <c r="N303" s="528" t="s">
        <v>315</v>
      </c>
      <c r="O303" s="663"/>
      <c r="P303" s="529"/>
      <c r="Q303" s="531"/>
      <c r="R303" s="530"/>
      <c r="S303" s="530" t="s">
        <v>315</v>
      </c>
      <c r="T303" s="566"/>
    </row>
    <row r="304" spans="1:20" s="508" customFormat="1" ht="45" hidden="1">
      <c r="A304" s="518"/>
      <c r="B304" s="639" t="s">
        <v>3583</v>
      </c>
      <c r="C304" s="534" t="s">
        <v>4280</v>
      </c>
      <c r="D304" s="639" t="s">
        <v>3871</v>
      </c>
      <c r="E304" s="519" t="str">
        <f>IF('GPS Anthro Tool'!$B$5=1,"ECE R129","")</f>
        <v/>
      </c>
      <c r="F304" s="506" t="s">
        <v>4317</v>
      </c>
      <c r="G304" s="639" t="s">
        <v>3709</v>
      </c>
      <c r="H304" s="639" t="s">
        <v>3954</v>
      </c>
      <c r="I304" s="639" t="s">
        <v>3954</v>
      </c>
      <c r="J304" s="513" t="s">
        <v>2957</v>
      </c>
      <c r="K304" s="643" t="s">
        <v>3771</v>
      </c>
      <c r="L304" s="526" t="s">
        <v>315</v>
      </c>
      <c r="M304" s="527" t="s">
        <v>315</v>
      </c>
      <c r="N304" s="528" t="s">
        <v>315</v>
      </c>
      <c r="O304" s="663"/>
      <c r="P304" s="529"/>
      <c r="Q304" s="531"/>
      <c r="R304" s="530"/>
      <c r="S304" s="530" t="s">
        <v>315</v>
      </c>
      <c r="T304" s="566"/>
    </row>
    <row r="305" spans="1:20" s="508" customFormat="1" ht="45" hidden="1">
      <c r="A305" s="518"/>
      <c r="B305" s="639" t="s">
        <v>3583</v>
      </c>
      <c r="C305" s="639" t="s">
        <v>4277</v>
      </c>
      <c r="D305" s="639" t="s">
        <v>3862</v>
      </c>
      <c r="E305" s="519" t="str">
        <f>IF('GPS Anthro Tool'!$B$5=1,"ECE R129","")</f>
        <v/>
      </c>
      <c r="F305" s="506" t="s">
        <v>4317</v>
      </c>
      <c r="G305" s="639" t="s">
        <v>3700</v>
      </c>
      <c r="H305" s="639"/>
      <c r="I305" s="639" t="s">
        <v>3948</v>
      </c>
      <c r="J305" s="513" t="s">
        <v>2957</v>
      </c>
      <c r="K305" s="643" t="s">
        <v>312</v>
      </c>
      <c r="L305" s="526" t="s">
        <v>315</v>
      </c>
      <c r="M305" s="527" t="s">
        <v>315</v>
      </c>
      <c r="N305" s="528" t="s">
        <v>315</v>
      </c>
      <c r="O305" s="663"/>
      <c r="P305" s="529"/>
      <c r="Q305" s="531"/>
      <c r="R305" s="530"/>
      <c r="S305" s="530" t="s">
        <v>315</v>
      </c>
      <c r="T305" s="566"/>
    </row>
    <row r="306" spans="1:20" s="508" customFormat="1" hidden="1">
      <c r="A306" s="518"/>
      <c r="B306" s="639" t="s">
        <v>3583</v>
      </c>
      <c r="C306" s="534" t="s">
        <v>4280</v>
      </c>
      <c r="D306" s="639" t="s">
        <v>3863</v>
      </c>
      <c r="E306" s="519" t="str">
        <f>IF('GPS Anthro Tool'!$B$5=1,"ECE R129","")</f>
        <v/>
      </c>
      <c r="F306" s="506" t="s">
        <v>4317</v>
      </c>
      <c r="G306" s="639" t="s">
        <v>3701</v>
      </c>
      <c r="H306" s="639" t="s">
        <v>3949</v>
      </c>
      <c r="I306" s="639" t="s">
        <v>3949</v>
      </c>
      <c r="J306" s="513" t="s">
        <v>2957</v>
      </c>
      <c r="K306" s="643" t="s">
        <v>312</v>
      </c>
      <c r="L306" s="526" t="s">
        <v>315</v>
      </c>
      <c r="M306" s="527" t="s">
        <v>315</v>
      </c>
      <c r="N306" s="528" t="s">
        <v>315</v>
      </c>
      <c r="O306" s="663"/>
      <c r="P306" s="529"/>
      <c r="Q306" s="531"/>
      <c r="R306" s="530"/>
      <c r="S306" s="530" t="s">
        <v>315</v>
      </c>
      <c r="T306" s="566"/>
    </row>
    <row r="307" spans="1:20" s="508" customFormat="1" ht="45" hidden="1">
      <c r="A307" s="518"/>
      <c r="B307" s="639" t="s">
        <v>3583</v>
      </c>
      <c r="C307" s="534" t="s">
        <v>4280</v>
      </c>
      <c r="D307" s="639" t="s">
        <v>3864</v>
      </c>
      <c r="E307" s="519" t="str">
        <f>IF('GPS Anthro Tool'!$B$5=1,"ECE R129","")</f>
        <v/>
      </c>
      <c r="F307" s="506" t="s">
        <v>4317</v>
      </c>
      <c r="G307" s="639" t="s">
        <v>3702</v>
      </c>
      <c r="H307" s="639"/>
      <c r="I307" s="639" t="s">
        <v>3948</v>
      </c>
      <c r="J307" s="513" t="s">
        <v>2957</v>
      </c>
      <c r="K307" s="643" t="s">
        <v>312</v>
      </c>
      <c r="L307" s="526" t="s">
        <v>315</v>
      </c>
      <c r="M307" s="527" t="s">
        <v>315</v>
      </c>
      <c r="N307" s="528" t="s">
        <v>315</v>
      </c>
      <c r="O307" s="663"/>
      <c r="P307" s="529"/>
      <c r="Q307" s="531"/>
      <c r="R307" s="530"/>
      <c r="S307" s="530" t="s">
        <v>315</v>
      </c>
      <c r="T307" s="566"/>
    </row>
    <row r="308" spans="1:20" s="508" customFormat="1" hidden="1">
      <c r="A308" s="518"/>
      <c r="B308" s="639" t="s">
        <v>3583</v>
      </c>
      <c r="C308" s="534" t="s">
        <v>4280</v>
      </c>
      <c r="D308" s="639" t="s">
        <v>3865</v>
      </c>
      <c r="E308" s="519" t="str">
        <f>IF('GPS Anthro Tool'!$B$5=1,"ECE R129","")</f>
        <v/>
      </c>
      <c r="F308" s="506" t="s">
        <v>4317</v>
      </c>
      <c r="G308" s="639" t="s">
        <v>3703</v>
      </c>
      <c r="H308" s="639" t="s">
        <v>3950</v>
      </c>
      <c r="I308" s="639" t="s">
        <v>3950</v>
      </c>
      <c r="J308" s="513" t="s">
        <v>2957</v>
      </c>
      <c r="K308" s="643" t="s">
        <v>312</v>
      </c>
      <c r="L308" s="526" t="s">
        <v>315</v>
      </c>
      <c r="M308" s="527" t="s">
        <v>315</v>
      </c>
      <c r="N308" s="528" t="s">
        <v>315</v>
      </c>
      <c r="O308" s="663"/>
      <c r="P308" s="529"/>
      <c r="Q308" s="531"/>
      <c r="R308" s="530"/>
      <c r="S308" s="530" t="s">
        <v>315</v>
      </c>
      <c r="T308" s="566"/>
    </row>
    <row r="309" spans="1:20" s="508" customFormat="1" hidden="1">
      <c r="A309" s="518"/>
      <c r="B309" s="639" t="s">
        <v>3583</v>
      </c>
      <c r="C309" s="534" t="s">
        <v>4280</v>
      </c>
      <c r="D309" s="639" t="s">
        <v>3866</v>
      </c>
      <c r="E309" s="519" t="str">
        <f>IF('GPS Anthro Tool'!$B$5=1,"ECE R129","")</f>
        <v/>
      </c>
      <c r="F309" s="506" t="s">
        <v>4317</v>
      </c>
      <c r="G309" s="639" t="s">
        <v>3704</v>
      </c>
      <c r="H309" s="639" t="s">
        <v>3951</v>
      </c>
      <c r="I309" s="639" t="s">
        <v>3951</v>
      </c>
      <c r="J309" s="513" t="s">
        <v>2957</v>
      </c>
      <c r="K309" s="643" t="s">
        <v>312</v>
      </c>
      <c r="L309" s="526" t="s">
        <v>315</v>
      </c>
      <c r="M309" s="527" t="s">
        <v>315</v>
      </c>
      <c r="N309" s="528" t="s">
        <v>315</v>
      </c>
      <c r="O309" s="663"/>
      <c r="P309" s="529"/>
      <c r="Q309" s="531"/>
      <c r="R309" s="530"/>
      <c r="S309" s="530" t="s">
        <v>315</v>
      </c>
      <c r="T309" s="566"/>
    </row>
    <row r="310" spans="1:20" s="508" customFormat="1" ht="45" hidden="1">
      <c r="A310" s="518"/>
      <c r="B310" s="639" t="s">
        <v>3583</v>
      </c>
      <c r="C310" s="639" t="s">
        <v>4277</v>
      </c>
      <c r="D310" s="639" t="s">
        <v>3867</v>
      </c>
      <c r="E310" s="519" t="str">
        <f>IF('GPS Anthro Tool'!$B$5=1,"ECE R129","")</f>
        <v/>
      </c>
      <c r="F310" s="506" t="s">
        <v>4317</v>
      </c>
      <c r="G310" s="639" t="s">
        <v>3705</v>
      </c>
      <c r="H310" s="639"/>
      <c r="I310" s="639" t="s">
        <v>3948</v>
      </c>
      <c r="J310" s="513" t="s">
        <v>2957</v>
      </c>
      <c r="K310" s="643" t="s">
        <v>312</v>
      </c>
      <c r="L310" s="526" t="s">
        <v>315</v>
      </c>
      <c r="M310" s="527" t="s">
        <v>315</v>
      </c>
      <c r="N310" s="528" t="s">
        <v>315</v>
      </c>
      <c r="O310" s="663"/>
      <c r="P310" s="529"/>
      <c r="Q310" s="531"/>
      <c r="R310" s="530"/>
      <c r="S310" s="530" t="s">
        <v>315</v>
      </c>
      <c r="T310" s="566"/>
    </row>
    <row r="311" spans="1:20" s="508" customFormat="1" ht="30" hidden="1">
      <c r="A311" s="518"/>
      <c r="B311" s="639" t="s">
        <v>3583</v>
      </c>
      <c r="C311" s="534" t="s">
        <v>4282</v>
      </c>
      <c r="D311" s="639" t="s">
        <v>3868</v>
      </c>
      <c r="E311" s="519" t="str">
        <f>IF('GPS Anthro Tool'!$B$5=1,"ECE R129","")</f>
        <v/>
      </c>
      <c r="F311" s="506" t="s">
        <v>4317</v>
      </c>
      <c r="G311" s="639" t="s">
        <v>3706</v>
      </c>
      <c r="H311" s="639" t="s">
        <v>3952</v>
      </c>
      <c r="I311" s="639" t="s">
        <v>3952</v>
      </c>
      <c r="J311" s="513" t="s">
        <v>2957</v>
      </c>
      <c r="K311" s="643" t="s">
        <v>3771</v>
      </c>
      <c r="L311" s="526" t="s">
        <v>315</v>
      </c>
      <c r="M311" s="527" t="s">
        <v>315</v>
      </c>
      <c r="N311" s="528" t="s">
        <v>315</v>
      </c>
      <c r="O311" s="663"/>
      <c r="P311" s="529"/>
      <c r="Q311" s="531"/>
      <c r="R311" s="530"/>
      <c r="S311" s="530" t="s">
        <v>315</v>
      </c>
      <c r="T311" s="566"/>
    </row>
    <row r="312" spans="1:20" s="508" customFormat="1" ht="45" hidden="1">
      <c r="A312" s="518"/>
      <c r="B312" s="639" t="s">
        <v>3583</v>
      </c>
      <c r="C312" s="534" t="s">
        <v>4280</v>
      </c>
      <c r="D312" s="639" t="s">
        <v>3869</v>
      </c>
      <c r="E312" s="519" t="str">
        <f>IF('GPS Anthro Tool'!$B$5=1,"ECE R129","")</f>
        <v/>
      </c>
      <c r="F312" s="506" t="s">
        <v>4317</v>
      </c>
      <c r="G312" s="639" t="s">
        <v>3707</v>
      </c>
      <c r="H312" s="639" t="s">
        <v>3949</v>
      </c>
      <c r="I312" s="639" t="s">
        <v>3949</v>
      </c>
      <c r="J312" s="513" t="s">
        <v>2957</v>
      </c>
      <c r="K312" s="643" t="s">
        <v>312</v>
      </c>
      <c r="L312" s="526" t="s">
        <v>315</v>
      </c>
      <c r="M312" s="527" t="s">
        <v>315</v>
      </c>
      <c r="N312" s="528" t="s">
        <v>315</v>
      </c>
      <c r="O312" s="663"/>
      <c r="P312" s="529"/>
      <c r="Q312" s="531"/>
      <c r="R312" s="530"/>
      <c r="S312" s="530" t="s">
        <v>315</v>
      </c>
      <c r="T312" s="566"/>
    </row>
    <row r="313" spans="1:20" s="508" customFormat="1" ht="45" hidden="1">
      <c r="A313" s="518"/>
      <c r="B313" s="639" t="s">
        <v>3583</v>
      </c>
      <c r="C313" s="534" t="s">
        <v>4280</v>
      </c>
      <c r="D313" s="639" t="s">
        <v>3870</v>
      </c>
      <c r="E313" s="519" t="str">
        <f>IF('GPS Anthro Tool'!$B$5=1,"ECE R129","")</f>
        <v/>
      </c>
      <c r="F313" s="506" t="s">
        <v>4317</v>
      </c>
      <c r="G313" s="639" t="s">
        <v>3708</v>
      </c>
      <c r="H313" s="639" t="s">
        <v>3953</v>
      </c>
      <c r="I313" s="639" t="s">
        <v>3953</v>
      </c>
      <c r="J313" s="513" t="s">
        <v>2957</v>
      </c>
      <c r="K313" s="643" t="s">
        <v>3771</v>
      </c>
      <c r="L313" s="526" t="s">
        <v>315</v>
      </c>
      <c r="M313" s="527" t="s">
        <v>315</v>
      </c>
      <c r="N313" s="528" t="s">
        <v>315</v>
      </c>
      <c r="O313" s="663"/>
      <c r="P313" s="529"/>
      <c r="Q313" s="531"/>
      <c r="R313" s="530"/>
      <c r="S313" s="530" t="s">
        <v>315</v>
      </c>
      <c r="T313" s="566"/>
    </row>
    <row r="314" spans="1:20" s="508" customFormat="1" ht="45" hidden="1">
      <c r="A314" s="518"/>
      <c r="B314" s="639" t="s">
        <v>3583</v>
      </c>
      <c r="C314" s="639" t="s">
        <v>4277</v>
      </c>
      <c r="D314" s="639" t="s">
        <v>3859</v>
      </c>
      <c r="E314" s="519" t="str">
        <f>IF('GPS Anthro Tool'!$B$5=1,"ECE R129","")</f>
        <v/>
      </c>
      <c r="F314" s="506" t="s">
        <v>4317</v>
      </c>
      <c r="G314" s="639" t="s">
        <v>3695</v>
      </c>
      <c r="H314" s="639"/>
      <c r="I314" s="639" t="s">
        <v>3945</v>
      </c>
      <c r="J314" s="513" t="s">
        <v>2957</v>
      </c>
      <c r="K314" s="643" t="s">
        <v>312</v>
      </c>
      <c r="L314" s="526" t="s">
        <v>315</v>
      </c>
      <c r="M314" s="527" t="s">
        <v>315</v>
      </c>
      <c r="N314" s="528" t="s">
        <v>315</v>
      </c>
      <c r="O314" s="663"/>
      <c r="P314" s="529"/>
      <c r="Q314" s="531"/>
      <c r="R314" s="530"/>
      <c r="S314" s="530" t="s">
        <v>315</v>
      </c>
      <c r="T314" s="566"/>
    </row>
    <row r="315" spans="1:20" s="508" customFormat="1" hidden="1">
      <c r="A315" s="518"/>
      <c r="B315" s="639" t="s">
        <v>3583</v>
      </c>
      <c r="C315" s="639" t="s">
        <v>4286</v>
      </c>
      <c r="D315" s="639" t="s">
        <v>3860</v>
      </c>
      <c r="E315" s="519" t="str">
        <f>IF('GPS Anthro Tool'!$B$5=1,"ECE R129","")</f>
        <v/>
      </c>
      <c r="F315" s="506" t="s">
        <v>4317</v>
      </c>
      <c r="G315" s="639" t="s">
        <v>3696</v>
      </c>
      <c r="H315" s="639"/>
      <c r="I315" s="639" t="s">
        <v>3946</v>
      </c>
      <c r="J315" s="513" t="s">
        <v>2957</v>
      </c>
      <c r="K315" s="643" t="s">
        <v>312</v>
      </c>
      <c r="L315" s="526" t="s">
        <v>315</v>
      </c>
      <c r="M315" s="527" t="s">
        <v>315</v>
      </c>
      <c r="N315" s="528" t="s">
        <v>315</v>
      </c>
      <c r="O315" s="663"/>
      <c r="P315" s="529"/>
      <c r="Q315" s="531"/>
      <c r="R315" s="530"/>
      <c r="S315" s="530" t="s">
        <v>315</v>
      </c>
      <c r="T315" s="566"/>
    </row>
    <row r="316" spans="1:20" s="508" customFormat="1" ht="30" hidden="1">
      <c r="A316" s="518"/>
      <c r="B316" s="639" t="s">
        <v>3589</v>
      </c>
      <c r="C316" s="639" t="s">
        <v>3755</v>
      </c>
      <c r="D316" s="639" t="s">
        <v>3886</v>
      </c>
      <c r="E316" s="519" t="str">
        <f>IF('GPS Anthro Tool'!$B$5=1,"ECE R129","")</f>
        <v/>
      </c>
      <c r="F316" s="506" t="s">
        <v>4317</v>
      </c>
      <c r="G316" s="639" t="s">
        <v>3755</v>
      </c>
      <c r="H316" s="639"/>
      <c r="I316" s="639"/>
      <c r="J316" s="513" t="s">
        <v>2957</v>
      </c>
      <c r="K316" s="643" t="s">
        <v>605</v>
      </c>
      <c r="L316" s="526" t="s">
        <v>315</v>
      </c>
      <c r="M316" s="527" t="s">
        <v>315</v>
      </c>
      <c r="N316" s="528" t="s">
        <v>315</v>
      </c>
      <c r="O316" s="663"/>
      <c r="P316" s="529"/>
      <c r="Q316" s="531"/>
      <c r="R316" s="530"/>
      <c r="S316" s="530" t="s">
        <v>315</v>
      </c>
      <c r="T316" s="566"/>
    </row>
    <row r="317" spans="1:20" s="508" customFormat="1" ht="45" hidden="1">
      <c r="A317" s="518"/>
      <c r="B317" s="639" t="s">
        <v>3576</v>
      </c>
      <c r="C317" s="534" t="s">
        <v>4280</v>
      </c>
      <c r="D317" s="639" t="s">
        <v>3816</v>
      </c>
      <c r="E317" s="519" t="str">
        <f>IF('GPS Anthro Tool'!$B$5=1,"ECE R129","")</f>
        <v/>
      </c>
      <c r="F317" s="506" t="s">
        <v>4317</v>
      </c>
      <c r="G317" s="639" t="s">
        <v>3647</v>
      </c>
      <c r="H317" s="639"/>
      <c r="I317" s="639"/>
      <c r="J317" s="513" t="s">
        <v>2957</v>
      </c>
      <c r="K317" s="643" t="s">
        <v>3771</v>
      </c>
      <c r="L317" s="526" t="s">
        <v>315</v>
      </c>
      <c r="M317" s="527" t="s">
        <v>315</v>
      </c>
      <c r="N317" s="528" t="s">
        <v>315</v>
      </c>
      <c r="O317" s="663"/>
      <c r="P317" s="529"/>
      <c r="Q317" s="531"/>
      <c r="R317" s="530"/>
      <c r="S317" s="530" t="s">
        <v>315</v>
      </c>
      <c r="T317" s="566"/>
    </row>
    <row r="318" spans="1:20" s="508" customFormat="1" ht="60" hidden="1">
      <c r="A318" s="518"/>
      <c r="B318" s="639" t="s">
        <v>3575</v>
      </c>
      <c r="C318" s="534" t="s">
        <v>3628</v>
      </c>
      <c r="D318" s="639" t="s">
        <v>3801</v>
      </c>
      <c r="E318" s="519" t="str">
        <f>IF('GPS Anthro Tool'!$B$5=1,"ECE R129","")</f>
        <v/>
      </c>
      <c r="F318" s="506" t="s">
        <v>4317</v>
      </c>
      <c r="G318" s="534" t="s">
        <v>3628</v>
      </c>
      <c r="H318" s="534"/>
      <c r="I318" s="534"/>
      <c r="J318" s="513" t="s">
        <v>2957</v>
      </c>
      <c r="K318" s="525" t="s">
        <v>312</v>
      </c>
      <c r="L318" s="526" t="s">
        <v>315</v>
      </c>
      <c r="M318" s="527" t="s">
        <v>315</v>
      </c>
      <c r="N318" s="528" t="s">
        <v>315</v>
      </c>
      <c r="O318" s="663"/>
      <c r="P318" s="529"/>
      <c r="Q318" s="531"/>
      <c r="R318" s="530"/>
      <c r="S318" s="530" t="s">
        <v>315</v>
      </c>
      <c r="T318" s="566"/>
    </row>
    <row r="319" spans="1:20" s="508" customFormat="1" hidden="1">
      <c r="A319" s="518"/>
      <c r="B319" s="639" t="s">
        <v>2963</v>
      </c>
      <c r="C319" s="636" t="s">
        <v>4287</v>
      </c>
      <c r="D319" s="639" t="s">
        <v>3801</v>
      </c>
      <c r="E319" s="519" t="str">
        <f>IF('GPS Anthro Tool'!$B$5=1,"ECE R129","")</f>
        <v/>
      </c>
      <c r="F319" s="506" t="s">
        <v>4317</v>
      </c>
      <c r="G319" s="636" t="s">
        <v>3623</v>
      </c>
      <c r="H319" s="636"/>
      <c r="I319" s="636"/>
      <c r="J319" s="513" t="s">
        <v>2957</v>
      </c>
      <c r="K319" s="646" t="s">
        <v>312</v>
      </c>
      <c r="L319" s="526" t="s">
        <v>315</v>
      </c>
      <c r="M319" s="527" t="s">
        <v>315</v>
      </c>
      <c r="N319" s="528" t="s">
        <v>315</v>
      </c>
      <c r="O319" s="663"/>
      <c r="P319" s="529"/>
      <c r="Q319" s="531"/>
      <c r="R319" s="530"/>
      <c r="S319" s="530" t="s">
        <v>315</v>
      </c>
      <c r="T319" s="566"/>
    </row>
    <row r="320" spans="1:20" s="508" customFormat="1" ht="45" hidden="1">
      <c r="A320" s="518"/>
      <c r="B320" s="639" t="s">
        <v>3585</v>
      </c>
      <c r="C320" s="636" t="s">
        <v>4287</v>
      </c>
      <c r="D320" s="639" t="s">
        <v>3801</v>
      </c>
      <c r="E320" s="519" t="str">
        <f>IF('GPS Anthro Tool'!$B$5=1,"ECE R129","")</f>
        <v/>
      </c>
      <c r="F320" s="506" t="s">
        <v>4317</v>
      </c>
      <c r="G320" s="639" t="s">
        <v>3724</v>
      </c>
      <c r="H320" s="639"/>
      <c r="I320" s="639"/>
      <c r="J320" s="513" t="s">
        <v>2957</v>
      </c>
      <c r="K320" s="643" t="s">
        <v>312</v>
      </c>
      <c r="L320" s="526" t="s">
        <v>315</v>
      </c>
      <c r="M320" s="527" t="s">
        <v>315</v>
      </c>
      <c r="N320" s="528" t="s">
        <v>315</v>
      </c>
      <c r="O320" s="663"/>
      <c r="P320" s="529"/>
      <c r="Q320" s="531"/>
      <c r="R320" s="530"/>
      <c r="S320" s="530" t="s">
        <v>315</v>
      </c>
      <c r="T320" s="566"/>
    </row>
    <row r="321" spans="1:20" s="508" customFormat="1" ht="30" hidden="1">
      <c r="A321" s="518"/>
      <c r="B321" s="639" t="s">
        <v>3578</v>
      </c>
      <c r="C321" s="636" t="s">
        <v>4287</v>
      </c>
      <c r="D321" s="639" t="s">
        <v>3838</v>
      </c>
      <c r="E321" s="519" t="str">
        <f>IF('GPS Anthro Tool'!$B$5=1,"ECE R129","")</f>
        <v/>
      </c>
      <c r="F321" s="506" t="s">
        <v>4317</v>
      </c>
      <c r="G321" s="639" t="s">
        <v>3670</v>
      </c>
      <c r="H321" s="639"/>
      <c r="I321" s="639"/>
      <c r="J321" s="513" t="s">
        <v>2957</v>
      </c>
      <c r="K321" s="643" t="s">
        <v>3771</v>
      </c>
      <c r="L321" s="526" t="s">
        <v>315</v>
      </c>
      <c r="M321" s="527" t="s">
        <v>315</v>
      </c>
      <c r="N321" s="528" t="s">
        <v>315</v>
      </c>
      <c r="O321" s="663"/>
      <c r="P321" s="529"/>
      <c r="Q321" s="531"/>
      <c r="R321" s="530"/>
      <c r="S321" s="530" t="s">
        <v>315</v>
      </c>
      <c r="T321" s="566"/>
    </row>
    <row r="322" spans="1:20" s="508" customFormat="1" ht="30" hidden="1">
      <c r="A322" s="518"/>
      <c r="B322" s="639" t="s">
        <v>3587</v>
      </c>
      <c r="C322" s="636" t="s">
        <v>4287</v>
      </c>
      <c r="D322" s="639" t="s">
        <v>3838</v>
      </c>
      <c r="E322" s="519" t="str">
        <f>IF('GPS Anthro Tool'!$B$5=1,"ECE R129","")</f>
        <v/>
      </c>
      <c r="F322" s="506" t="s">
        <v>4317</v>
      </c>
      <c r="G322" s="639" t="s">
        <v>3738</v>
      </c>
      <c r="H322" s="639"/>
      <c r="I322" s="639"/>
      <c r="J322" s="513" t="s">
        <v>2957</v>
      </c>
      <c r="K322" s="643" t="s">
        <v>312</v>
      </c>
      <c r="L322" s="526" t="s">
        <v>315</v>
      </c>
      <c r="M322" s="527" t="s">
        <v>315</v>
      </c>
      <c r="N322" s="528" t="s">
        <v>315</v>
      </c>
      <c r="O322" s="663"/>
      <c r="P322" s="529"/>
      <c r="Q322" s="531"/>
      <c r="R322" s="530"/>
      <c r="S322" s="530" t="s">
        <v>315</v>
      </c>
      <c r="T322" s="667"/>
    </row>
    <row r="323" spans="1:20" s="508" customFormat="1" ht="60" hidden="1">
      <c r="A323" s="518"/>
      <c r="B323" s="639" t="s">
        <v>3590</v>
      </c>
      <c r="C323" s="636" t="s">
        <v>4287</v>
      </c>
      <c r="D323" s="639" t="s">
        <v>3888</v>
      </c>
      <c r="E323" s="519" t="str">
        <f>IF('GPS Anthro Tool'!$B$5=1,"ECE R129","")</f>
        <v/>
      </c>
      <c r="F323" s="506" t="s">
        <v>4317</v>
      </c>
      <c r="G323" s="639" t="s">
        <v>3757</v>
      </c>
      <c r="H323" s="639"/>
      <c r="I323" s="639"/>
      <c r="J323" s="513" t="s">
        <v>2957</v>
      </c>
      <c r="K323" s="643" t="s">
        <v>312</v>
      </c>
      <c r="L323" s="526" t="s">
        <v>315</v>
      </c>
      <c r="M323" s="527" t="s">
        <v>315</v>
      </c>
      <c r="N323" s="528" t="s">
        <v>315</v>
      </c>
      <c r="O323" s="663"/>
      <c r="P323" s="529"/>
      <c r="Q323" s="531"/>
      <c r="R323" s="530"/>
      <c r="S323" s="530" t="s">
        <v>315</v>
      </c>
      <c r="T323" s="667"/>
    </row>
    <row r="324" spans="1:20" s="508" customFormat="1" ht="30" hidden="1">
      <c r="A324" s="518"/>
      <c r="B324" s="639" t="s">
        <v>3589</v>
      </c>
      <c r="C324" s="639" t="s">
        <v>4288</v>
      </c>
      <c r="D324" s="642" t="s">
        <v>3887</v>
      </c>
      <c r="E324" s="519" t="str">
        <f>IF('GPS Anthro Tool'!$B$5=1,"ECE R129","")</f>
        <v/>
      </c>
      <c r="F324" s="506" t="s">
        <v>4317</v>
      </c>
      <c r="G324" s="639" t="s">
        <v>3756</v>
      </c>
      <c r="H324" s="639"/>
      <c r="I324" s="639"/>
      <c r="J324" s="513" t="s">
        <v>2957</v>
      </c>
      <c r="K324" s="643" t="s">
        <v>605</v>
      </c>
      <c r="L324" s="526" t="s">
        <v>315</v>
      </c>
      <c r="M324" s="527" t="s">
        <v>315</v>
      </c>
      <c r="N324" s="528" t="s">
        <v>315</v>
      </c>
      <c r="O324" s="663"/>
      <c r="P324" s="529"/>
      <c r="Q324" s="531"/>
      <c r="R324" s="530"/>
      <c r="S324" s="530" t="s">
        <v>315</v>
      </c>
      <c r="T324" s="667"/>
    </row>
    <row r="325" spans="1:20" s="508" customFormat="1" ht="60" hidden="1">
      <c r="A325" s="518"/>
      <c r="B325" s="639" t="s">
        <v>3582</v>
      </c>
      <c r="C325" s="534" t="s">
        <v>4280</v>
      </c>
      <c r="D325" s="639" t="s">
        <v>3858</v>
      </c>
      <c r="E325" s="519" t="str">
        <f>IF('GPS Anthro Tool'!$B$5=1,"ECE R129","")</f>
        <v/>
      </c>
      <c r="F325" s="506" t="s">
        <v>4317</v>
      </c>
      <c r="G325" s="640" t="s">
        <v>3690</v>
      </c>
      <c r="H325" s="640"/>
      <c r="I325" s="640"/>
      <c r="J325" s="513" t="s">
        <v>2957</v>
      </c>
      <c r="K325" s="652" t="s">
        <v>3771</v>
      </c>
      <c r="L325" s="526" t="s">
        <v>315</v>
      </c>
      <c r="M325" s="527" t="s">
        <v>315</v>
      </c>
      <c r="N325" s="528" t="s">
        <v>315</v>
      </c>
      <c r="O325" s="663"/>
      <c r="P325" s="529"/>
      <c r="Q325" s="531"/>
      <c r="R325" s="530"/>
      <c r="S325" s="530" t="s">
        <v>315</v>
      </c>
      <c r="T325" s="667"/>
    </row>
    <row r="326" spans="1:20" s="508" customFormat="1" ht="45" hidden="1">
      <c r="A326" s="518"/>
      <c r="B326" s="639" t="s">
        <v>3576</v>
      </c>
      <c r="C326" s="636" t="s">
        <v>4287</v>
      </c>
      <c r="D326" s="639" t="s">
        <v>3815</v>
      </c>
      <c r="E326" s="519" t="str">
        <f>IF('GPS Anthro Tool'!$B$5=1,"ECE R129","")</f>
        <v/>
      </c>
      <c r="F326" s="506" t="s">
        <v>4317</v>
      </c>
      <c r="G326" s="639" t="s">
        <v>3644</v>
      </c>
      <c r="H326" s="639" t="s">
        <v>3924</v>
      </c>
      <c r="I326" s="639" t="s">
        <v>3924</v>
      </c>
      <c r="J326" s="513" t="s">
        <v>2957</v>
      </c>
      <c r="K326" s="643" t="s">
        <v>3771</v>
      </c>
      <c r="L326" s="526" t="s">
        <v>315</v>
      </c>
      <c r="M326" s="527" t="s">
        <v>315</v>
      </c>
      <c r="N326" s="528" t="s">
        <v>315</v>
      </c>
      <c r="O326" s="663"/>
      <c r="P326" s="529"/>
      <c r="Q326" s="531"/>
      <c r="R326" s="530"/>
      <c r="S326" s="530" t="s">
        <v>315</v>
      </c>
      <c r="T326" s="667"/>
    </row>
    <row r="327" spans="1:20" s="508" customFormat="1" ht="45" hidden="1">
      <c r="A327" s="518"/>
      <c r="B327" s="639" t="s">
        <v>3586</v>
      </c>
      <c r="C327" s="639" t="s">
        <v>2104</v>
      </c>
      <c r="D327" s="639" t="s">
        <v>3857</v>
      </c>
      <c r="E327" s="519" t="str">
        <f>IF('GPS Anthro Tool'!$B$5=1,"ECE R129","")</f>
        <v/>
      </c>
      <c r="F327" s="506" t="s">
        <v>4317</v>
      </c>
      <c r="G327" s="639" t="s">
        <v>3732</v>
      </c>
      <c r="H327" s="639"/>
      <c r="I327" s="639"/>
      <c r="J327" s="513" t="s">
        <v>3960</v>
      </c>
      <c r="K327" s="643" t="s">
        <v>605</v>
      </c>
      <c r="L327" s="526" t="s">
        <v>315</v>
      </c>
      <c r="M327" s="527" t="s">
        <v>315</v>
      </c>
      <c r="N327" s="528" t="s">
        <v>315</v>
      </c>
      <c r="O327" s="663"/>
      <c r="P327" s="529"/>
      <c r="Q327" s="531"/>
      <c r="R327" s="530"/>
      <c r="S327" s="530" t="s">
        <v>315</v>
      </c>
      <c r="T327" s="667"/>
    </row>
    <row r="328" spans="1:20" s="508" customFormat="1" ht="30" hidden="1">
      <c r="A328" s="518"/>
      <c r="B328" s="639" t="s">
        <v>3589</v>
      </c>
      <c r="C328" s="639" t="s">
        <v>2104</v>
      </c>
      <c r="D328" s="639" t="s">
        <v>3857</v>
      </c>
      <c r="E328" s="519" t="str">
        <f>IF('GPS Anthro Tool'!$B$5=1,"ECE R129","")</f>
        <v/>
      </c>
      <c r="F328" s="506" t="s">
        <v>4317</v>
      </c>
      <c r="G328" s="639" t="s">
        <v>3754</v>
      </c>
      <c r="H328" s="639"/>
      <c r="I328" s="639"/>
      <c r="J328" s="513" t="s">
        <v>3960</v>
      </c>
      <c r="K328" s="643" t="s">
        <v>605</v>
      </c>
      <c r="L328" s="526" t="s">
        <v>315</v>
      </c>
      <c r="M328" s="527" t="s">
        <v>315</v>
      </c>
      <c r="N328" s="528" t="s">
        <v>315</v>
      </c>
      <c r="O328" s="663"/>
      <c r="P328" s="529"/>
      <c r="Q328" s="531"/>
      <c r="R328" s="530"/>
      <c r="S328" s="530" t="s">
        <v>315</v>
      </c>
      <c r="T328" s="667"/>
    </row>
    <row r="329" spans="1:20" s="508" customFormat="1" ht="30" hidden="1">
      <c r="A329" s="518"/>
      <c r="B329" s="639" t="s">
        <v>3584</v>
      </c>
      <c r="C329" s="534" t="s">
        <v>4280</v>
      </c>
      <c r="D329" s="639" t="s">
        <v>3857</v>
      </c>
      <c r="E329" s="519" t="str">
        <f>IF('GPS Anthro Tool'!$B$5=1,"ECE R129","")</f>
        <v/>
      </c>
      <c r="F329" s="506" t="s">
        <v>4317</v>
      </c>
      <c r="G329" s="641" t="s">
        <v>3718</v>
      </c>
      <c r="H329" s="639"/>
      <c r="I329" s="639"/>
      <c r="J329" s="513" t="s">
        <v>3960</v>
      </c>
      <c r="K329" s="644" t="s">
        <v>605</v>
      </c>
      <c r="L329" s="526" t="s">
        <v>315</v>
      </c>
      <c r="M329" s="527" t="s">
        <v>315</v>
      </c>
      <c r="N329" s="528" t="s">
        <v>315</v>
      </c>
      <c r="O329" s="663"/>
      <c r="P329" s="529"/>
      <c r="Q329" s="531"/>
      <c r="R329" s="530"/>
      <c r="S329" s="530" t="s">
        <v>315</v>
      </c>
      <c r="T329" s="667"/>
    </row>
    <row r="330" spans="1:20" s="508" customFormat="1" ht="30" hidden="1">
      <c r="A330" s="518"/>
      <c r="B330" s="639" t="s">
        <v>3584</v>
      </c>
      <c r="C330" s="641" t="s">
        <v>1454</v>
      </c>
      <c r="D330" s="639" t="s">
        <v>3857</v>
      </c>
      <c r="E330" s="519" t="str">
        <f>IF('GPS Anthro Tool'!$B$5=1,"ECE R129","")</f>
        <v/>
      </c>
      <c r="F330" s="506" t="s">
        <v>4317</v>
      </c>
      <c r="G330" s="641" t="s">
        <v>3720</v>
      </c>
      <c r="H330" s="639"/>
      <c r="I330" s="639"/>
      <c r="J330" s="513" t="s">
        <v>3960</v>
      </c>
      <c r="K330" s="644" t="s">
        <v>605</v>
      </c>
      <c r="L330" s="526" t="s">
        <v>315</v>
      </c>
      <c r="M330" s="527" t="s">
        <v>315</v>
      </c>
      <c r="N330" s="528" t="s">
        <v>315</v>
      </c>
      <c r="O330" s="663"/>
      <c r="P330" s="529"/>
      <c r="Q330" s="531"/>
      <c r="R330" s="530"/>
      <c r="S330" s="530" t="s">
        <v>315</v>
      </c>
      <c r="T330" s="667"/>
    </row>
    <row r="331" spans="1:20" s="508" customFormat="1" ht="30" hidden="1">
      <c r="A331" s="518"/>
      <c r="B331" s="639" t="s">
        <v>3584</v>
      </c>
      <c r="C331" s="641" t="s">
        <v>4289</v>
      </c>
      <c r="D331" s="639" t="s">
        <v>3857</v>
      </c>
      <c r="E331" s="519" t="str">
        <f>IF('GPS Anthro Tool'!$B$5=1,"ECE R129","")</f>
        <v/>
      </c>
      <c r="F331" s="506" t="s">
        <v>4317</v>
      </c>
      <c r="G331" s="641" t="s">
        <v>3719</v>
      </c>
      <c r="H331" s="639"/>
      <c r="I331" s="639"/>
      <c r="J331" s="513" t="s">
        <v>3960</v>
      </c>
      <c r="K331" s="644" t="s">
        <v>605</v>
      </c>
      <c r="L331" s="526" t="s">
        <v>315</v>
      </c>
      <c r="M331" s="527" t="s">
        <v>315</v>
      </c>
      <c r="N331" s="528" t="s">
        <v>315</v>
      </c>
      <c r="O331" s="663"/>
      <c r="P331" s="529"/>
      <c r="Q331" s="531"/>
      <c r="R331" s="530"/>
      <c r="S331" s="530" t="s">
        <v>315</v>
      </c>
      <c r="T331" s="667"/>
    </row>
    <row r="332" spans="1:20" s="508" customFormat="1" ht="45" hidden="1">
      <c r="A332" s="518"/>
      <c r="B332" s="639" t="s">
        <v>3584</v>
      </c>
      <c r="C332" s="641" t="s">
        <v>4289</v>
      </c>
      <c r="D332" s="639" t="s">
        <v>3857</v>
      </c>
      <c r="E332" s="519" t="str">
        <f>IF('GPS Anthro Tool'!$B$5=1,"ECE R129","")</f>
        <v/>
      </c>
      <c r="F332" s="506" t="s">
        <v>4317</v>
      </c>
      <c r="G332" s="641" t="s">
        <v>3713</v>
      </c>
      <c r="H332" s="639"/>
      <c r="I332" s="639"/>
      <c r="J332" s="513" t="s">
        <v>3960</v>
      </c>
      <c r="K332" s="644" t="s">
        <v>605</v>
      </c>
      <c r="L332" s="526" t="s">
        <v>315</v>
      </c>
      <c r="M332" s="527" t="s">
        <v>315</v>
      </c>
      <c r="N332" s="528" t="s">
        <v>315</v>
      </c>
      <c r="O332" s="663"/>
      <c r="P332" s="529"/>
      <c r="Q332" s="531"/>
      <c r="R332" s="530"/>
      <c r="S332" s="530" t="s">
        <v>315</v>
      </c>
      <c r="T332" s="667"/>
    </row>
    <row r="333" spans="1:20" s="508" customFormat="1" ht="30" hidden="1">
      <c r="A333" s="518"/>
      <c r="B333" s="639" t="s">
        <v>3584</v>
      </c>
      <c r="C333" s="641" t="s">
        <v>1454</v>
      </c>
      <c r="D333" s="639" t="s">
        <v>3857</v>
      </c>
      <c r="E333" s="519" t="str">
        <f>IF('GPS Anthro Tool'!$B$5=1,"ECE R129","")</f>
        <v/>
      </c>
      <c r="F333" s="506" t="s">
        <v>4317</v>
      </c>
      <c r="G333" s="641" t="s">
        <v>3717</v>
      </c>
      <c r="H333" s="639"/>
      <c r="I333" s="639"/>
      <c r="J333" s="513" t="s">
        <v>3960</v>
      </c>
      <c r="K333" s="644" t="s">
        <v>3771</v>
      </c>
      <c r="L333" s="526" t="s">
        <v>315</v>
      </c>
      <c r="M333" s="527" t="s">
        <v>315</v>
      </c>
      <c r="N333" s="528" t="s">
        <v>315</v>
      </c>
      <c r="O333" s="663"/>
      <c r="P333" s="529"/>
      <c r="Q333" s="531"/>
      <c r="R333" s="530"/>
      <c r="S333" s="530" t="s">
        <v>315</v>
      </c>
      <c r="T333" s="667"/>
    </row>
    <row r="334" spans="1:20" s="508" customFormat="1" ht="30" hidden="1">
      <c r="A334" s="518"/>
      <c r="B334" s="639" t="s">
        <v>3584</v>
      </c>
      <c r="C334" s="641" t="s">
        <v>4289</v>
      </c>
      <c r="D334" s="639" t="s">
        <v>3857</v>
      </c>
      <c r="E334" s="519" t="str">
        <f>IF('GPS Anthro Tool'!$B$5=1,"ECE R129","")</f>
        <v/>
      </c>
      <c r="F334" s="506" t="s">
        <v>4317</v>
      </c>
      <c r="G334" s="641" t="s">
        <v>3714</v>
      </c>
      <c r="H334" s="639"/>
      <c r="I334" s="639"/>
      <c r="J334" s="513" t="s">
        <v>3960</v>
      </c>
      <c r="K334" s="644" t="s">
        <v>312</v>
      </c>
      <c r="L334" s="526" t="s">
        <v>315</v>
      </c>
      <c r="M334" s="527" t="s">
        <v>315</v>
      </c>
      <c r="N334" s="528" t="s">
        <v>315</v>
      </c>
      <c r="O334" s="663"/>
      <c r="P334" s="529"/>
      <c r="Q334" s="531"/>
      <c r="R334" s="530"/>
      <c r="S334" s="530" t="s">
        <v>315</v>
      </c>
      <c r="T334" s="667"/>
    </row>
    <row r="335" spans="1:20" s="508" customFormat="1" hidden="1">
      <c r="A335" s="518"/>
      <c r="B335" s="639" t="s">
        <v>3584</v>
      </c>
      <c r="C335" s="641" t="s">
        <v>1454</v>
      </c>
      <c r="D335" s="639" t="s">
        <v>3857</v>
      </c>
      <c r="E335" s="519" t="str">
        <f>IF('GPS Anthro Tool'!$B$5=1,"ECE R129","")</f>
        <v/>
      </c>
      <c r="F335" s="506" t="s">
        <v>4317</v>
      </c>
      <c r="G335" s="641" t="s">
        <v>3716</v>
      </c>
      <c r="H335" s="639"/>
      <c r="I335" s="639"/>
      <c r="J335" s="513" t="s">
        <v>3960</v>
      </c>
      <c r="K335" s="644" t="s">
        <v>605</v>
      </c>
      <c r="L335" s="526" t="s">
        <v>315</v>
      </c>
      <c r="M335" s="527" t="s">
        <v>315</v>
      </c>
      <c r="N335" s="528" t="s">
        <v>315</v>
      </c>
      <c r="O335" s="663"/>
      <c r="P335" s="529"/>
      <c r="Q335" s="531"/>
      <c r="R335" s="530"/>
      <c r="S335" s="530" t="s">
        <v>315</v>
      </c>
      <c r="T335" s="667"/>
    </row>
    <row r="336" spans="1:20" s="508" customFormat="1" ht="30" hidden="1">
      <c r="A336" s="518"/>
      <c r="B336" s="639" t="s">
        <v>3584</v>
      </c>
      <c r="C336" s="641" t="s">
        <v>3181</v>
      </c>
      <c r="D336" s="639" t="s">
        <v>3857</v>
      </c>
      <c r="E336" s="519" t="str">
        <f>IF('GPS Anthro Tool'!$B$5=1,"ECE R129","")</f>
        <v/>
      </c>
      <c r="F336" s="506" t="s">
        <v>4317</v>
      </c>
      <c r="G336" s="641" t="s">
        <v>3715</v>
      </c>
      <c r="H336" s="639"/>
      <c r="I336" s="639"/>
      <c r="J336" s="513" t="s">
        <v>3960</v>
      </c>
      <c r="K336" s="644" t="s">
        <v>3771</v>
      </c>
      <c r="L336" s="526" t="s">
        <v>315</v>
      </c>
      <c r="M336" s="527" t="s">
        <v>315</v>
      </c>
      <c r="N336" s="528" t="s">
        <v>315</v>
      </c>
      <c r="O336" s="663"/>
      <c r="P336" s="529"/>
      <c r="Q336" s="531"/>
      <c r="R336" s="530"/>
      <c r="S336" s="530" t="s">
        <v>315</v>
      </c>
      <c r="T336" s="667"/>
    </row>
    <row r="337" spans="1:20" s="508" customFormat="1" ht="45" hidden="1">
      <c r="A337" s="518"/>
      <c r="B337" s="639" t="s">
        <v>3582</v>
      </c>
      <c r="C337" s="639" t="s">
        <v>3689</v>
      </c>
      <c r="D337" s="639" t="s">
        <v>3857</v>
      </c>
      <c r="E337" s="519" t="str">
        <f>IF('GPS Anthro Tool'!$B$5=1,"ECE R129","")</f>
        <v/>
      </c>
      <c r="F337" s="506" t="s">
        <v>4317</v>
      </c>
      <c r="G337" s="639" t="s">
        <v>3689</v>
      </c>
      <c r="H337" s="639"/>
      <c r="I337" s="639"/>
      <c r="J337" s="513" t="s">
        <v>3960</v>
      </c>
      <c r="K337" s="643" t="s">
        <v>605</v>
      </c>
      <c r="L337" s="526" t="s">
        <v>315</v>
      </c>
      <c r="M337" s="527" t="s">
        <v>315</v>
      </c>
      <c r="N337" s="528" t="s">
        <v>315</v>
      </c>
      <c r="O337" s="663"/>
      <c r="P337" s="529"/>
      <c r="Q337" s="531"/>
      <c r="R337" s="530"/>
      <c r="S337" s="530" t="s">
        <v>315</v>
      </c>
      <c r="T337" s="667"/>
    </row>
    <row r="338" spans="1:20" s="508" customFormat="1" ht="45" hidden="1">
      <c r="A338" s="518"/>
      <c r="B338" s="639" t="s">
        <v>2039</v>
      </c>
      <c r="C338" s="639" t="s">
        <v>3586</v>
      </c>
      <c r="D338" s="639"/>
      <c r="E338" s="519" t="str">
        <f>IF('GPS Anthro Tool'!$B$5=1,"ECE R129","")</f>
        <v/>
      </c>
      <c r="F338" s="506" t="s">
        <v>4317</v>
      </c>
      <c r="G338" s="639" t="s">
        <v>3725</v>
      </c>
      <c r="H338" s="639"/>
      <c r="I338" s="639"/>
      <c r="J338" s="513" t="s">
        <v>2957</v>
      </c>
      <c r="K338" s="643" t="s">
        <v>312</v>
      </c>
      <c r="L338" s="526" t="s">
        <v>315</v>
      </c>
      <c r="M338" s="527" t="s">
        <v>315</v>
      </c>
      <c r="N338" s="528" t="s">
        <v>315</v>
      </c>
      <c r="O338" s="663"/>
      <c r="P338" s="529"/>
      <c r="Q338" s="531"/>
      <c r="R338" s="530"/>
      <c r="S338" s="530" t="s">
        <v>315</v>
      </c>
      <c r="T338" s="667"/>
    </row>
    <row r="339" spans="1:20" s="508" customFormat="1" ht="30" hidden="1">
      <c r="A339" s="518"/>
      <c r="B339" s="639" t="s">
        <v>2039</v>
      </c>
      <c r="C339" s="639" t="s">
        <v>3586</v>
      </c>
      <c r="D339" s="639"/>
      <c r="E339" s="519" t="str">
        <f>IF('GPS Anthro Tool'!$B$5=1,"ECE R129","")</f>
        <v/>
      </c>
      <c r="F339" s="506" t="s">
        <v>4317</v>
      </c>
      <c r="G339" s="639" t="s">
        <v>3729</v>
      </c>
      <c r="H339" s="639"/>
      <c r="I339" s="639"/>
      <c r="J339" s="513" t="s">
        <v>2957</v>
      </c>
      <c r="K339" s="643" t="s">
        <v>605</v>
      </c>
      <c r="L339" s="526" t="s">
        <v>315</v>
      </c>
      <c r="M339" s="527" t="s">
        <v>315</v>
      </c>
      <c r="N339" s="528" t="s">
        <v>315</v>
      </c>
      <c r="O339" s="663"/>
      <c r="P339" s="529"/>
      <c r="Q339" s="531"/>
      <c r="R339" s="530"/>
      <c r="S339" s="530" t="s">
        <v>315</v>
      </c>
      <c r="T339" s="667"/>
    </row>
    <row r="340" spans="1:20" s="508" customFormat="1" ht="30" hidden="1">
      <c r="A340" s="518"/>
      <c r="B340" s="639" t="s">
        <v>2039</v>
      </c>
      <c r="C340" s="639" t="s">
        <v>3586</v>
      </c>
      <c r="D340" s="639"/>
      <c r="E340" s="519" t="str">
        <f>IF('GPS Anthro Tool'!$B$5=1,"ECE R129","")</f>
        <v/>
      </c>
      <c r="F340" s="506" t="s">
        <v>4317</v>
      </c>
      <c r="G340" s="639" t="s">
        <v>3735</v>
      </c>
      <c r="H340" s="639"/>
      <c r="I340" s="639"/>
      <c r="J340" s="513" t="s">
        <v>2957</v>
      </c>
      <c r="K340" s="643" t="s">
        <v>3771</v>
      </c>
      <c r="L340" s="526" t="s">
        <v>315</v>
      </c>
      <c r="M340" s="527" t="s">
        <v>315</v>
      </c>
      <c r="N340" s="528" t="s">
        <v>315</v>
      </c>
      <c r="O340" s="663"/>
      <c r="P340" s="529"/>
      <c r="Q340" s="531"/>
      <c r="R340" s="530"/>
      <c r="S340" s="530" t="s">
        <v>315</v>
      </c>
      <c r="T340" s="667"/>
    </row>
    <row r="341" spans="1:20" s="508" customFormat="1" ht="30" hidden="1">
      <c r="A341" s="518"/>
      <c r="B341" s="639" t="s">
        <v>2039</v>
      </c>
      <c r="C341" s="639" t="s">
        <v>3586</v>
      </c>
      <c r="D341" s="639"/>
      <c r="E341" s="519" t="str">
        <f>IF('GPS Anthro Tool'!$B$5=1,"ECE R129","")</f>
        <v/>
      </c>
      <c r="F341" s="506" t="s">
        <v>4317</v>
      </c>
      <c r="G341" s="639" t="s">
        <v>3736</v>
      </c>
      <c r="H341" s="639"/>
      <c r="I341" s="639"/>
      <c r="J341" s="513" t="s">
        <v>2957</v>
      </c>
      <c r="K341" s="643" t="s">
        <v>312</v>
      </c>
      <c r="L341" s="526" t="s">
        <v>315</v>
      </c>
      <c r="M341" s="527" t="s">
        <v>315</v>
      </c>
      <c r="N341" s="528" t="s">
        <v>315</v>
      </c>
      <c r="O341" s="663"/>
      <c r="P341" s="529"/>
      <c r="Q341" s="531"/>
      <c r="R341" s="530"/>
      <c r="S341" s="530" t="s">
        <v>315</v>
      </c>
      <c r="T341" s="667"/>
    </row>
    <row r="342" spans="1:20" s="508" customFormat="1" ht="30" hidden="1">
      <c r="A342" s="518"/>
      <c r="B342" s="639" t="s">
        <v>2039</v>
      </c>
      <c r="C342" s="639" t="s">
        <v>3586</v>
      </c>
      <c r="D342" s="639"/>
      <c r="E342" s="519" t="str">
        <f>IF('GPS Anthro Tool'!$B$5=1,"ECE R129","")</f>
        <v/>
      </c>
      <c r="F342" s="506" t="s">
        <v>4317</v>
      </c>
      <c r="G342" s="639" t="s">
        <v>3728</v>
      </c>
      <c r="H342" s="639"/>
      <c r="I342" s="639"/>
      <c r="J342" s="513" t="s">
        <v>2957</v>
      </c>
      <c r="K342" s="643" t="s">
        <v>605</v>
      </c>
      <c r="L342" s="526" t="s">
        <v>315</v>
      </c>
      <c r="M342" s="527" t="s">
        <v>315</v>
      </c>
      <c r="N342" s="528" t="s">
        <v>315</v>
      </c>
      <c r="O342" s="663"/>
      <c r="P342" s="529"/>
      <c r="Q342" s="531"/>
      <c r="R342" s="530"/>
      <c r="S342" s="530" t="s">
        <v>315</v>
      </c>
      <c r="T342" s="667"/>
    </row>
    <row r="343" spans="1:20" s="508" customFormat="1" ht="30" hidden="1">
      <c r="A343" s="518"/>
      <c r="B343" s="639" t="s">
        <v>2039</v>
      </c>
      <c r="C343" s="639" t="s">
        <v>3586</v>
      </c>
      <c r="D343" s="639"/>
      <c r="E343" s="519" t="str">
        <f>IF('GPS Anthro Tool'!$B$5=1,"ECE R129","")</f>
        <v/>
      </c>
      <c r="F343" s="506" t="s">
        <v>4317</v>
      </c>
      <c r="G343" s="639" t="s">
        <v>3730</v>
      </c>
      <c r="H343" s="639"/>
      <c r="I343" s="639"/>
      <c r="J343" s="513" t="s">
        <v>2957</v>
      </c>
      <c r="K343" s="643" t="s">
        <v>605</v>
      </c>
      <c r="L343" s="526" t="s">
        <v>315</v>
      </c>
      <c r="M343" s="527" t="s">
        <v>315</v>
      </c>
      <c r="N343" s="528" t="s">
        <v>315</v>
      </c>
      <c r="O343" s="663"/>
      <c r="P343" s="529"/>
      <c r="Q343" s="531"/>
      <c r="R343" s="530"/>
      <c r="S343" s="530" t="s">
        <v>315</v>
      </c>
      <c r="T343" s="667"/>
    </row>
    <row r="344" spans="1:20" s="537" customFormat="1" ht="30" hidden="1">
      <c r="A344" s="518"/>
      <c r="B344" s="639" t="s">
        <v>2039</v>
      </c>
      <c r="C344" s="639" t="s">
        <v>3586</v>
      </c>
      <c r="D344" s="639"/>
      <c r="E344" s="519" t="str">
        <f>IF('GPS Anthro Tool'!$B$5=1,"ECE R129","")</f>
        <v/>
      </c>
      <c r="F344" s="506" t="s">
        <v>4317</v>
      </c>
      <c r="G344" s="639" t="s">
        <v>3734</v>
      </c>
      <c r="H344" s="639"/>
      <c r="I344" s="639"/>
      <c r="J344" s="513" t="s">
        <v>2957</v>
      </c>
      <c r="K344" s="643" t="s">
        <v>3771</v>
      </c>
      <c r="L344" s="526" t="s">
        <v>315</v>
      </c>
      <c r="M344" s="527" t="s">
        <v>315</v>
      </c>
      <c r="N344" s="528" t="s">
        <v>315</v>
      </c>
      <c r="O344" s="663"/>
      <c r="P344" s="529"/>
      <c r="Q344" s="531"/>
      <c r="R344" s="530"/>
      <c r="S344" s="530" t="s">
        <v>315</v>
      </c>
      <c r="T344" s="667"/>
    </row>
    <row r="345" spans="1:20" s="508" customFormat="1" ht="45" hidden="1">
      <c r="A345" s="518"/>
      <c r="B345" s="639" t="s">
        <v>2039</v>
      </c>
      <c r="C345" s="639" t="s">
        <v>3586</v>
      </c>
      <c r="D345" s="639"/>
      <c r="E345" s="519" t="str">
        <f>IF('GPS Anthro Tool'!$B$5=1,"ECE R129","")</f>
        <v/>
      </c>
      <c r="F345" s="506" t="s">
        <v>4317</v>
      </c>
      <c r="G345" s="639" t="s">
        <v>3733</v>
      </c>
      <c r="H345" s="639"/>
      <c r="I345" s="639"/>
      <c r="J345" s="513" t="s">
        <v>2957</v>
      </c>
      <c r="K345" s="643" t="s">
        <v>3771</v>
      </c>
      <c r="L345" s="526" t="s">
        <v>315</v>
      </c>
      <c r="M345" s="527" t="s">
        <v>315</v>
      </c>
      <c r="N345" s="528" t="s">
        <v>315</v>
      </c>
      <c r="O345" s="663"/>
      <c r="P345" s="529"/>
      <c r="Q345" s="531"/>
      <c r="R345" s="530"/>
      <c r="S345" s="530" t="s">
        <v>315</v>
      </c>
      <c r="T345" s="667"/>
    </row>
    <row r="346" spans="1:20" s="508" customFormat="1" ht="30" hidden="1">
      <c r="A346" s="518"/>
      <c r="B346" s="639" t="s">
        <v>2039</v>
      </c>
      <c r="C346" s="639" t="s">
        <v>3586</v>
      </c>
      <c r="D346" s="639"/>
      <c r="E346" s="519" t="str">
        <f>IF('GPS Anthro Tool'!$B$5=1,"ECE R129","")</f>
        <v/>
      </c>
      <c r="F346" s="506" t="s">
        <v>4317</v>
      </c>
      <c r="G346" s="639" t="s">
        <v>3731</v>
      </c>
      <c r="H346" s="639"/>
      <c r="I346" s="639"/>
      <c r="J346" s="513" t="s">
        <v>2957</v>
      </c>
      <c r="K346" s="643" t="s">
        <v>605</v>
      </c>
      <c r="L346" s="526" t="s">
        <v>315</v>
      </c>
      <c r="M346" s="527" t="s">
        <v>315</v>
      </c>
      <c r="N346" s="528" t="s">
        <v>315</v>
      </c>
      <c r="O346" s="663"/>
      <c r="P346" s="529"/>
      <c r="Q346" s="531"/>
      <c r="R346" s="530"/>
      <c r="S346" s="530" t="s">
        <v>315</v>
      </c>
      <c r="T346" s="667"/>
    </row>
    <row r="347" spans="1:20" s="508" customFormat="1" ht="30" hidden="1">
      <c r="A347" s="518"/>
      <c r="B347" s="639" t="s">
        <v>2039</v>
      </c>
      <c r="C347" s="639" t="s">
        <v>3586</v>
      </c>
      <c r="D347" s="639"/>
      <c r="E347" s="519" t="str">
        <f>IF('GPS Anthro Tool'!$B$5=1,"ECE R129","")</f>
        <v/>
      </c>
      <c r="F347" s="506" t="s">
        <v>4317</v>
      </c>
      <c r="G347" s="639" t="s">
        <v>3727</v>
      </c>
      <c r="H347" s="639"/>
      <c r="I347" s="639"/>
      <c r="J347" s="513" t="s">
        <v>2957</v>
      </c>
      <c r="K347" s="643" t="s">
        <v>312</v>
      </c>
      <c r="L347" s="526" t="s">
        <v>315</v>
      </c>
      <c r="M347" s="527" t="s">
        <v>315</v>
      </c>
      <c r="N347" s="528" t="s">
        <v>315</v>
      </c>
      <c r="O347" s="663"/>
      <c r="P347" s="529"/>
      <c r="Q347" s="531"/>
      <c r="R347" s="530"/>
      <c r="S347" s="530" t="s">
        <v>315</v>
      </c>
      <c r="T347" s="667"/>
    </row>
    <row r="348" spans="1:20" s="537" customFormat="1" ht="75" hidden="1">
      <c r="A348" s="518"/>
      <c r="B348" s="639" t="s">
        <v>2039</v>
      </c>
      <c r="C348" s="639" t="s">
        <v>3586</v>
      </c>
      <c r="D348" s="639"/>
      <c r="E348" s="519" t="str">
        <f>IF('GPS Anthro Tool'!$B$5=1,"ECE R129","")</f>
        <v/>
      </c>
      <c r="F348" s="506" t="s">
        <v>4317</v>
      </c>
      <c r="G348" s="639" t="s">
        <v>3726</v>
      </c>
      <c r="H348" s="639"/>
      <c r="I348" s="639"/>
      <c r="J348" s="513" t="s">
        <v>2957</v>
      </c>
      <c r="K348" s="643" t="s">
        <v>312</v>
      </c>
      <c r="L348" s="526" t="s">
        <v>315</v>
      </c>
      <c r="M348" s="527" t="s">
        <v>315</v>
      </c>
      <c r="N348" s="528" t="s">
        <v>315</v>
      </c>
      <c r="O348" s="663"/>
      <c r="P348" s="529"/>
      <c r="Q348" s="531"/>
      <c r="R348" s="530"/>
      <c r="S348" s="530" t="s">
        <v>315</v>
      </c>
      <c r="T348" s="667"/>
    </row>
    <row r="349" spans="1:20" s="537" customFormat="1" ht="45" hidden="1">
      <c r="A349" s="518"/>
      <c r="B349" s="639" t="s">
        <v>3583</v>
      </c>
      <c r="C349" s="639" t="s">
        <v>3583</v>
      </c>
      <c r="D349" s="639"/>
      <c r="E349" s="519" t="str">
        <f>IF('GPS Anthro Tool'!$B$5=1,"ECE R129","")</f>
        <v/>
      </c>
      <c r="F349" s="506" t="s">
        <v>4317</v>
      </c>
      <c r="G349" s="639" t="s">
        <v>3692</v>
      </c>
      <c r="H349" s="639"/>
      <c r="I349" s="639"/>
      <c r="J349" s="513" t="s">
        <v>2957</v>
      </c>
      <c r="K349" s="643" t="s">
        <v>312</v>
      </c>
      <c r="L349" s="526" t="s">
        <v>315</v>
      </c>
      <c r="M349" s="527" t="s">
        <v>315</v>
      </c>
      <c r="N349" s="528" t="s">
        <v>315</v>
      </c>
      <c r="O349" s="663"/>
      <c r="P349" s="529"/>
      <c r="Q349" s="531"/>
      <c r="R349" s="530"/>
      <c r="S349" s="530" t="s">
        <v>315</v>
      </c>
      <c r="T349" s="667"/>
    </row>
    <row r="350" spans="1:20" s="537" customFormat="1" ht="30" hidden="1">
      <c r="A350" s="518"/>
      <c r="B350" s="639" t="s">
        <v>3583</v>
      </c>
      <c r="C350" s="639" t="s">
        <v>3583</v>
      </c>
      <c r="D350" s="639"/>
      <c r="E350" s="519" t="str">
        <f>IF('GPS Anthro Tool'!$B$5=1,"ECE R129","")</f>
        <v/>
      </c>
      <c r="F350" s="506" t="s">
        <v>4317</v>
      </c>
      <c r="G350" s="639" t="s">
        <v>3710</v>
      </c>
      <c r="H350" s="639"/>
      <c r="I350" s="639"/>
      <c r="J350" s="513" t="s">
        <v>2957</v>
      </c>
      <c r="K350" s="643" t="s">
        <v>3771</v>
      </c>
      <c r="L350" s="526" t="s">
        <v>315</v>
      </c>
      <c r="M350" s="527" t="s">
        <v>315</v>
      </c>
      <c r="N350" s="528" t="s">
        <v>315</v>
      </c>
      <c r="O350" s="663"/>
      <c r="P350" s="529"/>
      <c r="Q350" s="531"/>
      <c r="R350" s="530"/>
      <c r="S350" s="530" t="s">
        <v>315</v>
      </c>
      <c r="T350" s="667"/>
    </row>
    <row r="351" spans="1:20" s="537" customFormat="1" hidden="1">
      <c r="A351" s="518"/>
      <c r="B351" s="639" t="s">
        <v>3583</v>
      </c>
      <c r="C351" s="639" t="s">
        <v>3583</v>
      </c>
      <c r="D351" s="639"/>
      <c r="E351" s="519" t="str">
        <f>IF('GPS Anthro Tool'!$B$5=1,"ECE R129","")</f>
        <v/>
      </c>
      <c r="F351" s="506" t="s">
        <v>4317</v>
      </c>
      <c r="G351" s="639" t="s">
        <v>3698</v>
      </c>
      <c r="H351" s="639"/>
      <c r="I351" s="639"/>
      <c r="J351" s="513" t="s">
        <v>2957</v>
      </c>
      <c r="K351" s="643" t="s">
        <v>312</v>
      </c>
      <c r="L351" s="526" t="s">
        <v>315</v>
      </c>
      <c r="M351" s="527" t="s">
        <v>315</v>
      </c>
      <c r="N351" s="528" t="s">
        <v>315</v>
      </c>
      <c r="O351" s="663"/>
      <c r="P351" s="529"/>
      <c r="Q351" s="531"/>
      <c r="R351" s="530"/>
      <c r="S351" s="530" t="s">
        <v>315</v>
      </c>
      <c r="T351" s="667"/>
    </row>
    <row r="352" spans="1:20" s="537" customFormat="1" hidden="1">
      <c r="A352" s="518"/>
      <c r="B352" s="639" t="s">
        <v>3583</v>
      </c>
      <c r="C352" s="639" t="s">
        <v>3583</v>
      </c>
      <c r="D352" s="639"/>
      <c r="E352" s="519" t="str">
        <f>IF('GPS Anthro Tool'!$B$5=1,"ECE R129","")</f>
        <v/>
      </c>
      <c r="F352" s="506" t="s">
        <v>4317</v>
      </c>
      <c r="G352" s="641" t="s">
        <v>3711</v>
      </c>
      <c r="H352" s="639"/>
      <c r="I352" s="639"/>
      <c r="J352" s="513" t="s">
        <v>2957</v>
      </c>
      <c r="K352" s="644" t="s">
        <v>3771</v>
      </c>
      <c r="L352" s="526" t="s">
        <v>315</v>
      </c>
      <c r="M352" s="527" t="s">
        <v>315</v>
      </c>
      <c r="N352" s="528" t="s">
        <v>315</v>
      </c>
      <c r="O352" s="663"/>
      <c r="P352" s="529"/>
      <c r="Q352" s="531"/>
      <c r="R352" s="530"/>
      <c r="S352" s="530" t="s">
        <v>315</v>
      </c>
      <c r="T352" s="667"/>
    </row>
    <row r="353" spans="1:20" s="508" customFormat="1" ht="30" hidden="1">
      <c r="A353" s="518"/>
      <c r="B353" s="639" t="s">
        <v>3583</v>
      </c>
      <c r="C353" s="692" t="s">
        <v>3583</v>
      </c>
      <c r="D353" s="639"/>
      <c r="E353" s="519" t="str">
        <f>IF('GPS Anthro Tool'!$B$5=1,"ECE R129","")</f>
        <v/>
      </c>
      <c r="F353" s="506" t="s">
        <v>4317</v>
      </c>
      <c r="G353" s="639" t="s">
        <v>3694</v>
      </c>
      <c r="H353" s="639"/>
      <c r="I353" s="639"/>
      <c r="J353" s="513" t="s">
        <v>2957</v>
      </c>
      <c r="K353" s="643" t="s">
        <v>312</v>
      </c>
      <c r="L353" s="526" t="s">
        <v>315</v>
      </c>
      <c r="M353" s="527" t="s">
        <v>315</v>
      </c>
      <c r="N353" s="528" t="s">
        <v>315</v>
      </c>
      <c r="O353" s="663"/>
      <c r="P353" s="529"/>
      <c r="Q353" s="531"/>
      <c r="R353" s="530"/>
      <c r="S353" s="530" t="s">
        <v>315</v>
      </c>
      <c r="T353" s="566"/>
    </row>
    <row r="354" spans="1:20" s="508" customFormat="1" hidden="1">
      <c r="A354" s="518"/>
      <c r="B354" s="639" t="s">
        <v>3583</v>
      </c>
      <c r="C354" s="692" t="s">
        <v>3583</v>
      </c>
      <c r="D354" s="639"/>
      <c r="E354" s="519" t="str">
        <f>IF('GPS Anthro Tool'!$B$5=1,"ECE R129","")</f>
        <v/>
      </c>
      <c r="F354" s="506" t="s">
        <v>4317</v>
      </c>
      <c r="G354" s="641" t="s">
        <v>3712</v>
      </c>
      <c r="H354" s="639"/>
      <c r="I354" s="639"/>
      <c r="J354" s="513" t="s">
        <v>2957</v>
      </c>
      <c r="K354" s="644" t="s">
        <v>312</v>
      </c>
      <c r="L354" s="526" t="s">
        <v>315</v>
      </c>
      <c r="M354" s="527" t="s">
        <v>315</v>
      </c>
      <c r="N354" s="528" t="s">
        <v>315</v>
      </c>
      <c r="O354" s="663"/>
      <c r="P354" s="529"/>
      <c r="Q354" s="531"/>
      <c r="R354" s="530"/>
      <c r="S354" s="530" t="s">
        <v>315</v>
      </c>
      <c r="T354" s="566"/>
    </row>
    <row r="355" spans="1:20" s="508" customFormat="1" ht="30" hidden="1">
      <c r="A355" s="518"/>
      <c r="B355" s="639" t="s">
        <v>3583</v>
      </c>
      <c r="C355" s="692" t="s">
        <v>3583</v>
      </c>
      <c r="D355" s="639"/>
      <c r="E355" s="519" t="str">
        <f>IF('GPS Anthro Tool'!$B$5=1,"ECE R129","")</f>
        <v/>
      </c>
      <c r="F355" s="506" t="s">
        <v>4317</v>
      </c>
      <c r="G355" s="639" t="s">
        <v>3693</v>
      </c>
      <c r="H355" s="639"/>
      <c r="I355" s="692"/>
      <c r="J355" s="513" t="s">
        <v>2957</v>
      </c>
      <c r="K355" s="643" t="s">
        <v>312</v>
      </c>
      <c r="L355" s="526" t="s">
        <v>315</v>
      </c>
      <c r="M355" s="527" t="s">
        <v>315</v>
      </c>
      <c r="N355" s="528" t="s">
        <v>315</v>
      </c>
      <c r="O355" s="663"/>
      <c r="P355" s="529"/>
      <c r="Q355" s="531"/>
      <c r="R355" s="530"/>
      <c r="S355" s="530" t="s">
        <v>315</v>
      </c>
      <c r="T355" s="566"/>
    </row>
    <row r="356" spans="1:20" s="508" customFormat="1" ht="30" hidden="1">
      <c r="A356" s="518"/>
      <c r="B356" s="639" t="s">
        <v>3583</v>
      </c>
      <c r="C356" s="692" t="s">
        <v>3583</v>
      </c>
      <c r="D356" s="639"/>
      <c r="E356" s="519" t="str">
        <f>IF('GPS Anthro Tool'!$B$5=1,"ECE R129","")</f>
        <v/>
      </c>
      <c r="F356" s="506" t="s">
        <v>4317</v>
      </c>
      <c r="G356" s="639" t="s">
        <v>3697</v>
      </c>
      <c r="H356" s="639"/>
      <c r="I356" s="639"/>
      <c r="J356" s="513" t="s">
        <v>2957</v>
      </c>
      <c r="K356" s="643" t="s">
        <v>312</v>
      </c>
      <c r="L356" s="526" t="s">
        <v>315</v>
      </c>
      <c r="M356" s="527" t="s">
        <v>315</v>
      </c>
      <c r="N356" s="528" t="s">
        <v>315</v>
      </c>
      <c r="O356" s="663"/>
      <c r="P356" s="529"/>
      <c r="Q356" s="531"/>
      <c r="R356" s="530"/>
      <c r="S356" s="530" t="s">
        <v>315</v>
      </c>
      <c r="T356" s="566"/>
    </row>
    <row r="357" spans="1:20" s="508" customFormat="1" ht="30" hidden="1">
      <c r="A357" s="518"/>
      <c r="B357" s="639" t="s">
        <v>3589</v>
      </c>
      <c r="C357" s="639" t="s">
        <v>3589</v>
      </c>
      <c r="D357" s="639"/>
      <c r="E357" s="519" t="str">
        <f>IF('GPS Anthro Tool'!$B$5=1,"ECE R129","")</f>
        <v/>
      </c>
      <c r="F357" s="506" t="s">
        <v>4317</v>
      </c>
      <c r="G357" s="639" t="s">
        <v>3753</v>
      </c>
      <c r="H357" s="639"/>
      <c r="I357" s="639"/>
      <c r="J357" s="513" t="s">
        <v>2957</v>
      </c>
      <c r="K357" s="643" t="s">
        <v>605</v>
      </c>
      <c r="L357" s="526" t="s">
        <v>315</v>
      </c>
      <c r="M357" s="527" t="s">
        <v>315</v>
      </c>
      <c r="N357" s="528" t="s">
        <v>315</v>
      </c>
      <c r="O357" s="663"/>
      <c r="P357" s="529"/>
      <c r="Q357" s="531"/>
      <c r="R357" s="530"/>
      <c r="S357" s="530" t="s">
        <v>315</v>
      </c>
      <c r="T357" s="566"/>
    </row>
    <row r="358" spans="1:20" s="508" customFormat="1" ht="30" hidden="1">
      <c r="A358" s="518"/>
      <c r="B358" s="639" t="s">
        <v>4280</v>
      </c>
      <c r="C358" s="639" t="s">
        <v>3575</v>
      </c>
      <c r="D358" s="639"/>
      <c r="E358" s="519" t="str">
        <f>IF('GPS Anthro Tool'!$B$5=1,"ECE R129","")</f>
        <v/>
      </c>
      <c r="F358" s="506" t="s">
        <v>4317</v>
      </c>
      <c r="G358" s="534" t="s">
        <v>3627</v>
      </c>
      <c r="H358" s="534"/>
      <c r="I358" s="534"/>
      <c r="J358" s="513" t="s">
        <v>2957</v>
      </c>
      <c r="K358" s="525" t="s">
        <v>3771</v>
      </c>
      <c r="L358" s="526" t="s">
        <v>315</v>
      </c>
      <c r="M358" s="527" t="s">
        <v>315</v>
      </c>
      <c r="N358" s="528" t="s">
        <v>315</v>
      </c>
      <c r="O358" s="663"/>
      <c r="P358" s="529"/>
      <c r="Q358" s="531"/>
      <c r="R358" s="530"/>
      <c r="S358" s="530" t="s">
        <v>315</v>
      </c>
      <c r="T358" s="566"/>
    </row>
    <row r="359" spans="1:20" s="508" customFormat="1" ht="30" hidden="1">
      <c r="A359" s="518"/>
      <c r="B359" s="639" t="s">
        <v>4280</v>
      </c>
      <c r="C359" s="639" t="s">
        <v>3575</v>
      </c>
      <c r="D359" s="639"/>
      <c r="E359" s="519" t="str">
        <f>IF('GPS Anthro Tool'!$B$5=1,"ECE R129","")</f>
        <v/>
      </c>
      <c r="F359" s="506" t="s">
        <v>4317</v>
      </c>
      <c r="G359" s="534" t="s">
        <v>3626</v>
      </c>
      <c r="H359" s="534"/>
      <c r="I359" s="534"/>
      <c r="J359" s="513" t="s">
        <v>2957</v>
      </c>
      <c r="K359" s="525" t="s">
        <v>312</v>
      </c>
      <c r="L359" s="526" t="s">
        <v>315</v>
      </c>
      <c r="M359" s="527" t="s">
        <v>315</v>
      </c>
      <c r="N359" s="528" t="s">
        <v>315</v>
      </c>
      <c r="O359" s="663"/>
      <c r="P359" s="529"/>
      <c r="Q359" s="531"/>
      <c r="R359" s="530"/>
      <c r="S359" s="530" t="s">
        <v>315</v>
      </c>
      <c r="T359" s="566"/>
    </row>
    <row r="360" spans="1:20" s="508" customFormat="1" ht="30" hidden="1">
      <c r="A360" s="518"/>
      <c r="B360" s="639" t="s">
        <v>4280</v>
      </c>
      <c r="C360" s="639" t="s">
        <v>3575</v>
      </c>
      <c r="D360" s="639"/>
      <c r="E360" s="519" t="str">
        <f>IF('GPS Anthro Tool'!$B$5=1,"ECE R129","")</f>
        <v/>
      </c>
      <c r="F360" s="506" t="s">
        <v>4317</v>
      </c>
      <c r="G360" s="534" t="s">
        <v>3629</v>
      </c>
      <c r="H360" s="534"/>
      <c r="I360" s="534"/>
      <c r="J360" s="513" t="s">
        <v>2957</v>
      </c>
      <c r="K360" s="525" t="s">
        <v>312</v>
      </c>
      <c r="L360" s="526" t="s">
        <v>315</v>
      </c>
      <c r="M360" s="527" t="s">
        <v>315</v>
      </c>
      <c r="N360" s="528" t="s">
        <v>315</v>
      </c>
      <c r="O360" s="663"/>
      <c r="P360" s="529"/>
      <c r="Q360" s="531"/>
      <c r="R360" s="530"/>
      <c r="S360" s="530" t="s">
        <v>315</v>
      </c>
      <c r="T360" s="667"/>
    </row>
    <row r="361" spans="1:20" s="537" customFormat="1" ht="30" hidden="1">
      <c r="A361" s="518"/>
      <c r="B361" s="639" t="s">
        <v>4280</v>
      </c>
      <c r="C361" s="639" t="s">
        <v>3575</v>
      </c>
      <c r="D361" s="639"/>
      <c r="E361" s="519" t="str">
        <f>IF('GPS Anthro Tool'!$B$5=1,"ECE R129","")</f>
        <v/>
      </c>
      <c r="F361" s="506" t="s">
        <v>4317</v>
      </c>
      <c r="G361" s="636" t="s">
        <v>3624</v>
      </c>
      <c r="H361" s="636"/>
      <c r="I361" s="636"/>
      <c r="J361" s="513" t="s">
        <v>2957</v>
      </c>
      <c r="K361" s="646" t="s">
        <v>312</v>
      </c>
      <c r="L361" s="526" t="s">
        <v>315</v>
      </c>
      <c r="M361" s="527" t="s">
        <v>315</v>
      </c>
      <c r="N361" s="528" t="s">
        <v>315</v>
      </c>
      <c r="O361" s="663"/>
      <c r="P361" s="529"/>
      <c r="Q361" s="531"/>
      <c r="R361" s="530"/>
      <c r="S361" s="530" t="s">
        <v>315</v>
      </c>
      <c r="T361" s="667"/>
    </row>
    <row r="362" spans="1:20" s="508" customFormat="1" ht="30" hidden="1">
      <c r="A362" s="518"/>
      <c r="B362" s="639" t="s">
        <v>4280</v>
      </c>
      <c r="C362" s="639" t="s">
        <v>3575</v>
      </c>
      <c r="D362" s="639"/>
      <c r="E362" s="519" t="str">
        <f>IF('GPS Anthro Tool'!$B$5=1,"ECE R129","")</f>
        <v/>
      </c>
      <c r="F362" s="506" t="s">
        <v>4317</v>
      </c>
      <c r="G362" s="534" t="s">
        <v>3625</v>
      </c>
      <c r="H362" s="534"/>
      <c r="I362" s="534"/>
      <c r="J362" s="513" t="s">
        <v>2957</v>
      </c>
      <c r="K362" s="525" t="s">
        <v>312</v>
      </c>
      <c r="L362" s="526" t="s">
        <v>315</v>
      </c>
      <c r="M362" s="527" t="s">
        <v>315</v>
      </c>
      <c r="N362" s="528" t="s">
        <v>315</v>
      </c>
      <c r="O362" s="663"/>
      <c r="P362" s="529"/>
      <c r="Q362" s="531"/>
      <c r="R362" s="530"/>
      <c r="S362" s="530" t="s">
        <v>315</v>
      </c>
      <c r="T362" s="667"/>
    </row>
    <row r="363" spans="1:20" s="537" customFormat="1" ht="45" hidden="1">
      <c r="A363" s="518"/>
      <c r="B363" s="639" t="s">
        <v>2104</v>
      </c>
      <c r="C363" s="639" t="s">
        <v>3576</v>
      </c>
      <c r="D363" s="639"/>
      <c r="E363" s="519" t="str">
        <f>IF('GPS Anthro Tool'!$B$5=1,"ECE R129","")</f>
        <v/>
      </c>
      <c r="F363" s="506" t="s">
        <v>4317</v>
      </c>
      <c r="G363" s="639" t="s">
        <v>3646</v>
      </c>
      <c r="H363" s="639"/>
      <c r="I363" s="639"/>
      <c r="J363" s="513" t="s">
        <v>2957</v>
      </c>
      <c r="K363" s="643" t="s">
        <v>312</v>
      </c>
      <c r="L363" s="526" t="s">
        <v>315</v>
      </c>
      <c r="M363" s="527" t="s">
        <v>315</v>
      </c>
      <c r="N363" s="528" t="s">
        <v>315</v>
      </c>
      <c r="O363" s="663"/>
      <c r="P363" s="529"/>
      <c r="Q363" s="531"/>
      <c r="R363" s="530"/>
      <c r="S363" s="530" t="s">
        <v>315</v>
      </c>
      <c r="T363" s="667"/>
    </row>
    <row r="364" spans="1:20" s="508" customFormat="1" ht="105" hidden="1">
      <c r="A364" s="518"/>
      <c r="B364" s="639" t="s">
        <v>4277</v>
      </c>
      <c r="C364" s="639" t="s">
        <v>3576</v>
      </c>
      <c r="D364" s="639"/>
      <c r="E364" s="519" t="str">
        <f>IF('GPS Anthro Tool'!$B$5=1,"ECE R129","")</f>
        <v/>
      </c>
      <c r="F364" s="506" t="s">
        <v>4317</v>
      </c>
      <c r="G364" s="639" t="s">
        <v>3648</v>
      </c>
      <c r="H364" s="639"/>
      <c r="I364" s="639"/>
      <c r="J364" s="513" t="s">
        <v>2957</v>
      </c>
      <c r="K364" s="643" t="s">
        <v>3771</v>
      </c>
      <c r="L364" s="526" t="s">
        <v>315</v>
      </c>
      <c r="M364" s="527" t="s">
        <v>315</v>
      </c>
      <c r="N364" s="528" t="s">
        <v>315</v>
      </c>
      <c r="O364" s="663"/>
      <c r="P364" s="529"/>
      <c r="Q364" s="531"/>
      <c r="R364" s="530"/>
      <c r="S364" s="530" t="s">
        <v>315</v>
      </c>
      <c r="T364" s="667"/>
    </row>
    <row r="365" spans="1:20" s="537" customFormat="1" ht="30" hidden="1">
      <c r="A365" s="518"/>
      <c r="B365" s="639" t="s">
        <v>2104</v>
      </c>
      <c r="C365" s="639" t="s">
        <v>3576</v>
      </c>
      <c r="D365" s="639"/>
      <c r="E365" s="519" t="str">
        <f>IF('GPS Anthro Tool'!$B$5=1,"ECE R129","")</f>
        <v/>
      </c>
      <c r="F365" s="506" t="s">
        <v>4317</v>
      </c>
      <c r="G365" s="639" t="s">
        <v>3645</v>
      </c>
      <c r="H365" s="639"/>
      <c r="I365" s="639"/>
      <c r="J365" s="513" t="s">
        <v>2957</v>
      </c>
      <c r="K365" s="643" t="s">
        <v>312</v>
      </c>
      <c r="L365" s="526" t="s">
        <v>315</v>
      </c>
      <c r="M365" s="527" t="s">
        <v>315</v>
      </c>
      <c r="N365" s="528" t="s">
        <v>315</v>
      </c>
      <c r="O365" s="663"/>
      <c r="P365" s="529"/>
      <c r="Q365" s="531"/>
      <c r="R365" s="530"/>
      <c r="S365" s="530" t="s">
        <v>315</v>
      </c>
      <c r="T365" s="667"/>
    </row>
    <row r="366" spans="1:20" s="508" customFormat="1" ht="30" hidden="1">
      <c r="A366" s="518"/>
      <c r="B366" s="639" t="s">
        <v>2104</v>
      </c>
      <c r="C366" s="639" t="s">
        <v>3576</v>
      </c>
      <c r="D366" s="639"/>
      <c r="E366" s="519" t="str">
        <f>IF('GPS Anthro Tool'!$B$5=1,"ECE R129","")</f>
        <v/>
      </c>
      <c r="F366" s="506" t="s">
        <v>4317</v>
      </c>
      <c r="G366" s="639" t="s">
        <v>3643</v>
      </c>
      <c r="H366" s="639"/>
      <c r="I366" s="639"/>
      <c r="J366" s="513" t="s">
        <v>2957</v>
      </c>
      <c r="K366" s="643" t="s">
        <v>3771</v>
      </c>
      <c r="L366" s="526" t="s">
        <v>315</v>
      </c>
      <c r="M366" s="527" t="s">
        <v>315</v>
      </c>
      <c r="N366" s="528" t="s">
        <v>315</v>
      </c>
      <c r="O366" s="663"/>
      <c r="P366" s="529"/>
      <c r="Q366" s="531"/>
      <c r="R366" s="530"/>
      <c r="S366" s="530" t="s">
        <v>315</v>
      </c>
      <c r="T366" s="667"/>
    </row>
    <row r="367" spans="1:20" s="537" customFormat="1" ht="30" hidden="1">
      <c r="A367" s="518"/>
      <c r="B367" s="639" t="s">
        <v>2104</v>
      </c>
      <c r="C367" s="639" t="s">
        <v>3585</v>
      </c>
      <c r="D367" s="639"/>
      <c r="E367" s="519" t="str">
        <f>IF('GPS Anthro Tool'!$B$5=1,"ECE R129","")</f>
        <v/>
      </c>
      <c r="F367" s="506" t="s">
        <v>4317</v>
      </c>
      <c r="G367" s="641" t="s">
        <v>3722</v>
      </c>
      <c r="H367" s="639"/>
      <c r="I367" s="639"/>
      <c r="J367" s="513" t="s">
        <v>2957</v>
      </c>
      <c r="K367" s="644" t="s">
        <v>312</v>
      </c>
      <c r="L367" s="526" t="s">
        <v>315</v>
      </c>
      <c r="M367" s="527" t="s">
        <v>315</v>
      </c>
      <c r="N367" s="528" t="s">
        <v>315</v>
      </c>
      <c r="O367" s="663"/>
      <c r="P367" s="529"/>
      <c r="Q367" s="531"/>
      <c r="R367" s="530"/>
      <c r="S367" s="530" t="s">
        <v>315</v>
      </c>
      <c r="T367" s="667"/>
    </row>
    <row r="368" spans="1:20" s="508" customFormat="1" ht="30" hidden="1">
      <c r="A368" s="518"/>
      <c r="B368" s="639" t="s">
        <v>2039</v>
      </c>
      <c r="C368" s="639" t="s">
        <v>3585</v>
      </c>
      <c r="D368" s="639"/>
      <c r="E368" s="519" t="str">
        <f>IF('GPS Anthro Tool'!$B$5=1,"ECE R129","")</f>
        <v/>
      </c>
      <c r="F368" s="506" t="s">
        <v>4317</v>
      </c>
      <c r="G368" s="639" t="s">
        <v>3723</v>
      </c>
      <c r="H368" s="639"/>
      <c r="I368" s="639"/>
      <c r="J368" s="513" t="s">
        <v>2957</v>
      </c>
      <c r="K368" s="643" t="s">
        <v>312</v>
      </c>
      <c r="L368" s="526" t="s">
        <v>315</v>
      </c>
      <c r="M368" s="527" t="s">
        <v>315</v>
      </c>
      <c r="N368" s="528" t="s">
        <v>315</v>
      </c>
      <c r="O368" s="663"/>
      <c r="P368" s="529"/>
      <c r="Q368" s="531"/>
      <c r="R368" s="530"/>
      <c r="S368" s="530" t="s">
        <v>315</v>
      </c>
      <c r="T368" s="667"/>
    </row>
    <row r="369" spans="1:20" s="537" customFormat="1" ht="30" hidden="1">
      <c r="A369" s="518"/>
      <c r="B369" s="639" t="s">
        <v>2039</v>
      </c>
      <c r="C369" s="639" t="s">
        <v>3585</v>
      </c>
      <c r="D369" s="639"/>
      <c r="E369" s="519" t="str">
        <f>IF('GPS Anthro Tool'!$B$5=1,"ECE R129","")</f>
        <v/>
      </c>
      <c r="F369" s="506" t="s">
        <v>4317</v>
      </c>
      <c r="G369" s="641" t="s">
        <v>3721</v>
      </c>
      <c r="H369" s="639"/>
      <c r="I369" s="639"/>
      <c r="J369" s="513" t="s">
        <v>2957</v>
      </c>
      <c r="K369" s="644" t="s">
        <v>312</v>
      </c>
      <c r="L369" s="526" t="s">
        <v>315</v>
      </c>
      <c r="M369" s="527" t="s">
        <v>315</v>
      </c>
      <c r="N369" s="528" t="s">
        <v>315</v>
      </c>
      <c r="O369" s="663"/>
      <c r="P369" s="529"/>
      <c r="Q369" s="531"/>
      <c r="R369" s="530"/>
      <c r="S369" s="530" t="s">
        <v>315</v>
      </c>
      <c r="T369" s="667"/>
    </row>
    <row r="370" spans="1:20" s="537" customFormat="1" ht="45" hidden="1">
      <c r="A370" s="518"/>
      <c r="B370" s="639" t="s">
        <v>3591</v>
      </c>
      <c r="C370" s="639" t="s">
        <v>3591</v>
      </c>
      <c r="D370" s="639"/>
      <c r="E370" s="519" t="str">
        <f>IF('GPS Anthro Tool'!$B$5=1,"ECE R129","")</f>
        <v/>
      </c>
      <c r="F370" s="506" t="s">
        <v>4317</v>
      </c>
      <c r="G370" s="639" t="s">
        <v>3758</v>
      </c>
      <c r="H370" s="639" t="s">
        <v>3956</v>
      </c>
      <c r="I370" s="639" t="s">
        <v>3955</v>
      </c>
      <c r="J370" s="513" t="s">
        <v>2957</v>
      </c>
      <c r="K370" s="643" t="s">
        <v>312</v>
      </c>
      <c r="L370" s="526" t="s">
        <v>315</v>
      </c>
      <c r="M370" s="527" t="s">
        <v>315</v>
      </c>
      <c r="N370" s="528" t="s">
        <v>315</v>
      </c>
      <c r="O370" s="663"/>
      <c r="P370" s="529"/>
      <c r="Q370" s="531"/>
      <c r="R370" s="530"/>
      <c r="S370" s="530" t="s">
        <v>315</v>
      </c>
      <c r="T370" s="667"/>
    </row>
    <row r="371" spans="1:20" s="537" customFormat="1" hidden="1">
      <c r="A371" s="518"/>
      <c r="B371" s="639" t="s">
        <v>3591</v>
      </c>
      <c r="C371" s="639" t="s">
        <v>3591</v>
      </c>
      <c r="D371" s="639"/>
      <c r="E371" s="519" t="str">
        <f>IF('GPS Anthro Tool'!$B$5=1,"ECE R129","")</f>
        <v/>
      </c>
      <c r="F371" s="506" t="s">
        <v>4317</v>
      </c>
      <c r="G371" s="639" t="s">
        <v>3759</v>
      </c>
      <c r="H371" s="639" t="s">
        <v>3957</v>
      </c>
      <c r="I371" s="639" t="s">
        <v>3955</v>
      </c>
      <c r="J371" s="513" t="s">
        <v>2957</v>
      </c>
      <c r="K371" s="643" t="s">
        <v>312</v>
      </c>
      <c r="L371" s="526" t="s">
        <v>315</v>
      </c>
      <c r="M371" s="527" t="s">
        <v>315</v>
      </c>
      <c r="N371" s="528" t="s">
        <v>315</v>
      </c>
      <c r="O371" s="663"/>
      <c r="P371" s="529"/>
      <c r="Q371" s="531"/>
      <c r="R371" s="530"/>
      <c r="S371" s="530" t="s">
        <v>315</v>
      </c>
      <c r="T371" s="667"/>
    </row>
    <row r="372" spans="1:20" s="508" customFormat="1" hidden="1">
      <c r="A372" s="518"/>
      <c r="B372" s="639" t="s">
        <v>3591</v>
      </c>
      <c r="C372" s="639" t="s">
        <v>3591</v>
      </c>
      <c r="D372" s="639"/>
      <c r="E372" s="519" t="str">
        <f>IF('GPS Anthro Tool'!$B$5=1,"ECE R129","")</f>
        <v/>
      </c>
      <c r="F372" s="506" t="s">
        <v>4317</v>
      </c>
      <c r="G372" s="639" t="s">
        <v>3760</v>
      </c>
      <c r="H372" s="639" t="s">
        <v>3957</v>
      </c>
      <c r="I372" s="639" t="s">
        <v>3955</v>
      </c>
      <c r="J372" s="513" t="s">
        <v>2957</v>
      </c>
      <c r="K372" s="643" t="s">
        <v>312</v>
      </c>
      <c r="L372" s="526" t="s">
        <v>315</v>
      </c>
      <c r="M372" s="527" t="s">
        <v>315</v>
      </c>
      <c r="N372" s="528" t="s">
        <v>315</v>
      </c>
      <c r="O372" s="663"/>
      <c r="P372" s="529"/>
      <c r="Q372" s="531"/>
      <c r="R372" s="530"/>
      <c r="S372" s="530" t="s">
        <v>315</v>
      </c>
      <c r="T372" s="667"/>
    </row>
    <row r="373" spans="1:20" s="537" customFormat="1" hidden="1">
      <c r="A373" s="518"/>
      <c r="B373" s="639" t="s">
        <v>3591</v>
      </c>
      <c r="C373" s="639" t="s">
        <v>3591</v>
      </c>
      <c r="D373" s="639"/>
      <c r="E373" s="519" t="str">
        <f>IF('GPS Anthro Tool'!$B$5=1,"ECE R129","")</f>
        <v/>
      </c>
      <c r="F373" s="506" t="s">
        <v>4317</v>
      </c>
      <c r="G373" s="639" t="s">
        <v>3761</v>
      </c>
      <c r="H373" s="639"/>
      <c r="I373" s="639"/>
      <c r="J373" s="513" t="s">
        <v>2957</v>
      </c>
      <c r="K373" s="643" t="s">
        <v>312</v>
      </c>
      <c r="L373" s="526" t="s">
        <v>315</v>
      </c>
      <c r="M373" s="527" t="s">
        <v>315</v>
      </c>
      <c r="N373" s="528" t="s">
        <v>315</v>
      </c>
      <c r="O373" s="663"/>
      <c r="P373" s="529"/>
      <c r="Q373" s="531"/>
      <c r="R373" s="530"/>
      <c r="S373" s="530" t="s">
        <v>315</v>
      </c>
      <c r="T373" s="667"/>
    </row>
    <row r="374" spans="1:20" s="508" customFormat="1" ht="30" hidden="1">
      <c r="A374" s="518"/>
      <c r="B374" s="639" t="s">
        <v>3582</v>
      </c>
      <c r="C374" s="639" t="s">
        <v>3582</v>
      </c>
      <c r="D374" s="639"/>
      <c r="E374" s="519" t="str">
        <f>IF('GPS Anthro Tool'!$B$5=1,"ECE R129","")</f>
        <v/>
      </c>
      <c r="F374" s="506" t="s">
        <v>4317</v>
      </c>
      <c r="G374" s="639" t="s">
        <v>3691</v>
      </c>
      <c r="H374" s="639"/>
      <c r="I374" s="639"/>
      <c r="J374" s="513" t="s">
        <v>2957</v>
      </c>
      <c r="K374" s="643" t="s">
        <v>605</v>
      </c>
      <c r="L374" s="526" t="s">
        <v>315</v>
      </c>
      <c r="M374" s="527" t="s">
        <v>315</v>
      </c>
      <c r="N374" s="528" t="s">
        <v>315</v>
      </c>
      <c r="O374" s="663"/>
      <c r="P374" s="529"/>
      <c r="Q374" s="531"/>
      <c r="R374" s="530"/>
      <c r="S374" s="530" t="s">
        <v>315</v>
      </c>
      <c r="T374" s="667"/>
    </row>
    <row r="375" spans="1:20" s="537" customFormat="1" ht="30" hidden="1">
      <c r="A375" s="518"/>
      <c r="B375" s="639" t="s">
        <v>4287</v>
      </c>
      <c r="C375" s="639" t="s">
        <v>3587</v>
      </c>
      <c r="D375" s="639"/>
      <c r="E375" s="519" t="str">
        <f>IF('GPS Anthro Tool'!$B$5=1,"ECE R129","")</f>
        <v/>
      </c>
      <c r="F375" s="506" t="s">
        <v>4317</v>
      </c>
      <c r="G375" s="639" t="s">
        <v>3737</v>
      </c>
      <c r="H375" s="639"/>
      <c r="I375" s="639"/>
      <c r="J375" s="513" t="s">
        <v>2957</v>
      </c>
      <c r="K375" s="643" t="s">
        <v>312</v>
      </c>
      <c r="L375" s="526" t="s">
        <v>315</v>
      </c>
      <c r="M375" s="527" t="s">
        <v>315</v>
      </c>
      <c r="N375" s="528" t="s">
        <v>315</v>
      </c>
      <c r="O375" s="663"/>
      <c r="P375" s="529"/>
      <c r="Q375" s="531"/>
      <c r="R375" s="530"/>
      <c r="S375" s="530" t="s">
        <v>315</v>
      </c>
      <c r="T375" s="667"/>
    </row>
    <row r="376" spans="1:20" s="508" customFormat="1" ht="75" hidden="1">
      <c r="A376" s="518"/>
      <c r="B376" s="519" t="s">
        <v>1614</v>
      </c>
      <c r="C376" s="507" t="s">
        <v>1614</v>
      </c>
      <c r="D376" s="536" t="s">
        <v>1618</v>
      </c>
      <c r="E376" s="519" t="str">
        <f>IF('GPS Anthro Tool'!$B$5=1,"ECE R129","")</f>
        <v/>
      </c>
      <c r="F376" s="507" t="s">
        <v>4243</v>
      </c>
      <c r="G376" s="520" t="s">
        <v>4290</v>
      </c>
      <c r="H376" s="507" t="s">
        <v>1619</v>
      </c>
      <c r="I376" s="507"/>
      <c r="J376" s="519" t="s">
        <v>3960</v>
      </c>
      <c r="K376" s="521" t="s">
        <v>605</v>
      </c>
      <c r="L376" s="526" t="s">
        <v>315</v>
      </c>
      <c r="M376" s="527" t="s">
        <v>315</v>
      </c>
      <c r="N376" s="528" t="s">
        <v>315</v>
      </c>
      <c r="O376" s="663"/>
      <c r="P376" s="529"/>
      <c r="Q376" s="530" t="s">
        <v>315</v>
      </c>
      <c r="R376" s="530"/>
      <c r="S376" s="530"/>
      <c r="T376" s="667"/>
    </row>
    <row r="377" spans="1:20" s="537" customFormat="1" ht="60" hidden="1">
      <c r="A377" s="518"/>
      <c r="B377" s="519" t="s">
        <v>1614</v>
      </c>
      <c r="C377" s="507" t="s">
        <v>1614</v>
      </c>
      <c r="D377" s="536" t="s">
        <v>1629</v>
      </c>
      <c r="E377" s="519" t="str">
        <f>IF('GPS Anthro Tool'!$B$5=1,"ECE R129","")</f>
        <v/>
      </c>
      <c r="F377" s="507" t="s">
        <v>4243</v>
      </c>
      <c r="G377" s="520" t="s">
        <v>4291</v>
      </c>
      <c r="H377" s="507" t="s">
        <v>1630</v>
      </c>
      <c r="I377" s="507"/>
      <c r="J377" s="519" t="s">
        <v>3960</v>
      </c>
      <c r="K377" s="521" t="s">
        <v>605</v>
      </c>
      <c r="L377" s="526" t="s">
        <v>315</v>
      </c>
      <c r="M377" s="527" t="s">
        <v>315</v>
      </c>
      <c r="N377" s="528" t="s">
        <v>315</v>
      </c>
      <c r="O377" s="663"/>
      <c r="P377" s="529"/>
      <c r="Q377" s="530" t="s">
        <v>315</v>
      </c>
      <c r="R377" s="530"/>
      <c r="S377" s="530"/>
      <c r="T377" s="667"/>
    </row>
    <row r="378" spans="1:20" s="508" customFormat="1" ht="30" hidden="1">
      <c r="A378" s="518"/>
      <c r="B378" s="519" t="s">
        <v>1614</v>
      </c>
      <c r="C378" s="507" t="s">
        <v>1614</v>
      </c>
      <c r="D378" s="536" t="s">
        <v>1629</v>
      </c>
      <c r="E378" s="519" t="str">
        <f>IF('GPS Anthro Tool'!$B$5=1,"ECE R129","")</f>
        <v/>
      </c>
      <c r="F378" s="507" t="s">
        <v>4243</v>
      </c>
      <c r="G378" s="507" t="s">
        <v>1625</v>
      </c>
      <c r="H378" s="507" t="s">
        <v>1625</v>
      </c>
      <c r="I378" s="506"/>
      <c r="J378" s="519" t="s">
        <v>3960</v>
      </c>
      <c r="K378" s="521" t="s">
        <v>605</v>
      </c>
      <c r="L378" s="526" t="s">
        <v>315</v>
      </c>
      <c r="M378" s="527" t="s">
        <v>315</v>
      </c>
      <c r="N378" s="528" t="s">
        <v>315</v>
      </c>
      <c r="O378" s="663"/>
      <c r="P378" s="529"/>
      <c r="Q378" s="530" t="s">
        <v>315</v>
      </c>
      <c r="R378" s="530"/>
      <c r="S378" s="530"/>
      <c r="T378" s="667"/>
    </row>
    <row r="379" spans="1:20" s="508" customFormat="1" ht="90" hidden="1">
      <c r="A379" s="518"/>
      <c r="B379" s="519" t="s">
        <v>1614</v>
      </c>
      <c r="C379" s="507" t="s">
        <v>1614</v>
      </c>
      <c r="D379" s="536" t="s">
        <v>1629</v>
      </c>
      <c r="E379" s="519" t="str">
        <f>IF('GPS Anthro Tool'!$B$5=1,"ECE R129","")</f>
        <v/>
      </c>
      <c r="F379" s="507" t="s">
        <v>4243</v>
      </c>
      <c r="G379" s="520" t="s">
        <v>4291</v>
      </c>
      <c r="H379" s="507" t="s">
        <v>1631</v>
      </c>
      <c r="I379" s="506"/>
      <c r="J379" s="519" t="s">
        <v>3960</v>
      </c>
      <c r="K379" s="521" t="s">
        <v>605</v>
      </c>
      <c r="L379" s="526" t="s">
        <v>315</v>
      </c>
      <c r="M379" s="527" t="s">
        <v>315</v>
      </c>
      <c r="N379" s="528" t="s">
        <v>315</v>
      </c>
      <c r="O379" s="663"/>
      <c r="P379" s="529"/>
      <c r="Q379" s="530" t="s">
        <v>315</v>
      </c>
      <c r="R379" s="530"/>
      <c r="S379" s="530"/>
      <c r="T379" s="667"/>
    </row>
    <row r="380" spans="1:20" s="508" customFormat="1" ht="45" hidden="1">
      <c r="A380" s="518"/>
      <c r="B380" s="519" t="s">
        <v>1614</v>
      </c>
      <c r="C380" s="507" t="s">
        <v>1614</v>
      </c>
      <c r="D380" s="536" t="s">
        <v>1629</v>
      </c>
      <c r="E380" s="519" t="str">
        <f>IF('GPS Anthro Tool'!$B$5=1,"ECE R129","")</f>
        <v/>
      </c>
      <c r="F380" s="507" t="s">
        <v>4243</v>
      </c>
      <c r="G380" s="520" t="s">
        <v>4290</v>
      </c>
      <c r="H380" s="507" t="s">
        <v>1632</v>
      </c>
      <c r="I380" s="506"/>
      <c r="J380" s="519" t="s">
        <v>3960</v>
      </c>
      <c r="K380" s="521" t="s">
        <v>605</v>
      </c>
      <c r="L380" s="526" t="s">
        <v>315</v>
      </c>
      <c r="M380" s="527" t="s">
        <v>315</v>
      </c>
      <c r="N380" s="528" t="s">
        <v>315</v>
      </c>
      <c r="O380" s="663"/>
      <c r="P380" s="529"/>
      <c r="Q380" s="530" t="s">
        <v>315</v>
      </c>
      <c r="R380" s="530"/>
      <c r="S380" s="530"/>
      <c r="T380" s="667"/>
    </row>
    <row r="381" spans="1:20" s="508" customFormat="1" ht="60" hidden="1">
      <c r="A381" s="518"/>
      <c r="B381" s="519" t="s">
        <v>1614</v>
      </c>
      <c r="C381" s="509" t="s">
        <v>1614</v>
      </c>
      <c r="D381" s="507" t="s">
        <v>1638</v>
      </c>
      <c r="E381" s="519" t="str">
        <f>IF('GPS Anthro Tool'!$B$5=1,"ECE R129","")</f>
        <v/>
      </c>
      <c r="F381" s="507" t="s">
        <v>4243</v>
      </c>
      <c r="G381" s="520" t="s">
        <v>4291</v>
      </c>
      <c r="H381" s="507" t="s">
        <v>1639</v>
      </c>
      <c r="I381" s="507"/>
      <c r="J381" s="519" t="s">
        <v>3960</v>
      </c>
      <c r="K381" s="521" t="s">
        <v>605</v>
      </c>
      <c r="L381" s="526" t="s">
        <v>315</v>
      </c>
      <c r="M381" s="527" t="s">
        <v>315</v>
      </c>
      <c r="N381" s="528" t="s">
        <v>315</v>
      </c>
      <c r="O381" s="663"/>
      <c r="P381" s="529"/>
      <c r="Q381" s="530" t="s">
        <v>315</v>
      </c>
      <c r="R381" s="530"/>
      <c r="S381" s="530"/>
      <c r="T381" s="667"/>
    </row>
    <row r="382" spans="1:20" s="508" customFormat="1" ht="30" hidden="1">
      <c r="A382" s="518"/>
      <c r="B382" s="519" t="s">
        <v>1614</v>
      </c>
      <c r="C382" s="509" t="s">
        <v>1614</v>
      </c>
      <c r="D382" s="509" t="s">
        <v>1638</v>
      </c>
      <c r="E382" s="519" t="str">
        <f>IF('GPS Anthro Tool'!$B$5=1,"ECE R129","")</f>
        <v/>
      </c>
      <c r="F382" s="507" t="s">
        <v>4243</v>
      </c>
      <c r="G382" s="507" t="s">
        <v>1625</v>
      </c>
      <c r="H382" s="507" t="s">
        <v>1625</v>
      </c>
      <c r="I382" s="506"/>
      <c r="J382" s="519" t="s">
        <v>3960</v>
      </c>
      <c r="K382" s="521" t="s">
        <v>605</v>
      </c>
      <c r="L382" s="526" t="s">
        <v>315</v>
      </c>
      <c r="M382" s="527" t="s">
        <v>315</v>
      </c>
      <c r="N382" s="528" t="s">
        <v>315</v>
      </c>
      <c r="O382" s="663"/>
      <c r="P382" s="529"/>
      <c r="Q382" s="530" t="s">
        <v>315</v>
      </c>
      <c r="R382" s="530"/>
      <c r="S382" s="530"/>
      <c r="T382" s="667"/>
    </row>
    <row r="383" spans="1:20" s="508" customFormat="1" ht="90" hidden="1">
      <c r="A383" s="518"/>
      <c r="B383" s="519" t="s">
        <v>1614</v>
      </c>
      <c r="C383" s="509" t="s">
        <v>1614</v>
      </c>
      <c r="D383" s="509" t="s">
        <v>1638</v>
      </c>
      <c r="E383" s="519" t="str">
        <f>IF('GPS Anthro Tool'!$B$5=1,"ECE R129","")</f>
        <v/>
      </c>
      <c r="F383" s="507" t="s">
        <v>4243</v>
      </c>
      <c r="G383" s="520" t="s">
        <v>4291</v>
      </c>
      <c r="H383" s="507" t="s">
        <v>1640</v>
      </c>
      <c r="I383" s="506"/>
      <c r="J383" s="519" t="s">
        <v>3960</v>
      </c>
      <c r="K383" s="521" t="s">
        <v>605</v>
      </c>
      <c r="L383" s="526" t="s">
        <v>315</v>
      </c>
      <c r="M383" s="527" t="s">
        <v>315</v>
      </c>
      <c r="N383" s="528" t="s">
        <v>315</v>
      </c>
      <c r="O383" s="663"/>
      <c r="P383" s="529"/>
      <c r="Q383" s="530" t="s">
        <v>315</v>
      </c>
      <c r="R383" s="530"/>
      <c r="S383" s="530"/>
      <c r="T383" s="667"/>
    </row>
    <row r="384" spans="1:20" s="508" customFormat="1" ht="45" hidden="1">
      <c r="A384" s="518"/>
      <c r="B384" s="519" t="s">
        <v>1614</v>
      </c>
      <c r="C384" s="509" t="s">
        <v>1614</v>
      </c>
      <c r="D384" s="509" t="s">
        <v>1638</v>
      </c>
      <c r="E384" s="519" t="str">
        <f>IF('GPS Anthro Tool'!$B$5=1,"ECE R129","")</f>
        <v/>
      </c>
      <c r="F384" s="507" t="s">
        <v>4243</v>
      </c>
      <c r="G384" s="520" t="s">
        <v>4290</v>
      </c>
      <c r="H384" s="507" t="s">
        <v>1632</v>
      </c>
      <c r="I384" s="506"/>
      <c r="J384" s="519" t="s">
        <v>3960</v>
      </c>
      <c r="K384" s="521" t="s">
        <v>605</v>
      </c>
      <c r="L384" s="526" t="s">
        <v>315</v>
      </c>
      <c r="M384" s="527" t="s">
        <v>315</v>
      </c>
      <c r="N384" s="528" t="s">
        <v>315</v>
      </c>
      <c r="O384" s="663"/>
      <c r="P384" s="529"/>
      <c r="Q384" s="530" t="s">
        <v>315</v>
      </c>
      <c r="R384" s="530"/>
      <c r="S384" s="530"/>
      <c r="T384" s="667"/>
    </row>
    <row r="385" spans="1:20" s="508" customFormat="1" ht="90" hidden="1">
      <c r="A385" s="518"/>
      <c r="B385" s="519" t="s">
        <v>1614</v>
      </c>
      <c r="C385" s="509" t="s">
        <v>1614</v>
      </c>
      <c r="D385" s="509" t="s">
        <v>1643</v>
      </c>
      <c r="E385" s="519" t="str">
        <f>IF('GPS Anthro Tool'!$B$5=1,"ECE R129","")</f>
        <v/>
      </c>
      <c r="F385" s="507" t="s">
        <v>4243</v>
      </c>
      <c r="G385" s="520" t="s">
        <v>4290</v>
      </c>
      <c r="H385" s="507" t="s">
        <v>1644</v>
      </c>
      <c r="I385" s="507"/>
      <c r="J385" s="519" t="s">
        <v>3960</v>
      </c>
      <c r="K385" s="521" t="s">
        <v>605</v>
      </c>
      <c r="L385" s="526" t="s">
        <v>315</v>
      </c>
      <c r="M385" s="527" t="s">
        <v>315</v>
      </c>
      <c r="N385" s="528" t="s">
        <v>315</v>
      </c>
      <c r="O385" s="663"/>
      <c r="P385" s="529"/>
      <c r="Q385" s="530" t="s">
        <v>315</v>
      </c>
      <c r="R385" s="530"/>
      <c r="S385" s="530"/>
      <c r="T385" s="667"/>
    </row>
    <row r="386" spans="1:20" s="508" customFormat="1" ht="90" hidden="1">
      <c r="A386" s="518"/>
      <c r="B386" s="519" t="s">
        <v>1614</v>
      </c>
      <c r="C386" s="509" t="s">
        <v>1614</v>
      </c>
      <c r="D386" s="509" t="s">
        <v>1649</v>
      </c>
      <c r="E386" s="519" t="str">
        <f>IF('GPS Anthro Tool'!$B$5=1,"ECE R129","")</f>
        <v/>
      </c>
      <c r="F386" s="507" t="s">
        <v>4243</v>
      </c>
      <c r="G386" s="520" t="s">
        <v>4290</v>
      </c>
      <c r="H386" s="507" t="s">
        <v>1650</v>
      </c>
      <c r="I386" s="507"/>
      <c r="J386" s="519" t="s">
        <v>3960</v>
      </c>
      <c r="K386" s="521" t="s">
        <v>605</v>
      </c>
      <c r="L386" s="526" t="s">
        <v>315</v>
      </c>
      <c r="M386" s="527" t="s">
        <v>315</v>
      </c>
      <c r="N386" s="528" t="s">
        <v>315</v>
      </c>
      <c r="O386" s="663"/>
      <c r="P386" s="529"/>
      <c r="Q386" s="530" t="s">
        <v>315</v>
      </c>
      <c r="R386" s="530"/>
      <c r="S386" s="530"/>
      <c r="T386" s="667"/>
    </row>
    <row r="387" spans="1:20" s="508" customFormat="1" ht="45" hidden="1">
      <c r="A387" s="518"/>
      <c r="B387" s="519" t="s">
        <v>1614</v>
      </c>
      <c r="C387" s="509" t="s">
        <v>1614</v>
      </c>
      <c r="D387" s="509" t="s">
        <v>1653</v>
      </c>
      <c r="E387" s="519" t="str">
        <f>IF('GPS Anthro Tool'!$B$5=1,"ECE R129","")</f>
        <v/>
      </c>
      <c r="F387" s="507" t="s">
        <v>4243</v>
      </c>
      <c r="G387" s="520" t="s">
        <v>4290</v>
      </c>
      <c r="H387" s="507" t="s">
        <v>1654</v>
      </c>
      <c r="I387" s="507"/>
      <c r="J387" s="519" t="s">
        <v>3960</v>
      </c>
      <c r="K387" s="521" t="s">
        <v>605</v>
      </c>
      <c r="L387" s="526" t="s">
        <v>315</v>
      </c>
      <c r="M387" s="527" t="s">
        <v>315</v>
      </c>
      <c r="N387" s="528" t="s">
        <v>315</v>
      </c>
      <c r="O387" s="663"/>
      <c r="P387" s="529"/>
      <c r="Q387" s="530" t="s">
        <v>315</v>
      </c>
      <c r="R387" s="530"/>
      <c r="S387" s="530"/>
      <c r="T387" s="667"/>
    </row>
    <row r="388" spans="1:20" s="508" customFormat="1" ht="105" hidden="1">
      <c r="A388" s="518"/>
      <c r="B388" s="519" t="s">
        <v>1614</v>
      </c>
      <c r="C388" s="509" t="s">
        <v>1614</v>
      </c>
      <c r="D388" s="507" t="s">
        <v>1657</v>
      </c>
      <c r="E388" s="519" t="str">
        <f>IF('GPS Anthro Tool'!$B$5=1,"ECE R129","")</f>
        <v/>
      </c>
      <c r="F388" s="507" t="s">
        <v>4243</v>
      </c>
      <c r="G388" s="520" t="s">
        <v>4290</v>
      </c>
      <c r="H388" s="507" t="s">
        <v>1658</v>
      </c>
      <c r="I388" s="507"/>
      <c r="J388" s="519" t="s">
        <v>3960</v>
      </c>
      <c r="K388" s="521" t="s">
        <v>605</v>
      </c>
      <c r="L388" s="526" t="s">
        <v>315</v>
      </c>
      <c r="M388" s="527" t="s">
        <v>315</v>
      </c>
      <c r="N388" s="528" t="s">
        <v>315</v>
      </c>
      <c r="O388" s="663"/>
      <c r="P388" s="529"/>
      <c r="Q388" s="530" t="s">
        <v>315</v>
      </c>
      <c r="R388" s="530"/>
      <c r="S388" s="530"/>
      <c r="T388" s="667"/>
    </row>
    <row r="389" spans="1:20" s="508" customFormat="1" ht="45" hidden="1">
      <c r="A389" s="518"/>
      <c r="B389" s="519" t="s">
        <v>1614</v>
      </c>
      <c r="C389" s="509" t="s">
        <v>1614</v>
      </c>
      <c r="D389" s="509" t="s">
        <v>1661</v>
      </c>
      <c r="E389" s="519" t="str">
        <f>IF('GPS Anthro Tool'!$B$5=1,"ECE R129","")</f>
        <v/>
      </c>
      <c r="F389" s="507" t="s">
        <v>4243</v>
      </c>
      <c r="G389" s="520" t="s">
        <v>4290</v>
      </c>
      <c r="H389" s="507" t="s">
        <v>1662</v>
      </c>
      <c r="I389" s="507"/>
      <c r="J389" s="519" t="s">
        <v>3960</v>
      </c>
      <c r="K389" s="521" t="s">
        <v>605</v>
      </c>
      <c r="L389" s="526" t="s">
        <v>315</v>
      </c>
      <c r="M389" s="527" t="s">
        <v>315</v>
      </c>
      <c r="N389" s="528" t="s">
        <v>315</v>
      </c>
      <c r="O389" s="663"/>
      <c r="P389" s="529"/>
      <c r="Q389" s="530" t="s">
        <v>315</v>
      </c>
      <c r="R389" s="530"/>
      <c r="S389" s="530"/>
      <c r="T389" s="667"/>
    </row>
    <row r="390" spans="1:20" s="508" customFormat="1" ht="120" hidden="1">
      <c r="A390" s="518"/>
      <c r="B390" s="519" t="s">
        <v>1614</v>
      </c>
      <c r="C390" s="509" t="s">
        <v>1614</v>
      </c>
      <c r="D390" s="507" t="s">
        <v>1665</v>
      </c>
      <c r="E390" s="519" t="str">
        <f>IF('GPS Anthro Tool'!$B$5=1,"ECE R129","")</f>
        <v/>
      </c>
      <c r="F390" s="507" t="s">
        <v>4243</v>
      </c>
      <c r="G390" s="520" t="s">
        <v>4290</v>
      </c>
      <c r="H390" s="507" t="s">
        <v>1666</v>
      </c>
      <c r="I390" s="507"/>
      <c r="J390" s="519" t="s">
        <v>3960</v>
      </c>
      <c r="K390" s="521" t="s">
        <v>605</v>
      </c>
      <c r="L390" s="526" t="s">
        <v>315</v>
      </c>
      <c r="M390" s="527" t="s">
        <v>315</v>
      </c>
      <c r="N390" s="528" t="s">
        <v>315</v>
      </c>
      <c r="O390" s="663"/>
      <c r="P390" s="529"/>
      <c r="Q390" s="530" t="s">
        <v>315</v>
      </c>
      <c r="R390" s="530"/>
      <c r="S390" s="530"/>
      <c r="T390" s="667"/>
    </row>
    <row r="391" spans="1:20" s="508" customFormat="1" ht="90" hidden="1">
      <c r="A391" s="518"/>
      <c r="B391" s="519" t="s">
        <v>1614</v>
      </c>
      <c r="C391" s="509" t="s">
        <v>1614</v>
      </c>
      <c r="D391" s="509" t="s">
        <v>1670</v>
      </c>
      <c r="E391" s="519" t="str">
        <f>IF('GPS Anthro Tool'!$B$5=1,"ECE R129","")</f>
        <v/>
      </c>
      <c r="F391" s="507" t="s">
        <v>4243</v>
      </c>
      <c r="G391" s="520" t="s">
        <v>4292</v>
      </c>
      <c r="H391" s="507" t="s">
        <v>1671</v>
      </c>
      <c r="I391" s="507"/>
      <c r="J391" s="519" t="s">
        <v>3960</v>
      </c>
      <c r="K391" s="521" t="s">
        <v>605</v>
      </c>
      <c r="L391" s="526" t="s">
        <v>315</v>
      </c>
      <c r="M391" s="527" t="s">
        <v>315</v>
      </c>
      <c r="N391" s="528" t="s">
        <v>315</v>
      </c>
      <c r="O391" s="663"/>
      <c r="P391" s="529"/>
      <c r="Q391" s="530" t="s">
        <v>315</v>
      </c>
      <c r="R391" s="530"/>
      <c r="S391" s="530"/>
      <c r="T391" s="667"/>
    </row>
    <row r="392" spans="1:20" s="508" customFormat="1" ht="90" hidden="1">
      <c r="A392" s="518"/>
      <c r="B392" s="519" t="s">
        <v>1614</v>
      </c>
      <c r="C392" s="509" t="s">
        <v>1614</v>
      </c>
      <c r="D392" s="509" t="s">
        <v>1670</v>
      </c>
      <c r="E392" s="519" t="str">
        <f>IF('GPS Anthro Tool'!$B$5=1,"ECE R129","")</f>
        <v/>
      </c>
      <c r="F392" s="507" t="s">
        <v>4243</v>
      </c>
      <c r="G392" s="520" t="s">
        <v>4292</v>
      </c>
      <c r="H392" s="507" t="s">
        <v>1672</v>
      </c>
      <c r="I392" s="506"/>
      <c r="J392" s="519" t="s">
        <v>3960</v>
      </c>
      <c r="K392" s="521" t="s">
        <v>605</v>
      </c>
      <c r="L392" s="526" t="s">
        <v>315</v>
      </c>
      <c r="M392" s="527" t="s">
        <v>315</v>
      </c>
      <c r="N392" s="528" t="s">
        <v>315</v>
      </c>
      <c r="O392" s="663"/>
      <c r="P392" s="529"/>
      <c r="Q392" s="530" t="s">
        <v>315</v>
      </c>
      <c r="R392" s="530"/>
      <c r="S392" s="530"/>
      <c r="T392" s="667"/>
    </row>
    <row r="393" spans="1:20" s="508" customFormat="1" ht="60" hidden="1">
      <c r="A393" s="518"/>
      <c r="B393" s="519" t="s">
        <v>1614</v>
      </c>
      <c r="C393" s="509" t="s">
        <v>1614</v>
      </c>
      <c r="D393" s="509" t="s">
        <v>1682</v>
      </c>
      <c r="E393" s="519" t="str">
        <f>IF('GPS Anthro Tool'!$B$5=1,"ECE R129","")</f>
        <v/>
      </c>
      <c r="F393" s="507" t="s">
        <v>4243</v>
      </c>
      <c r="G393" s="520" t="s">
        <v>4290</v>
      </c>
      <c r="H393" s="507" t="s">
        <v>1683</v>
      </c>
      <c r="I393" s="507"/>
      <c r="J393" s="519" t="s">
        <v>3960</v>
      </c>
      <c r="K393" s="521" t="s">
        <v>605</v>
      </c>
      <c r="L393" s="526" t="s">
        <v>315</v>
      </c>
      <c r="M393" s="527" t="s">
        <v>315</v>
      </c>
      <c r="N393" s="528" t="s">
        <v>315</v>
      </c>
      <c r="O393" s="663"/>
      <c r="P393" s="529"/>
      <c r="Q393" s="530" t="s">
        <v>315</v>
      </c>
      <c r="R393" s="530"/>
      <c r="S393" s="530"/>
      <c r="T393" s="667"/>
    </row>
    <row r="394" spans="1:20" s="508" customFormat="1" ht="75" hidden="1">
      <c r="A394" s="518"/>
      <c r="B394" s="519" t="s">
        <v>1614</v>
      </c>
      <c r="C394" s="509" t="s">
        <v>1614</v>
      </c>
      <c r="D394" s="509" t="s">
        <v>1719</v>
      </c>
      <c r="E394" s="519" t="str">
        <f>IF('GPS Anthro Tool'!$B$5=1,"ECE R129","")</f>
        <v/>
      </c>
      <c r="F394" s="507" t="s">
        <v>4243</v>
      </c>
      <c r="G394" s="520" t="s">
        <v>4290</v>
      </c>
      <c r="H394" s="507" t="s">
        <v>1720</v>
      </c>
      <c r="I394" s="507"/>
      <c r="J394" s="519" t="s">
        <v>3960</v>
      </c>
      <c r="K394" s="521" t="s">
        <v>605</v>
      </c>
      <c r="L394" s="526" t="s">
        <v>315</v>
      </c>
      <c r="M394" s="527" t="s">
        <v>315</v>
      </c>
      <c r="N394" s="528" t="s">
        <v>315</v>
      </c>
      <c r="O394" s="663"/>
      <c r="P394" s="529"/>
      <c r="Q394" s="530" t="s">
        <v>315</v>
      </c>
      <c r="R394" s="530"/>
      <c r="S394" s="530"/>
      <c r="T394" s="667"/>
    </row>
    <row r="395" spans="1:20" s="508" customFormat="1" ht="45" hidden="1">
      <c r="A395" s="518"/>
      <c r="B395" s="519" t="s">
        <v>1614</v>
      </c>
      <c r="C395" s="509" t="s">
        <v>1614</v>
      </c>
      <c r="D395" s="509" t="s">
        <v>1723</v>
      </c>
      <c r="E395" s="519" t="str">
        <f>IF('GPS Anthro Tool'!$B$5=1,"ECE R129","")</f>
        <v/>
      </c>
      <c r="F395" s="507" t="s">
        <v>4243</v>
      </c>
      <c r="G395" s="520" t="s">
        <v>4290</v>
      </c>
      <c r="H395" s="507" t="s">
        <v>1724</v>
      </c>
      <c r="I395" s="507"/>
      <c r="J395" s="519" t="s">
        <v>3960</v>
      </c>
      <c r="K395" s="521" t="s">
        <v>605</v>
      </c>
      <c r="L395" s="526" t="s">
        <v>315</v>
      </c>
      <c r="M395" s="527" t="s">
        <v>315</v>
      </c>
      <c r="N395" s="528" t="s">
        <v>315</v>
      </c>
      <c r="O395" s="663"/>
      <c r="P395" s="529"/>
      <c r="Q395" s="530" t="s">
        <v>315</v>
      </c>
      <c r="R395" s="530"/>
      <c r="S395" s="530"/>
      <c r="T395" s="667"/>
    </row>
    <row r="396" spans="1:20" s="508" customFormat="1" ht="60" hidden="1">
      <c r="A396" s="518"/>
      <c r="B396" s="519" t="s">
        <v>1614</v>
      </c>
      <c r="C396" s="509" t="s">
        <v>1614</v>
      </c>
      <c r="D396" s="509" t="s">
        <v>1727</v>
      </c>
      <c r="E396" s="519" t="str">
        <f>IF('GPS Anthro Tool'!$B$5=1,"ECE R129","")</f>
        <v/>
      </c>
      <c r="F396" s="507" t="s">
        <v>4243</v>
      </c>
      <c r="G396" s="520" t="s">
        <v>3181</v>
      </c>
      <c r="H396" s="507" t="s">
        <v>1728</v>
      </c>
      <c r="I396" s="507"/>
      <c r="J396" s="519" t="s">
        <v>3960</v>
      </c>
      <c r="K396" s="521" t="s">
        <v>605</v>
      </c>
      <c r="L396" s="526" t="s">
        <v>315</v>
      </c>
      <c r="M396" s="527" t="s">
        <v>315</v>
      </c>
      <c r="N396" s="528" t="s">
        <v>315</v>
      </c>
      <c r="O396" s="663"/>
      <c r="P396" s="529"/>
      <c r="Q396" s="530" t="s">
        <v>315</v>
      </c>
      <c r="R396" s="530"/>
      <c r="S396" s="530"/>
      <c r="T396" s="667"/>
    </row>
    <row r="397" spans="1:20" s="508" customFormat="1" ht="30" hidden="1">
      <c r="A397" s="518"/>
      <c r="B397" s="519" t="s">
        <v>1614</v>
      </c>
      <c r="C397" s="509" t="s">
        <v>1614</v>
      </c>
      <c r="D397" s="509" t="s">
        <v>1731</v>
      </c>
      <c r="E397" s="519" t="str">
        <f>IF('GPS Anthro Tool'!$B$5=1,"ECE R129","")</f>
        <v/>
      </c>
      <c r="F397" s="507" t="s">
        <v>4243</v>
      </c>
      <c r="G397" s="520" t="s">
        <v>3181</v>
      </c>
      <c r="H397" s="507" t="s">
        <v>1732</v>
      </c>
      <c r="I397" s="507"/>
      <c r="J397" s="519" t="s">
        <v>3960</v>
      </c>
      <c r="K397" s="521" t="s">
        <v>605</v>
      </c>
      <c r="L397" s="526" t="s">
        <v>315</v>
      </c>
      <c r="M397" s="527" t="s">
        <v>315</v>
      </c>
      <c r="N397" s="528" t="s">
        <v>315</v>
      </c>
      <c r="O397" s="663"/>
      <c r="P397" s="529"/>
      <c r="Q397" s="530" t="s">
        <v>315</v>
      </c>
      <c r="R397" s="530"/>
      <c r="S397" s="530"/>
      <c r="T397" s="667"/>
    </row>
    <row r="398" spans="1:20" s="508" customFormat="1" ht="30" hidden="1">
      <c r="A398" s="518"/>
      <c r="B398" s="519" t="s">
        <v>1614</v>
      </c>
      <c r="C398" s="509" t="s">
        <v>1614</v>
      </c>
      <c r="D398" s="509" t="s">
        <v>1733</v>
      </c>
      <c r="E398" s="519" t="str">
        <f>IF('GPS Anthro Tool'!$B$5=1,"ECE R129","")</f>
        <v/>
      </c>
      <c r="F398" s="507" t="s">
        <v>4243</v>
      </c>
      <c r="G398" s="520" t="s">
        <v>3181</v>
      </c>
      <c r="H398" s="507" t="s">
        <v>1734</v>
      </c>
      <c r="I398" s="507"/>
      <c r="J398" s="519" t="s">
        <v>3960</v>
      </c>
      <c r="K398" s="521" t="s">
        <v>605</v>
      </c>
      <c r="L398" s="526" t="s">
        <v>315</v>
      </c>
      <c r="M398" s="527" t="s">
        <v>315</v>
      </c>
      <c r="N398" s="528" t="s">
        <v>315</v>
      </c>
      <c r="O398" s="663"/>
      <c r="P398" s="529"/>
      <c r="Q398" s="530" t="s">
        <v>315</v>
      </c>
      <c r="R398" s="530"/>
      <c r="S398" s="530"/>
      <c r="T398" s="667"/>
    </row>
    <row r="399" spans="1:20" s="508" customFormat="1" ht="90" hidden="1">
      <c r="A399" s="518"/>
      <c r="B399" s="519" t="s">
        <v>1614</v>
      </c>
      <c r="C399" s="534" t="s">
        <v>1614</v>
      </c>
      <c r="D399" s="507" t="s">
        <v>1735</v>
      </c>
      <c r="E399" s="519" t="str">
        <f>IF('GPS Anthro Tool'!$B$5=1,"ECE R129","")</f>
        <v/>
      </c>
      <c r="F399" s="507" t="s">
        <v>4243</v>
      </c>
      <c r="G399" s="520" t="s">
        <v>3181</v>
      </c>
      <c r="H399" s="507" t="s">
        <v>1736</v>
      </c>
      <c r="I399" s="507"/>
      <c r="J399" s="519" t="s">
        <v>3960</v>
      </c>
      <c r="K399" s="521" t="s">
        <v>605</v>
      </c>
      <c r="L399" s="526" t="s">
        <v>315</v>
      </c>
      <c r="M399" s="527" t="s">
        <v>315</v>
      </c>
      <c r="N399" s="528" t="s">
        <v>315</v>
      </c>
      <c r="O399" s="663"/>
      <c r="P399" s="529"/>
      <c r="Q399" s="530" t="s">
        <v>315</v>
      </c>
      <c r="R399" s="530"/>
      <c r="S399" s="530"/>
      <c r="T399" s="667"/>
    </row>
    <row r="400" spans="1:20" s="508" customFormat="1" ht="75" hidden="1">
      <c r="A400" s="518"/>
      <c r="B400" s="519" t="s">
        <v>1614</v>
      </c>
      <c r="C400" s="534" t="s">
        <v>1614</v>
      </c>
      <c r="D400" s="534" t="s">
        <v>1743</v>
      </c>
      <c r="E400" s="519" t="str">
        <f>IF('GPS Anthro Tool'!$B$5=1,"ECE R129","")</f>
        <v/>
      </c>
      <c r="F400" s="507" t="s">
        <v>4243</v>
      </c>
      <c r="G400" s="520" t="s">
        <v>3181</v>
      </c>
      <c r="H400" s="507" t="s">
        <v>1744</v>
      </c>
      <c r="I400" s="507"/>
      <c r="J400" s="519" t="s">
        <v>3960</v>
      </c>
      <c r="K400" s="521" t="s">
        <v>605</v>
      </c>
      <c r="L400" s="526" t="s">
        <v>315</v>
      </c>
      <c r="M400" s="527" t="s">
        <v>315</v>
      </c>
      <c r="N400" s="528" t="s">
        <v>315</v>
      </c>
      <c r="O400" s="663"/>
      <c r="P400" s="529"/>
      <c r="Q400" s="530" t="s">
        <v>315</v>
      </c>
      <c r="R400" s="530"/>
      <c r="S400" s="530"/>
      <c r="T400" s="667"/>
    </row>
    <row r="401" spans="1:20" s="508" customFormat="1" ht="60" hidden="1">
      <c r="A401" s="518"/>
      <c r="B401" s="519" t="s">
        <v>1614</v>
      </c>
      <c r="C401" s="534" t="s">
        <v>1614</v>
      </c>
      <c r="D401" s="534" t="s">
        <v>1749</v>
      </c>
      <c r="E401" s="519" t="str">
        <f>IF('GPS Anthro Tool'!$B$5=1,"ECE R129","")</f>
        <v/>
      </c>
      <c r="F401" s="507" t="s">
        <v>4243</v>
      </c>
      <c r="G401" s="520" t="s">
        <v>3181</v>
      </c>
      <c r="H401" s="507" t="s">
        <v>1750</v>
      </c>
      <c r="I401" s="507"/>
      <c r="J401" s="519" t="s">
        <v>3960</v>
      </c>
      <c r="K401" s="521" t="s">
        <v>605</v>
      </c>
      <c r="L401" s="526" t="s">
        <v>315</v>
      </c>
      <c r="M401" s="527" t="s">
        <v>315</v>
      </c>
      <c r="N401" s="528" t="s">
        <v>315</v>
      </c>
      <c r="O401" s="663"/>
      <c r="P401" s="529"/>
      <c r="Q401" s="530" t="s">
        <v>315</v>
      </c>
      <c r="R401" s="530"/>
      <c r="S401" s="530"/>
      <c r="T401" s="667"/>
    </row>
    <row r="402" spans="1:20" s="508" customFormat="1" ht="135" hidden="1">
      <c r="A402" s="518"/>
      <c r="B402" s="519" t="s">
        <v>1614</v>
      </c>
      <c r="C402" s="509" t="s">
        <v>1614</v>
      </c>
      <c r="D402" s="509" t="s">
        <v>1688</v>
      </c>
      <c r="E402" s="519" t="str">
        <f>IF('GPS Anthro Tool'!$B$5=1,"ECE R129","")</f>
        <v/>
      </c>
      <c r="F402" s="507" t="s">
        <v>4243</v>
      </c>
      <c r="G402" s="520" t="s">
        <v>3181</v>
      </c>
      <c r="H402" s="507" t="s">
        <v>1689</v>
      </c>
      <c r="I402" s="507"/>
      <c r="J402" s="519" t="s">
        <v>3960</v>
      </c>
      <c r="K402" s="521" t="s">
        <v>605</v>
      </c>
      <c r="L402" s="526" t="s">
        <v>315</v>
      </c>
      <c r="M402" s="527" t="s">
        <v>315</v>
      </c>
      <c r="N402" s="528" t="s">
        <v>315</v>
      </c>
      <c r="O402" s="663"/>
      <c r="P402" s="529"/>
      <c r="Q402" s="530" t="s">
        <v>315</v>
      </c>
      <c r="R402" s="530"/>
      <c r="S402" s="530"/>
      <c r="T402" s="667"/>
    </row>
    <row r="403" spans="1:20" s="508" customFormat="1" ht="60" hidden="1">
      <c r="A403" s="518"/>
      <c r="B403" s="519" t="s">
        <v>1614</v>
      </c>
      <c r="C403" s="509" t="s">
        <v>1614</v>
      </c>
      <c r="D403" s="509" t="s">
        <v>1690</v>
      </c>
      <c r="E403" s="519" t="str">
        <f>IF('GPS Anthro Tool'!$B$5=1,"ECE R129","")</f>
        <v/>
      </c>
      <c r="F403" s="507" t="s">
        <v>4243</v>
      </c>
      <c r="G403" s="520" t="s">
        <v>3181</v>
      </c>
      <c r="H403" s="507" t="s">
        <v>1691</v>
      </c>
      <c r="I403" s="507"/>
      <c r="J403" s="519" t="s">
        <v>3960</v>
      </c>
      <c r="K403" s="521" t="s">
        <v>605</v>
      </c>
      <c r="L403" s="526" t="s">
        <v>315</v>
      </c>
      <c r="M403" s="527" t="s">
        <v>315</v>
      </c>
      <c r="N403" s="528" t="s">
        <v>315</v>
      </c>
      <c r="O403" s="663"/>
      <c r="P403" s="529"/>
      <c r="Q403" s="530" t="s">
        <v>315</v>
      </c>
      <c r="R403" s="530"/>
      <c r="S403" s="530"/>
      <c r="T403" s="667"/>
    </row>
    <row r="404" spans="1:20" s="508" customFormat="1" ht="60" hidden="1">
      <c r="A404" s="518"/>
      <c r="B404" s="519" t="s">
        <v>1614</v>
      </c>
      <c r="C404" s="509" t="s">
        <v>1614</v>
      </c>
      <c r="D404" s="509" t="s">
        <v>1690</v>
      </c>
      <c r="E404" s="519" t="str">
        <f>IF('GPS Anthro Tool'!$B$5=1,"ECE R129","")</f>
        <v/>
      </c>
      <c r="F404" s="507" t="s">
        <v>4243</v>
      </c>
      <c r="G404" s="520" t="s">
        <v>3181</v>
      </c>
      <c r="H404" s="507" t="s">
        <v>1692</v>
      </c>
      <c r="I404" s="506"/>
      <c r="J404" s="519" t="s">
        <v>3960</v>
      </c>
      <c r="K404" s="521" t="s">
        <v>605</v>
      </c>
      <c r="L404" s="526" t="s">
        <v>315</v>
      </c>
      <c r="M404" s="527" t="s">
        <v>315</v>
      </c>
      <c r="N404" s="528" t="s">
        <v>315</v>
      </c>
      <c r="O404" s="663"/>
      <c r="P404" s="529"/>
      <c r="Q404" s="530" t="s">
        <v>315</v>
      </c>
      <c r="R404" s="530"/>
      <c r="S404" s="530"/>
      <c r="T404" s="667"/>
    </row>
    <row r="405" spans="1:20" s="508" customFormat="1" ht="45" hidden="1">
      <c r="A405" s="518"/>
      <c r="B405" s="519" t="s">
        <v>1614</v>
      </c>
      <c r="C405" s="509" t="s">
        <v>1614</v>
      </c>
      <c r="D405" s="509" t="s">
        <v>1695</v>
      </c>
      <c r="E405" s="519" t="str">
        <f>IF('GPS Anthro Tool'!$B$5=1,"ECE R129","")</f>
        <v/>
      </c>
      <c r="F405" s="507" t="s">
        <v>4243</v>
      </c>
      <c r="G405" s="520" t="s">
        <v>3181</v>
      </c>
      <c r="H405" s="507" t="s">
        <v>1696</v>
      </c>
      <c r="I405" s="507"/>
      <c r="J405" s="519" t="s">
        <v>3960</v>
      </c>
      <c r="K405" s="521" t="s">
        <v>605</v>
      </c>
      <c r="L405" s="526" t="s">
        <v>315</v>
      </c>
      <c r="M405" s="527" t="s">
        <v>315</v>
      </c>
      <c r="N405" s="528" t="s">
        <v>315</v>
      </c>
      <c r="O405" s="663"/>
      <c r="P405" s="529"/>
      <c r="Q405" s="530" t="s">
        <v>315</v>
      </c>
      <c r="R405" s="530"/>
      <c r="S405" s="530"/>
      <c r="T405" s="667"/>
    </row>
    <row r="406" spans="1:20" s="508" customFormat="1" ht="105" hidden="1">
      <c r="A406" s="518"/>
      <c r="B406" s="519" t="s">
        <v>1614</v>
      </c>
      <c r="C406" s="509" t="s">
        <v>1614</v>
      </c>
      <c r="D406" s="509" t="s">
        <v>1699</v>
      </c>
      <c r="E406" s="519" t="str">
        <f>IF('GPS Anthro Tool'!$B$5=1,"ECE R129","")</f>
        <v/>
      </c>
      <c r="F406" s="507" t="s">
        <v>4243</v>
      </c>
      <c r="G406" s="520" t="s">
        <v>3181</v>
      </c>
      <c r="H406" s="507" t="s">
        <v>1700</v>
      </c>
      <c r="I406" s="507"/>
      <c r="J406" s="519" t="s">
        <v>3960</v>
      </c>
      <c r="K406" s="521" t="s">
        <v>605</v>
      </c>
      <c r="L406" s="526" t="s">
        <v>315</v>
      </c>
      <c r="M406" s="527" t="s">
        <v>315</v>
      </c>
      <c r="N406" s="528" t="s">
        <v>315</v>
      </c>
      <c r="O406" s="663"/>
      <c r="P406" s="529"/>
      <c r="Q406" s="530" t="s">
        <v>315</v>
      </c>
      <c r="R406" s="530"/>
      <c r="S406" s="530"/>
      <c r="T406" s="667"/>
    </row>
    <row r="407" spans="1:20" s="508" customFormat="1" ht="45" hidden="1">
      <c r="A407" s="518"/>
      <c r="B407" s="519" t="s">
        <v>1614</v>
      </c>
      <c r="C407" s="509" t="s">
        <v>1614</v>
      </c>
      <c r="D407" s="509" t="s">
        <v>1703</v>
      </c>
      <c r="E407" s="519" t="str">
        <f>IF('GPS Anthro Tool'!$B$5=1,"ECE R129","")</f>
        <v/>
      </c>
      <c r="F407" s="507" t="s">
        <v>4243</v>
      </c>
      <c r="G407" s="520" t="s">
        <v>3181</v>
      </c>
      <c r="H407" s="507" t="s">
        <v>1704</v>
      </c>
      <c r="I407" s="507"/>
      <c r="J407" s="519" t="s">
        <v>3960</v>
      </c>
      <c r="K407" s="521" t="s">
        <v>605</v>
      </c>
      <c r="L407" s="526" t="s">
        <v>315</v>
      </c>
      <c r="M407" s="527" t="s">
        <v>315</v>
      </c>
      <c r="N407" s="528" t="s">
        <v>315</v>
      </c>
      <c r="O407" s="663"/>
      <c r="P407" s="529"/>
      <c r="Q407" s="530" t="s">
        <v>315</v>
      </c>
      <c r="R407" s="530"/>
      <c r="S407" s="530"/>
      <c r="T407" s="667"/>
    </row>
    <row r="408" spans="1:20" s="508" customFormat="1" ht="60" hidden="1">
      <c r="A408" s="518"/>
      <c r="B408" s="519" t="s">
        <v>1614</v>
      </c>
      <c r="C408" s="509" t="s">
        <v>1614</v>
      </c>
      <c r="D408" s="509" t="s">
        <v>1707</v>
      </c>
      <c r="E408" s="519" t="str">
        <f>IF('GPS Anthro Tool'!$B$5=1,"ECE R129","")</f>
        <v/>
      </c>
      <c r="F408" s="507" t="s">
        <v>4243</v>
      </c>
      <c r="G408" s="520" t="s">
        <v>3181</v>
      </c>
      <c r="H408" s="507" t="s">
        <v>1708</v>
      </c>
      <c r="I408" s="507"/>
      <c r="J408" s="519" t="s">
        <v>3960</v>
      </c>
      <c r="K408" s="521" t="s">
        <v>605</v>
      </c>
      <c r="L408" s="526" t="s">
        <v>315</v>
      </c>
      <c r="M408" s="527" t="s">
        <v>315</v>
      </c>
      <c r="N408" s="528" t="s">
        <v>315</v>
      </c>
      <c r="O408" s="663"/>
      <c r="P408" s="529"/>
      <c r="Q408" s="530" t="s">
        <v>315</v>
      </c>
      <c r="R408" s="530"/>
      <c r="S408" s="530"/>
      <c r="T408" s="667"/>
    </row>
    <row r="409" spans="1:20" s="508" customFormat="1" ht="30" hidden="1">
      <c r="A409" s="518"/>
      <c r="B409" s="519" t="s">
        <v>1614</v>
      </c>
      <c r="C409" s="509" t="s">
        <v>1614</v>
      </c>
      <c r="D409" s="509" t="s">
        <v>1711</v>
      </c>
      <c r="E409" s="519" t="str">
        <f>IF('GPS Anthro Tool'!$B$5=1,"ECE R129","")</f>
        <v/>
      </c>
      <c r="F409" s="507" t="s">
        <v>4243</v>
      </c>
      <c r="G409" s="520" t="s">
        <v>3181</v>
      </c>
      <c r="H409" s="507" t="s">
        <v>1712</v>
      </c>
      <c r="I409" s="507"/>
      <c r="J409" s="519" t="s">
        <v>3960</v>
      </c>
      <c r="K409" s="521" t="s">
        <v>605</v>
      </c>
      <c r="L409" s="526" t="s">
        <v>315</v>
      </c>
      <c r="M409" s="527" t="s">
        <v>315</v>
      </c>
      <c r="N409" s="528" t="s">
        <v>315</v>
      </c>
      <c r="O409" s="663"/>
      <c r="P409" s="529"/>
      <c r="Q409" s="530" t="s">
        <v>315</v>
      </c>
      <c r="R409" s="530"/>
      <c r="S409" s="530"/>
      <c r="T409" s="667"/>
    </row>
    <row r="410" spans="1:20" s="508" customFormat="1" ht="120" hidden="1">
      <c r="A410" s="518"/>
      <c r="B410" s="519" t="s">
        <v>1614</v>
      </c>
      <c r="C410" s="509" t="s">
        <v>1614</v>
      </c>
      <c r="D410" s="509" t="s">
        <v>1715</v>
      </c>
      <c r="E410" s="519" t="str">
        <f>IF('GPS Anthro Tool'!$B$5=1,"ECE R129","")</f>
        <v/>
      </c>
      <c r="F410" s="507" t="s">
        <v>4243</v>
      </c>
      <c r="G410" s="520" t="s">
        <v>3181</v>
      </c>
      <c r="H410" s="507" t="s">
        <v>1716</v>
      </c>
      <c r="I410" s="507"/>
      <c r="J410" s="519" t="s">
        <v>3960</v>
      </c>
      <c r="K410" s="521" t="s">
        <v>605</v>
      </c>
      <c r="L410" s="526" t="s">
        <v>315</v>
      </c>
      <c r="M410" s="527" t="s">
        <v>315</v>
      </c>
      <c r="N410" s="528" t="s">
        <v>315</v>
      </c>
      <c r="O410" s="663"/>
      <c r="P410" s="529"/>
      <c r="Q410" s="530" t="s">
        <v>315</v>
      </c>
      <c r="R410" s="530"/>
      <c r="S410" s="530"/>
      <c r="T410" s="667"/>
    </row>
    <row r="411" spans="1:20" s="508" customFormat="1" ht="105" hidden="1">
      <c r="A411" s="518"/>
      <c r="B411" s="519" t="s">
        <v>1454</v>
      </c>
      <c r="C411" s="534" t="s">
        <v>1454</v>
      </c>
      <c r="D411" s="507" t="s">
        <v>1457</v>
      </c>
      <c r="E411" s="519" t="str">
        <f>IF('GPS Anthro Tool'!$B$5=1,"ECE R129","")</f>
        <v/>
      </c>
      <c r="F411" s="507" t="s">
        <v>4243</v>
      </c>
      <c r="G411" s="520" t="s">
        <v>3965</v>
      </c>
      <c r="H411" s="507" t="s">
        <v>1458</v>
      </c>
      <c r="I411" s="507"/>
      <c r="J411" s="519" t="s">
        <v>3960</v>
      </c>
      <c r="K411" s="521" t="s">
        <v>605</v>
      </c>
      <c r="L411" s="526" t="s">
        <v>315</v>
      </c>
      <c r="M411" s="527" t="s">
        <v>315</v>
      </c>
      <c r="N411" s="528" t="s">
        <v>315</v>
      </c>
      <c r="O411" s="663"/>
      <c r="P411" s="529"/>
      <c r="Q411" s="530" t="s">
        <v>315</v>
      </c>
      <c r="R411" s="530"/>
      <c r="S411" s="530"/>
      <c r="T411" s="667"/>
    </row>
    <row r="412" spans="1:20" s="508" customFormat="1" ht="60" hidden="1">
      <c r="A412" s="518"/>
      <c r="B412" s="519" t="s">
        <v>1454</v>
      </c>
      <c r="C412" s="534" t="s">
        <v>1454</v>
      </c>
      <c r="D412" s="534" t="s">
        <v>1461</v>
      </c>
      <c r="E412" s="519" t="str">
        <f>IF('GPS Anthro Tool'!$B$5=1,"ECE R129","")</f>
        <v/>
      </c>
      <c r="F412" s="507" t="s">
        <v>4243</v>
      </c>
      <c r="G412" s="520" t="s">
        <v>3965</v>
      </c>
      <c r="H412" s="507" t="s">
        <v>1462</v>
      </c>
      <c r="I412" s="507"/>
      <c r="J412" s="519" t="s">
        <v>3960</v>
      </c>
      <c r="K412" s="521" t="s">
        <v>605</v>
      </c>
      <c r="L412" s="526" t="s">
        <v>315</v>
      </c>
      <c r="M412" s="527" t="s">
        <v>315</v>
      </c>
      <c r="N412" s="528" t="s">
        <v>315</v>
      </c>
      <c r="O412" s="663"/>
      <c r="P412" s="529"/>
      <c r="Q412" s="530" t="s">
        <v>315</v>
      </c>
      <c r="R412" s="530"/>
      <c r="S412" s="530"/>
      <c r="T412" s="667"/>
    </row>
    <row r="413" spans="1:20" s="508" customFormat="1" ht="30" hidden="1">
      <c r="A413" s="518"/>
      <c r="B413" s="519" t="s">
        <v>1454</v>
      </c>
      <c r="C413" s="534" t="s">
        <v>1454</v>
      </c>
      <c r="D413" s="534" t="s">
        <v>1465</v>
      </c>
      <c r="E413" s="519" t="str">
        <f>IF('GPS Anthro Tool'!$B$5=1,"ECE R129","")</f>
        <v/>
      </c>
      <c r="F413" s="507" t="s">
        <v>4243</v>
      </c>
      <c r="G413" s="520" t="s">
        <v>3965</v>
      </c>
      <c r="H413" s="507" t="s">
        <v>1466</v>
      </c>
      <c r="I413" s="507"/>
      <c r="J413" s="519" t="s">
        <v>3960</v>
      </c>
      <c r="K413" s="521" t="s">
        <v>605</v>
      </c>
      <c r="L413" s="526" t="s">
        <v>315</v>
      </c>
      <c r="M413" s="527" t="s">
        <v>315</v>
      </c>
      <c r="N413" s="528" t="s">
        <v>315</v>
      </c>
      <c r="O413" s="663"/>
      <c r="P413" s="529"/>
      <c r="Q413" s="530" t="s">
        <v>315</v>
      </c>
      <c r="R413" s="530"/>
      <c r="S413" s="530"/>
      <c r="T413" s="667"/>
    </row>
    <row r="414" spans="1:20" s="508" customFormat="1" ht="45" hidden="1">
      <c r="A414" s="518"/>
      <c r="B414" s="519" t="s">
        <v>1454</v>
      </c>
      <c r="C414" s="534" t="s">
        <v>1454</v>
      </c>
      <c r="D414" s="534" t="s">
        <v>1467</v>
      </c>
      <c r="E414" s="519" t="str">
        <f>IF('GPS Anthro Tool'!$B$5=1,"ECE R129","")</f>
        <v/>
      </c>
      <c r="F414" s="507" t="s">
        <v>4243</v>
      </c>
      <c r="G414" s="520" t="s">
        <v>3965</v>
      </c>
      <c r="H414" s="507" t="s">
        <v>1468</v>
      </c>
      <c r="I414" s="507"/>
      <c r="J414" s="519" t="s">
        <v>3960</v>
      </c>
      <c r="K414" s="521" t="s">
        <v>605</v>
      </c>
      <c r="L414" s="526" t="s">
        <v>315</v>
      </c>
      <c r="M414" s="527" t="s">
        <v>315</v>
      </c>
      <c r="N414" s="528" t="s">
        <v>315</v>
      </c>
      <c r="O414" s="663"/>
      <c r="P414" s="529"/>
      <c r="Q414" s="530" t="s">
        <v>315</v>
      </c>
      <c r="R414" s="530"/>
      <c r="S414" s="530"/>
      <c r="T414" s="566"/>
    </row>
    <row r="415" spans="1:20" s="508" customFormat="1" ht="30" hidden="1">
      <c r="A415" s="518"/>
      <c r="B415" s="519" t="s">
        <v>1454</v>
      </c>
      <c r="C415" s="507" t="s">
        <v>1454</v>
      </c>
      <c r="D415" s="534" t="s">
        <v>1469</v>
      </c>
      <c r="E415" s="519" t="str">
        <f>IF('GPS Anthro Tool'!$B$5=1,"ECE R129","")</f>
        <v/>
      </c>
      <c r="F415" s="507" t="s">
        <v>4243</v>
      </c>
      <c r="G415" s="520" t="s">
        <v>3965</v>
      </c>
      <c r="H415" s="507" t="s">
        <v>1470</v>
      </c>
      <c r="I415" s="507"/>
      <c r="J415" s="519" t="s">
        <v>3960</v>
      </c>
      <c r="K415" s="521" t="s">
        <v>605</v>
      </c>
      <c r="L415" s="526" t="s">
        <v>315</v>
      </c>
      <c r="M415" s="527" t="s">
        <v>315</v>
      </c>
      <c r="N415" s="528" t="s">
        <v>315</v>
      </c>
      <c r="O415" s="663"/>
      <c r="P415" s="529"/>
      <c r="Q415" s="530" t="s">
        <v>315</v>
      </c>
      <c r="R415" s="530"/>
      <c r="S415" s="530"/>
      <c r="T415" s="566"/>
    </row>
    <row r="416" spans="1:20" s="508" customFormat="1" ht="45" hidden="1">
      <c r="A416" s="518"/>
      <c r="B416" s="519" t="s">
        <v>1454</v>
      </c>
      <c r="C416" s="507" t="s">
        <v>1454</v>
      </c>
      <c r="D416" s="534" t="s">
        <v>1471</v>
      </c>
      <c r="E416" s="519" t="str">
        <f>IF('GPS Anthro Tool'!$B$5=1,"ECE R129","")</f>
        <v/>
      </c>
      <c r="F416" s="507" t="s">
        <v>4243</v>
      </c>
      <c r="G416" s="520" t="s">
        <v>3965</v>
      </c>
      <c r="H416" s="507" t="s">
        <v>1472</v>
      </c>
      <c r="I416" s="507"/>
      <c r="J416" s="519" t="s">
        <v>3960</v>
      </c>
      <c r="K416" s="521" t="s">
        <v>605</v>
      </c>
      <c r="L416" s="526" t="s">
        <v>315</v>
      </c>
      <c r="M416" s="527" t="s">
        <v>315</v>
      </c>
      <c r="N416" s="528" t="s">
        <v>315</v>
      </c>
      <c r="O416" s="663"/>
      <c r="P416" s="529"/>
      <c r="Q416" s="530" t="s">
        <v>315</v>
      </c>
      <c r="R416" s="530"/>
      <c r="S416" s="530"/>
      <c r="T416" s="566"/>
    </row>
    <row r="417" spans="1:20" s="508" customFormat="1" ht="240" hidden="1">
      <c r="A417" s="518"/>
      <c r="B417" s="519" t="s">
        <v>1454</v>
      </c>
      <c r="C417" s="534" t="s">
        <v>1454</v>
      </c>
      <c r="D417" s="507" t="s">
        <v>1471</v>
      </c>
      <c r="E417" s="519" t="str">
        <f>IF('GPS Anthro Tool'!$B$5=1,"ECE R129","")</f>
        <v/>
      </c>
      <c r="F417" s="507" t="s">
        <v>4243</v>
      </c>
      <c r="G417" s="520" t="s">
        <v>3965</v>
      </c>
      <c r="H417" s="507" t="s">
        <v>1473</v>
      </c>
      <c r="I417" s="507"/>
      <c r="J417" s="519" t="s">
        <v>3960</v>
      </c>
      <c r="K417" s="521" t="s">
        <v>605</v>
      </c>
      <c r="L417" s="526" t="s">
        <v>315</v>
      </c>
      <c r="M417" s="527" t="s">
        <v>315</v>
      </c>
      <c r="N417" s="528" t="s">
        <v>315</v>
      </c>
      <c r="O417" s="663"/>
      <c r="P417" s="529"/>
      <c r="Q417" s="530" t="s">
        <v>315</v>
      </c>
      <c r="R417" s="530"/>
      <c r="S417" s="530"/>
      <c r="T417" s="566"/>
    </row>
    <row r="418" spans="1:20" s="508" customFormat="1" ht="105" hidden="1">
      <c r="A418" s="518"/>
      <c r="B418" s="519" t="s">
        <v>1454</v>
      </c>
      <c r="C418" s="534" t="s">
        <v>1454</v>
      </c>
      <c r="D418" s="534" t="s">
        <v>1471</v>
      </c>
      <c r="E418" s="519" t="str">
        <f>IF('GPS Anthro Tool'!$B$5=1,"ECE R129","")</f>
        <v/>
      </c>
      <c r="F418" s="507" t="s">
        <v>4243</v>
      </c>
      <c r="G418" s="520" t="s">
        <v>3965</v>
      </c>
      <c r="H418" s="507" t="s">
        <v>1474</v>
      </c>
      <c r="I418" s="507"/>
      <c r="J418" s="519" t="s">
        <v>3960</v>
      </c>
      <c r="K418" s="521" t="s">
        <v>605</v>
      </c>
      <c r="L418" s="526" t="s">
        <v>315</v>
      </c>
      <c r="M418" s="527" t="s">
        <v>315</v>
      </c>
      <c r="N418" s="528" t="s">
        <v>315</v>
      </c>
      <c r="O418" s="663"/>
      <c r="P418" s="529"/>
      <c r="Q418" s="530" t="s">
        <v>315</v>
      </c>
      <c r="R418" s="530"/>
      <c r="S418" s="530"/>
      <c r="T418" s="566"/>
    </row>
    <row r="419" spans="1:20" s="508" customFormat="1" ht="75" hidden="1">
      <c r="A419" s="518"/>
      <c r="B419" s="519" t="s">
        <v>1454</v>
      </c>
      <c r="C419" s="534" t="s">
        <v>1454</v>
      </c>
      <c r="D419" s="534" t="s">
        <v>1471</v>
      </c>
      <c r="E419" s="519" t="str">
        <f>IF('GPS Anthro Tool'!$B$5=1,"ECE R129","")</f>
        <v/>
      </c>
      <c r="F419" s="507" t="s">
        <v>4243</v>
      </c>
      <c r="G419" s="520" t="s">
        <v>3965</v>
      </c>
      <c r="H419" s="507" t="s">
        <v>1475</v>
      </c>
      <c r="I419" s="507"/>
      <c r="J419" s="519" t="s">
        <v>3960</v>
      </c>
      <c r="K419" s="521" t="s">
        <v>605</v>
      </c>
      <c r="L419" s="526" t="s">
        <v>315</v>
      </c>
      <c r="M419" s="527" t="s">
        <v>315</v>
      </c>
      <c r="N419" s="528" t="s">
        <v>315</v>
      </c>
      <c r="O419" s="663"/>
      <c r="P419" s="529"/>
      <c r="Q419" s="530" t="s">
        <v>315</v>
      </c>
      <c r="R419" s="530"/>
      <c r="S419" s="530"/>
      <c r="T419" s="566"/>
    </row>
    <row r="420" spans="1:20" s="508" customFormat="1" ht="120" hidden="1">
      <c r="A420" s="518"/>
      <c r="B420" s="507" t="s">
        <v>1454</v>
      </c>
      <c r="C420" s="534" t="s">
        <v>1454</v>
      </c>
      <c r="D420" s="507" t="s">
        <v>1478</v>
      </c>
      <c r="E420" s="519" t="str">
        <f>IF('GPS Anthro Tool'!$B$5=1,"ECE R129","")</f>
        <v/>
      </c>
      <c r="F420" s="507" t="s">
        <v>4243</v>
      </c>
      <c r="G420" s="520" t="s">
        <v>3965</v>
      </c>
      <c r="H420" s="507" t="s">
        <v>1479</v>
      </c>
      <c r="I420" s="507"/>
      <c r="J420" s="519" t="s">
        <v>3960</v>
      </c>
      <c r="K420" s="521" t="s">
        <v>605</v>
      </c>
      <c r="L420" s="526" t="s">
        <v>315</v>
      </c>
      <c r="M420" s="527" t="s">
        <v>315</v>
      </c>
      <c r="N420" s="528" t="s">
        <v>315</v>
      </c>
      <c r="O420" s="663"/>
      <c r="P420" s="529"/>
      <c r="Q420" s="530" t="s">
        <v>315</v>
      </c>
      <c r="R420" s="530"/>
      <c r="S420" s="530"/>
      <c r="T420" s="566"/>
    </row>
    <row r="421" spans="1:20" s="508" customFormat="1" hidden="1">
      <c r="A421" s="518"/>
      <c r="B421" s="507" t="s">
        <v>1454</v>
      </c>
      <c r="C421" s="534" t="s">
        <v>1454</v>
      </c>
      <c r="D421" s="534" t="s">
        <v>1478</v>
      </c>
      <c r="E421" s="519" t="str">
        <f>IF('GPS Anthro Tool'!$B$5=1,"ECE R129","")</f>
        <v/>
      </c>
      <c r="F421" s="507" t="s">
        <v>4243</v>
      </c>
      <c r="G421" s="520" t="s">
        <v>3965</v>
      </c>
      <c r="H421" s="507" t="s">
        <v>1480</v>
      </c>
      <c r="I421" s="507"/>
      <c r="J421" s="519" t="s">
        <v>3960</v>
      </c>
      <c r="K421" s="521" t="s">
        <v>605</v>
      </c>
      <c r="L421" s="526" t="s">
        <v>315</v>
      </c>
      <c r="M421" s="527" t="s">
        <v>315</v>
      </c>
      <c r="N421" s="528" t="s">
        <v>315</v>
      </c>
      <c r="O421" s="663"/>
      <c r="P421" s="529"/>
      <c r="Q421" s="530" t="s">
        <v>315</v>
      </c>
      <c r="R421" s="530"/>
      <c r="S421" s="530"/>
      <c r="T421" s="566"/>
    </row>
    <row r="422" spans="1:20" s="508" customFormat="1" ht="120" hidden="1">
      <c r="A422" s="518"/>
      <c r="B422" s="507" t="s">
        <v>1454</v>
      </c>
      <c r="C422" s="534" t="s">
        <v>1454</v>
      </c>
      <c r="D422" s="534" t="s">
        <v>1478</v>
      </c>
      <c r="E422" s="519" t="str">
        <f>IF('GPS Anthro Tool'!$B$5=1,"ECE R129","")</f>
        <v/>
      </c>
      <c r="F422" s="507" t="s">
        <v>4243</v>
      </c>
      <c r="G422" s="520" t="s">
        <v>3965</v>
      </c>
      <c r="H422" s="507" t="s">
        <v>1481</v>
      </c>
      <c r="I422" s="507"/>
      <c r="J422" s="519" t="s">
        <v>3960</v>
      </c>
      <c r="K422" s="521" t="s">
        <v>605</v>
      </c>
      <c r="L422" s="526" t="s">
        <v>315</v>
      </c>
      <c r="M422" s="527" t="s">
        <v>315</v>
      </c>
      <c r="N422" s="528" t="s">
        <v>315</v>
      </c>
      <c r="O422" s="663"/>
      <c r="P422" s="529"/>
      <c r="Q422" s="530" t="s">
        <v>315</v>
      </c>
      <c r="R422" s="530"/>
      <c r="S422" s="530"/>
      <c r="T422" s="566"/>
    </row>
    <row r="423" spans="1:20" s="508" customFormat="1" ht="120" hidden="1">
      <c r="A423" s="518"/>
      <c r="B423" s="507" t="s">
        <v>1454</v>
      </c>
      <c r="C423" s="534" t="s">
        <v>1454</v>
      </c>
      <c r="D423" s="534" t="s">
        <v>1478</v>
      </c>
      <c r="E423" s="519" t="str">
        <f>IF('GPS Anthro Tool'!$B$5=1,"ECE R129","")</f>
        <v/>
      </c>
      <c r="F423" s="507" t="s">
        <v>4243</v>
      </c>
      <c r="G423" s="520" t="s">
        <v>3965</v>
      </c>
      <c r="H423" s="507" t="s">
        <v>1482</v>
      </c>
      <c r="I423" s="507"/>
      <c r="J423" s="519" t="s">
        <v>3960</v>
      </c>
      <c r="K423" s="521" t="s">
        <v>605</v>
      </c>
      <c r="L423" s="526" t="s">
        <v>315</v>
      </c>
      <c r="M423" s="527" t="s">
        <v>315</v>
      </c>
      <c r="N423" s="528" t="s">
        <v>315</v>
      </c>
      <c r="O423" s="663"/>
      <c r="P423" s="529"/>
      <c r="Q423" s="530" t="s">
        <v>315</v>
      </c>
      <c r="R423" s="530"/>
      <c r="S423" s="530"/>
      <c r="T423" s="566"/>
    </row>
    <row r="424" spans="1:20" s="508" customFormat="1" ht="105" hidden="1">
      <c r="A424" s="518"/>
      <c r="B424" s="507" t="s">
        <v>1454</v>
      </c>
      <c r="C424" s="534" t="s">
        <v>1454</v>
      </c>
      <c r="D424" s="534" t="s">
        <v>1486</v>
      </c>
      <c r="E424" s="519" t="str">
        <f>IF('GPS Anthro Tool'!$B$5=1,"ECE R129","")</f>
        <v/>
      </c>
      <c r="F424" s="507" t="s">
        <v>4243</v>
      </c>
      <c r="G424" s="520" t="s">
        <v>3965</v>
      </c>
      <c r="H424" s="507" t="s">
        <v>1487</v>
      </c>
      <c r="I424" s="507"/>
      <c r="J424" s="519" t="s">
        <v>3960</v>
      </c>
      <c r="K424" s="521" t="s">
        <v>605</v>
      </c>
      <c r="L424" s="526" t="s">
        <v>315</v>
      </c>
      <c r="M424" s="527" t="s">
        <v>315</v>
      </c>
      <c r="N424" s="528" t="s">
        <v>315</v>
      </c>
      <c r="O424" s="663"/>
      <c r="P424" s="529"/>
      <c r="Q424" s="530" t="s">
        <v>315</v>
      </c>
      <c r="R424" s="530"/>
      <c r="S424" s="530"/>
      <c r="T424" s="566"/>
    </row>
    <row r="425" spans="1:20" s="508" customFormat="1" ht="105" hidden="1">
      <c r="A425" s="518"/>
      <c r="B425" s="507" t="s">
        <v>1454</v>
      </c>
      <c r="C425" s="691"/>
      <c r="D425" s="534" t="s">
        <v>1486</v>
      </c>
      <c r="E425" s="519" t="str">
        <f>IF('GPS Anthro Tool'!$B$5=1,"ECE R129","")</f>
        <v/>
      </c>
      <c r="F425" s="507" t="s">
        <v>4243</v>
      </c>
      <c r="G425" s="520" t="s">
        <v>3965</v>
      </c>
      <c r="H425" s="507" t="s">
        <v>1488</v>
      </c>
      <c r="I425" s="507"/>
      <c r="J425" s="519" t="s">
        <v>3960</v>
      </c>
      <c r="K425" s="521" t="s">
        <v>605</v>
      </c>
      <c r="L425" s="526" t="s">
        <v>315</v>
      </c>
      <c r="M425" s="527" t="s">
        <v>315</v>
      </c>
      <c r="N425" s="528" t="s">
        <v>315</v>
      </c>
      <c r="O425" s="663"/>
      <c r="P425" s="529"/>
      <c r="Q425" s="530" t="s">
        <v>315</v>
      </c>
      <c r="R425" s="530"/>
      <c r="S425" s="530"/>
      <c r="T425" s="566"/>
    </row>
    <row r="426" spans="1:20" s="508" customFormat="1" ht="30" hidden="1">
      <c r="A426" s="518"/>
      <c r="B426" s="507" t="s">
        <v>1454</v>
      </c>
      <c r="C426" s="691"/>
      <c r="D426" s="534" t="s">
        <v>1496</v>
      </c>
      <c r="E426" s="519" t="str">
        <f>IF('GPS Anthro Tool'!$B$5=1,"ECE R129","")</f>
        <v/>
      </c>
      <c r="F426" s="507" t="s">
        <v>4243</v>
      </c>
      <c r="G426" s="534" t="s">
        <v>1495</v>
      </c>
      <c r="H426" s="507" t="s">
        <v>1497</v>
      </c>
      <c r="I426" s="507"/>
      <c r="J426" s="519" t="s">
        <v>3960</v>
      </c>
      <c r="K426" s="521" t="s">
        <v>605</v>
      </c>
      <c r="L426" s="526" t="s">
        <v>315</v>
      </c>
      <c r="M426" s="527" t="s">
        <v>315</v>
      </c>
      <c r="N426" s="528" t="s">
        <v>315</v>
      </c>
      <c r="O426" s="663"/>
      <c r="P426" s="529"/>
      <c r="Q426" s="530" t="s">
        <v>315</v>
      </c>
      <c r="R426" s="530"/>
      <c r="S426" s="530"/>
      <c r="T426" s="566"/>
    </row>
    <row r="427" spans="1:20" s="508" customFormat="1" ht="45" hidden="1">
      <c r="A427" s="518"/>
      <c r="B427" s="507" t="s">
        <v>1454</v>
      </c>
      <c r="C427" s="691"/>
      <c r="D427" s="534" t="s">
        <v>1496</v>
      </c>
      <c r="E427" s="519" t="str">
        <f>IF('GPS Anthro Tool'!$B$5=1,"ECE R129","")</f>
        <v/>
      </c>
      <c r="F427" s="507" t="s">
        <v>4243</v>
      </c>
      <c r="G427" s="534" t="s">
        <v>1495</v>
      </c>
      <c r="H427" s="507" t="s">
        <v>1498</v>
      </c>
      <c r="I427" s="507"/>
      <c r="J427" s="519" t="s">
        <v>3960</v>
      </c>
      <c r="K427" s="521" t="s">
        <v>605</v>
      </c>
      <c r="L427" s="526" t="s">
        <v>315</v>
      </c>
      <c r="M427" s="527" t="s">
        <v>315</v>
      </c>
      <c r="N427" s="528" t="s">
        <v>315</v>
      </c>
      <c r="O427" s="663"/>
      <c r="P427" s="529"/>
      <c r="Q427" s="530" t="s">
        <v>315</v>
      </c>
      <c r="R427" s="530"/>
      <c r="S427" s="530"/>
      <c r="T427" s="566"/>
    </row>
    <row r="428" spans="1:20" s="508" customFormat="1" ht="60" hidden="1">
      <c r="A428" s="518"/>
      <c r="B428" s="507" t="s">
        <v>1454</v>
      </c>
      <c r="C428" s="691"/>
      <c r="D428" s="507" t="s">
        <v>1496</v>
      </c>
      <c r="E428" s="519" t="str">
        <f>IF('GPS Anthro Tool'!$B$5=1,"ECE R129","")</f>
        <v/>
      </c>
      <c r="F428" s="507" t="s">
        <v>4243</v>
      </c>
      <c r="G428" s="534" t="s">
        <v>1495</v>
      </c>
      <c r="H428" s="507" t="s">
        <v>1499</v>
      </c>
      <c r="I428" s="507"/>
      <c r="J428" s="519" t="s">
        <v>3960</v>
      </c>
      <c r="K428" s="521" t="s">
        <v>605</v>
      </c>
      <c r="L428" s="526" t="s">
        <v>315</v>
      </c>
      <c r="M428" s="527" t="s">
        <v>315</v>
      </c>
      <c r="N428" s="528" t="s">
        <v>315</v>
      </c>
      <c r="O428" s="663"/>
      <c r="P428" s="529"/>
      <c r="Q428" s="530" t="s">
        <v>315</v>
      </c>
      <c r="R428" s="530"/>
      <c r="S428" s="530"/>
      <c r="T428" s="566"/>
    </row>
    <row r="429" spans="1:20" s="508" customFormat="1" ht="30" hidden="1">
      <c r="A429" s="518"/>
      <c r="B429" s="507" t="s">
        <v>1454</v>
      </c>
      <c r="C429" s="534" t="s">
        <v>1454</v>
      </c>
      <c r="D429" s="534" t="s">
        <v>1500</v>
      </c>
      <c r="E429" s="519" t="str">
        <f>IF('GPS Anthro Tool'!$B$5=1,"ECE R129","")</f>
        <v/>
      </c>
      <c r="F429" s="507" t="s">
        <v>4243</v>
      </c>
      <c r="G429" s="534" t="s">
        <v>1495</v>
      </c>
      <c r="H429" s="507" t="s">
        <v>1501</v>
      </c>
      <c r="I429" s="507"/>
      <c r="J429" s="519" t="s">
        <v>3960</v>
      </c>
      <c r="K429" s="521" t="s">
        <v>605</v>
      </c>
      <c r="L429" s="526" t="s">
        <v>315</v>
      </c>
      <c r="M429" s="527" t="s">
        <v>315</v>
      </c>
      <c r="N429" s="528" t="s">
        <v>315</v>
      </c>
      <c r="O429" s="663"/>
      <c r="P429" s="529"/>
      <c r="Q429" s="530" t="s">
        <v>315</v>
      </c>
      <c r="R429" s="530"/>
      <c r="S429" s="530"/>
      <c r="T429" s="566"/>
    </row>
    <row r="430" spans="1:20" s="508" customFormat="1" ht="105" hidden="1">
      <c r="A430" s="518"/>
      <c r="B430" s="507" t="s">
        <v>1454</v>
      </c>
      <c r="C430" s="534" t="s">
        <v>1454</v>
      </c>
      <c r="D430" s="534" t="s">
        <v>1500</v>
      </c>
      <c r="E430" s="519" t="str">
        <f>IF('GPS Anthro Tool'!$B$5=1,"ECE R129","")</f>
        <v/>
      </c>
      <c r="F430" s="507" t="s">
        <v>4243</v>
      </c>
      <c r="G430" s="534" t="s">
        <v>1495</v>
      </c>
      <c r="H430" s="507" t="s">
        <v>1502</v>
      </c>
      <c r="I430" s="507"/>
      <c r="J430" s="519" t="s">
        <v>3960</v>
      </c>
      <c r="K430" s="521" t="s">
        <v>605</v>
      </c>
      <c r="L430" s="526" t="s">
        <v>315</v>
      </c>
      <c r="M430" s="527" t="s">
        <v>315</v>
      </c>
      <c r="N430" s="528" t="s">
        <v>315</v>
      </c>
      <c r="O430" s="663"/>
      <c r="P430" s="529"/>
      <c r="Q430" s="530" t="s">
        <v>315</v>
      </c>
      <c r="R430" s="530"/>
      <c r="S430" s="530"/>
      <c r="T430" s="566"/>
    </row>
    <row r="431" spans="1:20" s="508" customFormat="1" ht="30" hidden="1">
      <c r="A431" s="518"/>
      <c r="B431" s="507" t="s">
        <v>1454</v>
      </c>
      <c r="C431" s="534" t="s">
        <v>1454</v>
      </c>
      <c r="D431" s="534" t="s">
        <v>1503</v>
      </c>
      <c r="E431" s="519" t="str">
        <f>IF('GPS Anthro Tool'!$B$5=1,"ECE R129","")</f>
        <v/>
      </c>
      <c r="F431" s="507" t="s">
        <v>4243</v>
      </c>
      <c r="G431" s="534" t="s">
        <v>1495</v>
      </c>
      <c r="H431" s="507" t="s">
        <v>1504</v>
      </c>
      <c r="I431" s="507"/>
      <c r="J431" s="519" t="s">
        <v>3960</v>
      </c>
      <c r="K431" s="521" t="s">
        <v>605</v>
      </c>
      <c r="L431" s="526" t="s">
        <v>315</v>
      </c>
      <c r="M431" s="527" t="s">
        <v>315</v>
      </c>
      <c r="N431" s="528" t="s">
        <v>315</v>
      </c>
      <c r="O431" s="663"/>
      <c r="P431" s="529"/>
      <c r="Q431" s="530" t="s">
        <v>315</v>
      </c>
      <c r="R431" s="530"/>
      <c r="S431" s="530"/>
      <c r="T431" s="566"/>
    </row>
    <row r="432" spans="1:20" s="508" customFormat="1" ht="60" hidden="1">
      <c r="A432" s="518"/>
      <c r="B432" s="507" t="s">
        <v>1454</v>
      </c>
      <c r="C432" s="534" t="s">
        <v>1454</v>
      </c>
      <c r="D432" s="534" t="s">
        <v>1503</v>
      </c>
      <c r="E432" s="519" t="str">
        <f>IF('GPS Anthro Tool'!$B$5=1,"ECE R129","")</f>
        <v/>
      </c>
      <c r="F432" s="507" t="s">
        <v>4243</v>
      </c>
      <c r="G432" s="534" t="s">
        <v>1495</v>
      </c>
      <c r="H432" s="507" t="s">
        <v>1505</v>
      </c>
      <c r="I432" s="507"/>
      <c r="J432" s="519" t="s">
        <v>3960</v>
      </c>
      <c r="K432" s="521" t="s">
        <v>605</v>
      </c>
      <c r="L432" s="526" t="s">
        <v>315</v>
      </c>
      <c r="M432" s="527" t="s">
        <v>315</v>
      </c>
      <c r="N432" s="528" t="s">
        <v>315</v>
      </c>
      <c r="O432" s="663"/>
      <c r="P432" s="529"/>
      <c r="Q432" s="530" t="s">
        <v>315</v>
      </c>
      <c r="R432" s="530"/>
      <c r="S432" s="530"/>
      <c r="T432" s="566"/>
    </row>
    <row r="433" spans="1:20" s="508" customFormat="1" ht="165" hidden="1">
      <c r="A433" s="518"/>
      <c r="B433" s="507" t="s">
        <v>1454</v>
      </c>
      <c r="C433" s="534" t="s">
        <v>1454</v>
      </c>
      <c r="D433" s="534" t="s">
        <v>1503</v>
      </c>
      <c r="E433" s="519" t="str">
        <f>IF('GPS Anthro Tool'!$B$5=1,"ECE R129","")</f>
        <v/>
      </c>
      <c r="F433" s="507" t="s">
        <v>4243</v>
      </c>
      <c r="G433" s="534" t="s">
        <v>1495</v>
      </c>
      <c r="H433" s="507" t="s">
        <v>1506</v>
      </c>
      <c r="I433" s="507"/>
      <c r="J433" s="519" t="s">
        <v>3960</v>
      </c>
      <c r="K433" s="521" t="s">
        <v>605</v>
      </c>
      <c r="L433" s="526" t="s">
        <v>315</v>
      </c>
      <c r="M433" s="527" t="s">
        <v>315</v>
      </c>
      <c r="N433" s="528" t="s">
        <v>315</v>
      </c>
      <c r="O433" s="663"/>
      <c r="P433" s="529"/>
      <c r="Q433" s="530" t="s">
        <v>315</v>
      </c>
      <c r="R433" s="530"/>
      <c r="S433" s="530"/>
      <c r="T433" s="566"/>
    </row>
    <row r="434" spans="1:20" s="508" customFormat="1" ht="90" hidden="1">
      <c r="A434" s="518"/>
      <c r="B434" s="507" t="s">
        <v>1454</v>
      </c>
      <c r="C434" s="534" t="s">
        <v>1454</v>
      </c>
      <c r="D434" s="534" t="s">
        <v>1503</v>
      </c>
      <c r="E434" s="519" t="str">
        <f>IF('GPS Anthro Tool'!$B$5=1,"ECE R129","")</f>
        <v/>
      </c>
      <c r="F434" s="507" t="s">
        <v>4243</v>
      </c>
      <c r="G434" s="534" t="s">
        <v>1495</v>
      </c>
      <c r="H434" s="507" t="s">
        <v>1507</v>
      </c>
      <c r="I434" s="507"/>
      <c r="J434" s="519" t="s">
        <v>3960</v>
      </c>
      <c r="K434" s="521" t="s">
        <v>605</v>
      </c>
      <c r="L434" s="526" t="s">
        <v>315</v>
      </c>
      <c r="M434" s="527" t="s">
        <v>315</v>
      </c>
      <c r="N434" s="528" t="s">
        <v>315</v>
      </c>
      <c r="O434" s="663"/>
      <c r="P434" s="529"/>
      <c r="Q434" s="530" t="s">
        <v>315</v>
      </c>
      <c r="R434" s="530"/>
      <c r="S434" s="530"/>
      <c r="T434" s="566"/>
    </row>
    <row r="435" spans="1:20" s="508" customFormat="1" ht="30" hidden="1">
      <c r="A435" s="518"/>
      <c r="B435" s="507" t="s">
        <v>1454</v>
      </c>
      <c r="C435" s="534" t="s">
        <v>1454</v>
      </c>
      <c r="D435" s="534" t="s">
        <v>1503</v>
      </c>
      <c r="E435" s="519" t="str">
        <f>IF('GPS Anthro Tool'!$B$5=1,"ECE R129","")</f>
        <v/>
      </c>
      <c r="F435" s="507" t="s">
        <v>4243</v>
      </c>
      <c r="G435" s="534" t="s">
        <v>1495</v>
      </c>
      <c r="H435" s="507" t="s">
        <v>1508</v>
      </c>
      <c r="I435" s="507"/>
      <c r="J435" s="519" t="s">
        <v>3960</v>
      </c>
      <c r="K435" s="521" t="s">
        <v>605</v>
      </c>
      <c r="L435" s="526" t="s">
        <v>315</v>
      </c>
      <c r="M435" s="527" t="s">
        <v>315</v>
      </c>
      <c r="N435" s="528" t="s">
        <v>315</v>
      </c>
      <c r="O435" s="663"/>
      <c r="P435" s="529"/>
      <c r="Q435" s="530" t="s">
        <v>315</v>
      </c>
      <c r="R435" s="530"/>
      <c r="S435" s="530"/>
      <c r="T435" s="566"/>
    </row>
    <row r="436" spans="1:20" s="508" customFormat="1" ht="90" hidden="1">
      <c r="A436" s="518"/>
      <c r="B436" s="507" t="s">
        <v>1454</v>
      </c>
      <c r="C436" s="534" t="s">
        <v>1454</v>
      </c>
      <c r="D436" s="534" t="s">
        <v>1509</v>
      </c>
      <c r="E436" s="519" t="str">
        <f>IF('GPS Anthro Tool'!$B$5=1,"ECE R129","")</f>
        <v/>
      </c>
      <c r="F436" s="507" t="s">
        <v>4243</v>
      </c>
      <c r="G436" s="534" t="s">
        <v>1495</v>
      </c>
      <c r="H436" s="507" t="s">
        <v>1510</v>
      </c>
      <c r="I436" s="507"/>
      <c r="J436" s="519" t="s">
        <v>3960</v>
      </c>
      <c r="K436" s="521" t="s">
        <v>605</v>
      </c>
      <c r="L436" s="526" t="s">
        <v>315</v>
      </c>
      <c r="M436" s="527" t="s">
        <v>315</v>
      </c>
      <c r="N436" s="528" t="s">
        <v>315</v>
      </c>
      <c r="O436" s="663"/>
      <c r="P436" s="529"/>
      <c r="Q436" s="530" t="s">
        <v>315</v>
      </c>
      <c r="R436" s="530"/>
      <c r="S436" s="530"/>
      <c r="T436" s="566"/>
    </row>
    <row r="437" spans="1:20" s="508" customFormat="1" ht="75" hidden="1">
      <c r="A437" s="518"/>
      <c r="B437" s="507" t="s">
        <v>1454</v>
      </c>
      <c r="C437" s="534" t="s">
        <v>1454</v>
      </c>
      <c r="D437" s="534" t="s">
        <v>1511</v>
      </c>
      <c r="E437" s="519" t="str">
        <f>IF('GPS Anthro Tool'!$B$5=1,"ECE R129","")</f>
        <v/>
      </c>
      <c r="F437" s="507" t="s">
        <v>4243</v>
      </c>
      <c r="G437" s="534" t="s">
        <v>1495</v>
      </c>
      <c r="H437" s="507" t="s">
        <v>1512</v>
      </c>
      <c r="I437" s="507"/>
      <c r="J437" s="519" t="s">
        <v>3960</v>
      </c>
      <c r="K437" s="521" t="s">
        <v>605</v>
      </c>
      <c r="L437" s="526" t="s">
        <v>315</v>
      </c>
      <c r="M437" s="527" t="s">
        <v>315</v>
      </c>
      <c r="N437" s="528" t="s">
        <v>315</v>
      </c>
      <c r="O437" s="663"/>
      <c r="P437" s="529"/>
      <c r="Q437" s="530" t="s">
        <v>315</v>
      </c>
      <c r="R437" s="530"/>
      <c r="S437" s="530"/>
      <c r="T437" s="566"/>
    </row>
    <row r="438" spans="1:20" s="508" customFormat="1" ht="30" hidden="1">
      <c r="A438" s="518"/>
      <c r="B438" s="507" t="s">
        <v>1454</v>
      </c>
      <c r="C438" s="534" t="s">
        <v>1454</v>
      </c>
      <c r="D438" s="534" t="s">
        <v>1514</v>
      </c>
      <c r="E438" s="519" t="str">
        <f>IF('GPS Anthro Tool'!$B$5=1,"ECE R129","")</f>
        <v/>
      </c>
      <c r="F438" s="507" t="s">
        <v>4243</v>
      </c>
      <c r="G438" s="534" t="s">
        <v>1513</v>
      </c>
      <c r="H438" s="507" t="s">
        <v>1515</v>
      </c>
      <c r="I438" s="507"/>
      <c r="J438" s="519" t="s">
        <v>3960</v>
      </c>
      <c r="K438" s="521" t="s">
        <v>605</v>
      </c>
      <c r="L438" s="526" t="s">
        <v>315</v>
      </c>
      <c r="M438" s="527" t="s">
        <v>315</v>
      </c>
      <c r="N438" s="528" t="s">
        <v>315</v>
      </c>
      <c r="O438" s="663"/>
      <c r="P438" s="529"/>
      <c r="Q438" s="530" t="s">
        <v>315</v>
      </c>
      <c r="R438" s="530"/>
      <c r="S438" s="530"/>
      <c r="T438" s="566"/>
    </row>
    <row r="439" spans="1:20" s="508" customFormat="1" ht="90" hidden="1">
      <c r="A439" s="518"/>
      <c r="B439" s="507" t="s">
        <v>1454</v>
      </c>
      <c r="C439" s="534" t="s">
        <v>1454</v>
      </c>
      <c r="D439" s="534" t="s">
        <v>1516</v>
      </c>
      <c r="E439" s="519" t="str">
        <f>IF('GPS Anthro Tool'!$B$5=1,"ECE R129","")</f>
        <v/>
      </c>
      <c r="F439" s="507" t="s">
        <v>4243</v>
      </c>
      <c r="G439" s="534" t="s">
        <v>1513</v>
      </c>
      <c r="H439" s="507" t="s">
        <v>1517</v>
      </c>
      <c r="I439" s="507"/>
      <c r="J439" s="519" t="s">
        <v>3960</v>
      </c>
      <c r="K439" s="521" t="s">
        <v>605</v>
      </c>
      <c r="L439" s="526" t="s">
        <v>315</v>
      </c>
      <c r="M439" s="527" t="s">
        <v>315</v>
      </c>
      <c r="N439" s="528" t="s">
        <v>315</v>
      </c>
      <c r="O439" s="663"/>
      <c r="P439" s="529"/>
      <c r="Q439" s="530" t="s">
        <v>315</v>
      </c>
      <c r="R439" s="530"/>
      <c r="S439" s="530"/>
      <c r="T439" s="566"/>
    </row>
    <row r="440" spans="1:20" s="508" customFormat="1" ht="30" hidden="1">
      <c r="A440" s="518"/>
      <c r="B440" s="507" t="s">
        <v>1454</v>
      </c>
      <c r="C440" s="534" t="s">
        <v>1454</v>
      </c>
      <c r="D440" s="534" t="s">
        <v>1516</v>
      </c>
      <c r="E440" s="519" t="str">
        <f>IF('GPS Anthro Tool'!$B$5=1,"ECE R129","")</f>
        <v/>
      </c>
      <c r="F440" s="507" t="s">
        <v>4243</v>
      </c>
      <c r="G440" s="534" t="s">
        <v>1513</v>
      </c>
      <c r="H440" s="507" t="s">
        <v>1518</v>
      </c>
      <c r="I440" s="507"/>
      <c r="J440" s="519" t="s">
        <v>3960</v>
      </c>
      <c r="K440" s="521" t="s">
        <v>605</v>
      </c>
      <c r="L440" s="526" t="s">
        <v>315</v>
      </c>
      <c r="M440" s="527" t="s">
        <v>315</v>
      </c>
      <c r="N440" s="528" t="s">
        <v>315</v>
      </c>
      <c r="O440" s="663"/>
      <c r="P440" s="529"/>
      <c r="Q440" s="530" t="s">
        <v>315</v>
      </c>
      <c r="R440" s="530"/>
      <c r="S440" s="530"/>
      <c r="T440" s="566"/>
    </row>
    <row r="441" spans="1:20" s="508" customFormat="1" ht="90" hidden="1">
      <c r="A441" s="518"/>
      <c r="B441" s="507" t="s">
        <v>1454</v>
      </c>
      <c r="C441" s="534" t="s">
        <v>1454</v>
      </c>
      <c r="D441" s="534" t="s">
        <v>1519</v>
      </c>
      <c r="E441" s="519" t="str">
        <f>IF('GPS Anthro Tool'!$B$5=1,"ECE R129","")</f>
        <v/>
      </c>
      <c r="F441" s="507" t="s">
        <v>4243</v>
      </c>
      <c r="G441" s="534" t="s">
        <v>1513</v>
      </c>
      <c r="H441" s="507" t="s">
        <v>1520</v>
      </c>
      <c r="I441" s="507"/>
      <c r="J441" s="519" t="s">
        <v>3960</v>
      </c>
      <c r="K441" s="521" t="s">
        <v>605</v>
      </c>
      <c r="L441" s="526" t="s">
        <v>315</v>
      </c>
      <c r="M441" s="527" t="s">
        <v>315</v>
      </c>
      <c r="N441" s="528" t="s">
        <v>315</v>
      </c>
      <c r="O441" s="663"/>
      <c r="P441" s="529"/>
      <c r="Q441" s="530" t="s">
        <v>315</v>
      </c>
      <c r="R441" s="530"/>
      <c r="S441" s="530"/>
      <c r="T441" s="566"/>
    </row>
    <row r="442" spans="1:20" s="508" customFormat="1" ht="30" hidden="1">
      <c r="A442" s="518"/>
      <c r="B442" s="507" t="s">
        <v>1454</v>
      </c>
      <c r="C442" s="534" t="s">
        <v>1454</v>
      </c>
      <c r="D442" s="534" t="s">
        <v>1519</v>
      </c>
      <c r="E442" s="519" t="str">
        <f>IF('GPS Anthro Tool'!$B$5=1,"ECE R129","")</f>
        <v/>
      </c>
      <c r="F442" s="507" t="s">
        <v>4243</v>
      </c>
      <c r="G442" s="534" t="s">
        <v>1513</v>
      </c>
      <c r="H442" s="507" t="s">
        <v>1521</v>
      </c>
      <c r="I442" s="507"/>
      <c r="J442" s="519" t="s">
        <v>3960</v>
      </c>
      <c r="K442" s="521" t="s">
        <v>605</v>
      </c>
      <c r="L442" s="526" t="s">
        <v>315</v>
      </c>
      <c r="M442" s="527" t="s">
        <v>315</v>
      </c>
      <c r="N442" s="528" t="s">
        <v>315</v>
      </c>
      <c r="O442" s="663"/>
      <c r="P442" s="529"/>
      <c r="Q442" s="530" t="s">
        <v>315</v>
      </c>
      <c r="R442" s="530"/>
      <c r="S442" s="530"/>
      <c r="T442" s="667"/>
    </row>
    <row r="443" spans="1:20" s="508" customFormat="1" ht="90" hidden="1">
      <c r="A443" s="518"/>
      <c r="B443" s="507" t="s">
        <v>1454</v>
      </c>
      <c r="C443" s="534" t="s">
        <v>1454</v>
      </c>
      <c r="D443" s="534" t="s">
        <v>1522</v>
      </c>
      <c r="E443" s="519" t="str">
        <f>IF('GPS Anthro Tool'!$B$5=1,"ECE R129","")</f>
        <v/>
      </c>
      <c r="F443" s="507" t="s">
        <v>4243</v>
      </c>
      <c r="G443" s="534" t="s">
        <v>1513</v>
      </c>
      <c r="H443" s="507" t="s">
        <v>1523</v>
      </c>
      <c r="I443" s="507"/>
      <c r="J443" s="519" t="s">
        <v>3960</v>
      </c>
      <c r="K443" s="521" t="s">
        <v>605</v>
      </c>
      <c r="L443" s="526" t="s">
        <v>315</v>
      </c>
      <c r="M443" s="527" t="s">
        <v>315</v>
      </c>
      <c r="N443" s="528" t="s">
        <v>315</v>
      </c>
      <c r="O443" s="663"/>
      <c r="P443" s="529"/>
      <c r="Q443" s="530" t="s">
        <v>315</v>
      </c>
      <c r="R443" s="530"/>
      <c r="S443" s="530"/>
      <c r="T443" s="667"/>
    </row>
    <row r="444" spans="1:20" s="508" customFormat="1" hidden="1">
      <c r="A444" s="518"/>
      <c r="B444" s="507" t="s">
        <v>1454</v>
      </c>
      <c r="C444" s="534" t="s">
        <v>1454</v>
      </c>
      <c r="D444" s="534" t="s">
        <v>1525</v>
      </c>
      <c r="E444" s="519" t="str">
        <f>IF('GPS Anthro Tool'!$B$5=1,"ECE R129","")</f>
        <v/>
      </c>
      <c r="F444" s="507" t="s">
        <v>4243</v>
      </c>
      <c r="G444" s="534" t="s">
        <v>1524</v>
      </c>
      <c r="H444" s="507" t="s">
        <v>1526</v>
      </c>
      <c r="I444" s="507"/>
      <c r="J444" s="519" t="s">
        <v>3960</v>
      </c>
      <c r="K444" s="521" t="s">
        <v>605</v>
      </c>
      <c r="L444" s="526" t="s">
        <v>315</v>
      </c>
      <c r="M444" s="527" t="s">
        <v>315</v>
      </c>
      <c r="N444" s="528" t="s">
        <v>315</v>
      </c>
      <c r="O444" s="663"/>
      <c r="P444" s="529"/>
      <c r="Q444" s="530" t="s">
        <v>315</v>
      </c>
      <c r="R444" s="530"/>
      <c r="S444" s="530"/>
      <c r="T444" s="667"/>
    </row>
    <row r="445" spans="1:20" s="508" customFormat="1" ht="45" hidden="1">
      <c r="A445" s="518"/>
      <c r="B445" s="507" t="s">
        <v>1454</v>
      </c>
      <c r="C445" s="534" t="s">
        <v>1454</v>
      </c>
      <c r="D445" s="534" t="s">
        <v>1525</v>
      </c>
      <c r="E445" s="519" t="str">
        <f>IF('GPS Anthro Tool'!$B$5=1,"ECE R129","")</f>
        <v/>
      </c>
      <c r="F445" s="507" t="s">
        <v>4243</v>
      </c>
      <c r="G445" s="534" t="s">
        <v>1524</v>
      </c>
      <c r="H445" s="507" t="s">
        <v>1527</v>
      </c>
      <c r="I445" s="507"/>
      <c r="J445" s="519" t="s">
        <v>3960</v>
      </c>
      <c r="K445" s="521" t="s">
        <v>605</v>
      </c>
      <c r="L445" s="526" t="s">
        <v>315</v>
      </c>
      <c r="M445" s="527" t="s">
        <v>315</v>
      </c>
      <c r="N445" s="528" t="s">
        <v>315</v>
      </c>
      <c r="O445" s="663"/>
      <c r="P445" s="529"/>
      <c r="Q445" s="530" t="s">
        <v>315</v>
      </c>
      <c r="R445" s="530"/>
      <c r="S445" s="530"/>
      <c r="T445" s="667"/>
    </row>
    <row r="446" spans="1:20" s="508" customFormat="1" ht="75" hidden="1">
      <c r="A446" s="518"/>
      <c r="B446" s="507" t="s">
        <v>1454</v>
      </c>
      <c r="C446" s="534" t="s">
        <v>1454</v>
      </c>
      <c r="D446" s="534" t="s">
        <v>1528</v>
      </c>
      <c r="E446" s="519" t="str">
        <f>IF('GPS Anthro Tool'!$B$5=1,"ECE R129","")</f>
        <v/>
      </c>
      <c r="F446" s="507" t="s">
        <v>4243</v>
      </c>
      <c r="G446" s="534" t="s">
        <v>1524</v>
      </c>
      <c r="H446" s="507" t="s">
        <v>1529</v>
      </c>
      <c r="I446" s="507"/>
      <c r="J446" s="519" t="s">
        <v>3960</v>
      </c>
      <c r="K446" s="521" t="s">
        <v>605</v>
      </c>
      <c r="L446" s="526" t="s">
        <v>315</v>
      </c>
      <c r="M446" s="527" t="s">
        <v>315</v>
      </c>
      <c r="N446" s="528" t="s">
        <v>315</v>
      </c>
      <c r="O446" s="663"/>
      <c r="P446" s="529"/>
      <c r="Q446" s="530" t="s">
        <v>315</v>
      </c>
      <c r="R446" s="530"/>
      <c r="S446" s="530"/>
      <c r="T446" s="667"/>
    </row>
    <row r="447" spans="1:20" s="508" customFormat="1" ht="45" hidden="1">
      <c r="A447" s="518"/>
      <c r="B447" s="507" t="s">
        <v>1454</v>
      </c>
      <c r="C447" s="534" t="s">
        <v>1454</v>
      </c>
      <c r="D447" s="534" t="s">
        <v>1530</v>
      </c>
      <c r="E447" s="519" t="str">
        <f>IF('GPS Anthro Tool'!$B$5=1,"ECE R129","")</f>
        <v/>
      </c>
      <c r="F447" s="507" t="s">
        <v>4243</v>
      </c>
      <c r="G447" s="534" t="s">
        <v>1524</v>
      </c>
      <c r="H447" s="507" t="s">
        <v>1531</v>
      </c>
      <c r="I447" s="507"/>
      <c r="J447" s="519" t="s">
        <v>3960</v>
      </c>
      <c r="K447" s="521" t="s">
        <v>605</v>
      </c>
      <c r="L447" s="526" t="s">
        <v>315</v>
      </c>
      <c r="M447" s="527" t="s">
        <v>315</v>
      </c>
      <c r="N447" s="528" t="s">
        <v>315</v>
      </c>
      <c r="O447" s="663"/>
      <c r="P447" s="529"/>
      <c r="Q447" s="530" t="s">
        <v>315</v>
      </c>
      <c r="R447" s="530"/>
      <c r="S447" s="530"/>
      <c r="T447" s="667"/>
    </row>
    <row r="448" spans="1:20" s="508" customFormat="1" ht="90" hidden="1">
      <c r="A448" s="518"/>
      <c r="B448" s="507" t="s">
        <v>1454</v>
      </c>
      <c r="C448" s="534" t="s">
        <v>1454</v>
      </c>
      <c r="D448" s="534" t="s">
        <v>1532</v>
      </c>
      <c r="E448" s="519" t="str">
        <f>IF('GPS Anthro Tool'!$B$5=1,"ECE R129","")</f>
        <v/>
      </c>
      <c r="F448" s="507" t="s">
        <v>4243</v>
      </c>
      <c r="G448" s="534" t="s">
        <v>1524</v>
      </c>
      <c r="H448" s="507" t="s">
        <v>1533</v>
      </c>
      <c r="I448" s="507"/>
      <c r="J448" s="519" t="s">
        <v>3960</v>
      </c>
      <c r="K448" s="521" t="s">
        <v>605</v>
      </c>
      <c r="L448" s="526" t="s">
        <v>315</v>
      </c>
      <c r="M448" s="527" t="s">
        <v>315</v>
      </c>
      <c r="N448" s="528" t="s">
        <v>315</v>
      </c>
      <c r="O448" s="663"/>
      <c r="P448" s="529"/>
      <c r="Q448" s="530" t="s">
        <v>315</v>
      </c>
      <c r="R448" s="530"/>
      <c r="S448" s="530"/>
      <c r="T448" s="667"/>
    </row>
    <row r="449" spans="1:20" s="508" customFormat="1" ht="75" hidden="1">
      <c r="A449" s="518"/>
      <c r="B449" s="507" t="s">
        <v>1454</v>
      </c>
      <c r="C449" s="534" t="s">
        <v>1454</v>
      </c>
      <c r="D449" s="534" t="s">
        <v>1534</v>
      </c>
      <c r="E449" s="519" t="str">
        <f>IF('GPS Anthro Tool'!$B$5=1,"ECE R129","")</f>
        <v/>
      </c>
      <c r="F449" s="507" t="s">
        <v>4243</v>
      </c>
      <c r="G449" s="534" t="s">
        <v>1524</v>
      </c>
      <c r="H449" s="507" t="s">
        <v>1535</v>
      </c>
      <c r="I449" s="507"/>
      <c r="J449" s="519" t="s">
        <v>3960</v>
      </c>
      <c r="K449" s="521" t="s">
        <v>605</v>
      </c>
      <c r="L449" s="526" t="s">
        <v>315</v>
      </c>
      <c r="M449" s="527" t="s">
        <v>315</v>
      </c>
      <c r="N449" s="528" t="s">
        <v>315</v>
      </c>
      <c r="O449" s="663"/>
      <c r="P449" s="529"/>
      <c r="Q449" s="530" t="s">
        <v>315</v>
      </c>
      <c r="R449" s="530"/>
      <c r="S449" s="530"/>
      <c r="T449" s="667"/>
    </row>
    <row r="450" spans="1:20" s="508" customFormat="1" ht="45" hidden="1">
      <c r="A450" s="518"/>
      <c r="B450" s="507" t="s">
        <v>1454</v>
      </c>
      <c r="C450" s="534" t="s">
        <v>1454</v>
      </c>
      <c r="D450" s="534" t="s">
        <v>1536</v>
      </c>
      <c r="E450" s="519" t="str">
        <f>IF('GPS Anthro Tool'!$B$5=1,"ECE R129","")</f>
        <v/>
      </c>
      <c r="F450" s="507" t="s">
        <v>4243</v>
      </c>
      <c r="G450" s="534" t="s">
        <v>1524</v>
      </c>
      <c r="H450" s="507" t="s">
        <v>1537</v>
      </c>
      <c r="I450" s="507"/>
      <c r="J450" s="519" t="s">
        <v>3960</v>
      </c>
      <c r="K450" s="521" t="s">
        <v>605</v>
      </c>
      <c r="L450" s="526" t="s">
        <v>315</v>
      </c>
      <c r="M450" s="527" t="s">
        <v>315</v>
      </c>
      <c r="N450" s="528" t="s">
        <v>315</v>
      </c>
      <c r="O450" s="663"/>
      <c r="P450" s="529"/>
      <c r="Q450" s="530" t="s">
        <v>315</v>
      </c>
      <c r="R450" s="530"/>
      <c r="S450" s="530"/>
      <c r="T450" s="667"/>
    </row>
    <row r="451" spans="1:20" s="508" customFormat="1" ht="75" hidden="1">
      <c r="A451" s="518"/>
      <c r="B451" s="507" t="s">
        <v>1454</v>
      </c>
      <c r="C451" s="534" t="s">
        <v>1454</v>
      </c>
      <c r="D451" s="534" t="s">
        <v>1538</v>
      </c>
      <c r="E451" s="519" t="str">
        <f>IF('GPS Anthro Tool'!$B$5=1,"ECE R129","")</f>
        <v/>
      </c>
      <c r="F451" s="507" t="s">
        <v>4243</v>
      </c>
      <c r="G451" s="534" t="s">
        <v>1524</v>
      </c>
      <c r="H451" s="507" t="s">
        <v>1539</v>
      </c>
      <c r="I451" s="507"/>
      <c r="J451" s="519" t="s">
        <v>3960</v>
      </c>
      <c r="K451" s="521" t="s">
        <v>605</v>
      </c>
      <c r="L451" s="526" t="s">
        <v>315</v>
      </c>
      <c r="M451" s="527" t="s">
        <v>315</v>
      </c>
      <c r="N451" s="528" t="s">
        <v>315</v>
      </c>
      <c r="O451" s="663"/>
      <c r="P451" s="529"/>
      <c r="Q451" s="530" t="s">
        <v>315</v>
      </c>
      <c r="R451" s="530"/>
      <c r="S451" s="530"/>
      <c r="T451" s="667"/>
    </row>
    <row r="452" spans="1:20" s="508" customFormat="1" ht="90" hidden="1">
      <c r="A452" s="518"/>
      <c r="B452" s="507" t="s">
        <v>706</v>
      </c>
      <c r="C452" s="520" t="s">
        <v>702</v>
      </c>
      <c r="D452" s="534" t="s">
        <v>708</v>
      </c>
      <c r="E452" s="519" t="str">
        <f>IF('GPS Anthro Tool'!$B$5=1,"ECE R129","")</f>
        <v/>
      </c>
      <c r="F452" s="507" t="s">
        <v>4243</v>
      </c>
      <c r="G452" s="534" t="s">
        <v>707</v>
      </c>
      <c r="H452" s="507" t="s">
        <v>709</v>
      </c>
      <c r="I452" s="520"/>
      <c r="J452" s="519" t="s">
        <v>3960</v>
      </c>
      <c r="K452" s="521" t="s">
        <v>605</v>
      </c>
      <c r="L452" s="526" t="s">
        <v>315</v>
      </c>
      <c r="M452" s="527" t="s">
        <v>315</v>
      </c>
      <c r="N452" s="528" t="s">
        <v>315</v>
      </c>
      <c r="O452" s="663"/>
      <c r="P452" s="529"/>
      <c r="Q452" s="530" t="s">
        <v>315</v>
      </c>
      <c r="R452" s="530"/>
      <c r="S452" s="530"/>
      <c r="T452" s="667"/>
    </row>
    <row r="453" spans="1:20" s="508" customFormat="1" ht="75" hidden="1">
      <c r="A453" s="518"/>
      <c r="B453" s="507" t="s">
        <v>706</v>
      </c>
      <c r="C453" s="520" t="s">
        <v>702</v>
      </c>
      <c r="D453" s="534" t="s">
        <v>708</v>
      </c>
      <c r="E453" s="519" t="str">
        <f>IF('GPS Anthro Tool'!$B$5=1,"ECE R129","")</f>
        <v/>
      </c>
      <c r="F453" s="507" t="s">
        <v>4243</v>
      </c>
      <c r="G453" s="534" t="s">
        <v>707</v>
      </c>
      <c r="H453" s="507" t="s">
        <v>710</v>
      </c>
      <c r="I453" s="520"/>
      <c r="J453" s="519" t="s">
        <v>3960</v>
      </c>
      <c r="K453" s="521" t="s">
        <v>605</v>
      </c>
      <c r="L453" s="526" t="s">
        <v>315</v>
      </c>
      <c r="M453" s="527" t="s">
        <v>315</v>
      </c>
      <c r="N453" s="528" t="s">
        <v>315</v>
      </c>
      <c r="O453" s="663"/>
      <c r="P453" s="529"/>
      <c r="Q453" s="530" t="s">
        <v>315</v>
      </c>
      <c r="R453" s="530"/>
      <c r="S453" s="530"/>
      <c r="T453" s="667"/>
    </row>
    <row r="454" spans="1:20" s="508" customFormat="1" ht="60" hidden="1">
      <c r="A454" s="518"/>
      <c r="B454" s="507" t="s">
        <v>706</v>
      </c>
      <c r="C454" s="520" t="s">
        <v>702</v>
      </c>
      <c r="D454" s="534" t="s">
        <v>708</v>
      </c>
      <c r="E454" s="519" t="str">
        <f>IF('GPS Anthro Tool'!$B$5=1,"ECE R129","")</f>
        <v/>
      </c>
      <c r="F454" s="507" t="s">
        <v>4243</v>
      </c>
      <c r="G454" s="534" t="s">
        <v>707</v>
      </c>
      <c r="H454" s="507" t="s">
        <v>711</v>
      </c>
      <c r="I454" s="520"/>
      <c r="J454" s="519" t="s">
        <v>3960</v>
      </c>
      <c r="K454" s="521" t="s">
        <v>605</v>
      </c>
      <c r="L454" s="526" t="s">
        <v>315</v>
      </c>
      <c r="M454" s="527" t="s">
        <v>315</v>
      </c>
      <c r="N454" s="528" t="s">
        <v>315</v>
      </c>
      <c r="O454" s="663"/>
      <c r="P454" s="532"/>
      <c r="Q454" s="530" t="s">
        <v>315</v>
      </c>
      <c r="R454" s="530"/>
      <c r="S454" s="530"/>
      <c r="T454" s="667"/>
    </row>
    <row r="455" spans="1:20" s="508" customFormat="1" ht="60" hidden="1">
      <c r="A455" s="518"/>
      <c r="B455" s="507" t="s">
        <v>706</v>
      </c>
      <c r="C455" s="520" t="s">
        <v>702</v>
      </c>
      <c r="D455" s="534" t="s">
        <v>708</v>
      </c>
      <c r="E455" s="519" t="str">
        <f>IF('GPS Anthro Tool'!$B$5=1,"ECE R129","")</f>
        <v/>
      </c>
      <c r="F455" s="507" t="s">
        <v>4243</v>
      </c>
      <c r="G455" s="534" t="s">
        <v>707</v>
      </c>
      <c r="H455" s="507" t="s">
        <v>712</v>
      </c>
      <c r="I455" s="520"/>
      <c r="J455" s="519" t="s">
        <v>3960</v>
      </c>
      <c r="K455" s="521" t="s">
        <v>605</v>
      </c>
      <c r="L455" s="526" t="s">
        <v>315</v>
      </c>
      <c r="M455" s="527" t="s">
        <v>315</v>
      </c>
      <c r="N455" s="528" t="s">
        <v>315</v>
      </c>
      <c r="O455" s="663"/>
      <c r="P455" s="529"/>
      <c r="Q455" s="530" t="s">
        <v>315</v>
      </c>
      <c r="R455" s="530"/>
      <c r="S455" s="530"/>
      <c r="T455" s="667"/>
    </row>
    <row r="456" spans="1:20" s="508" customFormat="1" ht="90" hidden="1">
      <c r="A456" s="518"/>
      <c r="B456" s="507" t="s">
        <v>706</v>
      </c>
      <c r="C456" s="520" t="s">
        <v>702</v>
      </c>
      <c r="D456" s="534" t="s">
        <v>708</v>
      </c>
      <c r="E456" s="519" t="str">
        <f>IF('GPS Anthro Tool'!$B$5=1,"ECE R129","")</f>
        <v/>
      </c>
      <c r="F456" s="507" t="s">
        <v>4243</v>
      </c>
      <c r="G456" s="534" t="s">
        <v>707</v>
      </c>
      <c r="H456" s="507" t="s">
        <v>713</v>
      </c>
      <c r="I456" s="520"/>
      <c r="J456" s="519" t="s">
        <v>3960</v>
      </c>
      <c r="K456" s="521" t="s">
        <v>605</v>
      </c>
      <c r="L456" s="526" t="s">
        <v>315</v>
      </c>
      <c r="M456" s="527" t="s">
        <v>315</v>
      </c>
      <c r="N456" s="528" t="s">
        <v>315</v>
      </c>
      <c r="O456" s="663"/>
      <c r="P456" s="529"/>
      <c r="Q456" s="530" t="s">
        <v>315</v>
      </c>
      <c r="R456" s="530"/>
      <c r="S456" s="530"/>
      <c r="T456" s="667"/>
    </row>
    <row r="457" spans="1:20" s="508" customFormat="1" ht="60" hidden="1">
      <c r="A457" s="518"/>
      <c r="B457" s="507" t="s">
        <v>706</v>
      </c>
      <c r="C457" s="520" t="s">
        <v>702</v>
      </c>
      <c r="D457" s="534" t="s">
        <v>708</v>
      </c>
      <c r="E457" s="519" t="str">
        <f>IF('GPS Anthro Tool'!$B$5=1,"ECE R129","")</f>
        <v/>
      </c>
      <c r="F457" s="507" t="s">
        <v>4243</v>
      </c>
      <c r="G457" s="534" t="s">
        <v>707</v>
      </c>
      <c r="H457" s="507" t="s">
        <v>714</v>
      </c>
      <c r="I457" s="520"/>
      <c r="J457" s="519" t="s">
        <v>3960</v>
      </c>
      <c r="K457" s="521" t="s">
        <v>605</v>
      </c>
      <c r="L457" s="526" t="s">
        <v>315</v>
      </c>
      <c r="M457" s="527" t="s">
        <v>315</v>
      </c>
      <c r="N457" s="528" t="s">
        <v>315</v>
      </c>
      <c r="O457" s="663"/>
      <c r="P457" s="529"/>
      <c r="Q457" s="530" t="s">
        <v>315</v>
      </c>
      <c r="R457" s="530"/>
      <c r="S457" s="530"/>
      <c r="T457" s="667"/>
    </row>
    <row r="458" spans="1:20" s="508" customFormat="1" ht="75" hidden="1">
      <c r="A458" s="518"/>
      <c r="B458" s="507" t="s">
        <v>706</v>
      </c>
      <c r="C458" s="520" t="s">
        <v>702</v>
      </c>
      <c r="D458" s="534" t="s">
        <v>717</v>
      </c>
      <c r="E458" s="519" t="str">
        <f>IF('GPS Anthro Tool'!$B$5=1,"ECE R129","")</f>
        <v/>
      </c>
      <c r="F458" s="507" t="s">
        <v>4243</v>
      </c>
      <c r="G458" s="534" t="s">
        <v>707</v>
      </c>
      <c r="H458" s="507" t="s">
        <v>718</v>
      </c>
      <c r="I458" s="520"/>
      <c r="J458" s="519" t="s">
        <v>3960</v>
      </c>
      <c r="K458" s="521" t="s">
        <v>605</v>
      </c>
      <c r="L458" s="526" t="s">
        <v>315</v>
      </c>
      <c r="M458" s="527" t="s">
        <v>315</v>
      </c>
      <c r="N458" s="528" t="s">
        <v>315</v>
      </c>
      <c r="O458" s="663"/>
      <c r="P458" s="529"/>
      <c r="Q458" s="530" t="s">
        <v>315</v>
      </c>
      <c r="R458" s="530"/>
      <c r="S458" s="530"/>
      <c r="T458" s="667"/>
    </row>
    <row r="459" spans="1:20" s="508" customFormat="1" ht="75" hidden="1">
      <c r="A459" s="518"/>
      <c r="B459" s="507" t="s">
        <v>706</v>
      </c>
      <c r="C459" s="520" t="s">
        <v>702</v>
      </c>
      <c r="D459" s="534" t="s">
        <v>724</v>
      </c>
      <c r="E459" s="519" t="str">
        <f>IF('GPS Anthro Tool'!$B$5=1,"ECE R129","")</f>
        <v/>
      </c>
      <c r="F459" s="507" t="s">
        <v>4243</v>
      </c>
      <c r="G459" s="534" t="s">
        <v>707</v>
      </c>
      <c r="H459" s="507" t="s">
        <v>725</v>
      </c>
      <c r="I459" s="520"/>
      <c r="J459" s="519" t="s">
        <v>3960</v>
      </c>
      <c r="K459" s="521" t="s">
        <v>605</v>
      </c>
      <c r="L459" s="526" t="s">
        <v>315</v>
      </c>
      <c r="M459" s="527" t="s">
        <v>315</v>
      </c>
      <c r="N459" s="528" t="s">
        <v>315</v>
      </c>
      <c r="O459" s="663"/>
      <c r="P459" s="529"/>
      <c r="Q459" s="530" t="s">
        <v>315</v>
      </c>
      <c r="R459" s="530"/>
      <c r="S459" s="530"/>
      <c r="T459" s="667"/>
    </row>
    <row r="460" spans="1:20" s="508" customFormat="1" ht="105" hidden="1">
      <c r="A460" s="518"/>
      <c r="B460" s="507" t="s">
        <v>706</v>
      </c>
      <c r="C460" s="520" t="s">
        <v>702</v>
      </c>
      <c r="D460" s="534" t="s">
        <v>730</v>
      </c>
      <c r="E460" s="519" t="str">
        <f>IF('GPS Anthro Tool'!$B$5=1,"ECE R129","")</f>
        <v/>
      </c>
      <c r="F460" s="507" t="s">
        <v>4243</v>
      </c>
      <c r="G460" s="534" t="s">
        <v>707</v>
      </c>
      <c r="H460" s="507" t="s">
        <v>731</v>
      </c>
      <c r="I460" s="520"/>
      <c r="J460" s="519" t="s">
        <v>3960</v>
      </c>
      <c r="K460" s="521" t="s">
        <v>605</v>
      </c>
      <c r="L460" s="526" t="s">
        <v>315</v>
      </c>
      <c r="M460" s="527" t="s">
        <v>315</v>
      </c>
      <c r="N460" s="528" t="s">
        <v>315</v>
      </c>
      <c r="O460" s="663"/>
      <c r="P460" s="529"/>
      <c r="Q460" s="530" t="s">
        <v>315</v>
      </c>
      <c r="R460" s="530"/>
      <c r="S460" s="530"/>
      <c r="T460" s="667"/>
    </row>
    <row r="461" spans="1:20" s="508" customFormat="1" ht="60" hidden="1">
      <c r="A461" s="518"/>
      <c r="B461" s="519" t="s">
        <v>606</v>
      </c>
      <c r="C461" s="520" t="s">
        <v>604</v>
      </c>
      <c r="D461" s="507" t="s">
        <v>608</v>
      </c>
      <c r="E461" s="519" t="str">
        <f>IF('GPS Anthro Tool'!$B$5=1,"ECE R129","")</f>
        <v/>
      </c>
      <c r="F461" s="507" t="s">
        <v>4243</v>
      </c>
      <c r="G461" s="509" t="s">
        <v>607</v>
      </c>
      <c r="H461" s="507" t="s">
        <v>609</v>
      </c>
      <c r="I461" s="520"/>
      <c r="J461" s="519" t="s">
        <v>3960</v>
      </c>
      <c r="K461" s="521" t="s">
        <v>605</v>
      </c>
      <c r="L461" s="526" t="s">
        <v>315</v>
      </c>
      <c r="M461" s="527" t="s">
        <v>315</v>
      </c>
      <c r="N461" s="528" t="s">
        <v>315</v>
      </c>
      <c r="O461" s="663"/>
      <c r="P461" s="529"/>
      <c r="Q461" s="530" t="s">
        <v>315</v>
      </c>
      <c r="R461" s="530"/>
      <c r="S461" s="530"/>
      <c r="T461" s="667"/>
    </row>
    <row r="462" spans="1:20" s="508" customFormat="1" ht="75" hidden="1">
      <c r="A462" s="518"/>
      <c r="B462" s="519" t="s">
        <v>606</v>
      </c>
      <c r="C462" s="520" t="s">
        <v>604</v>
      </c>
      <c r="D462" s="509" t="s">
        <v>610</v>
      </c>
      <c r="E462" s="519" t="str">
        <f>IF('GPS Anthro Tool'!$B$5=1,"ECE R129","")</f>
        <v/>
      </c>
      <c r="F462" s="507" t="s">
        <v>4243</v>
      </c>
      <c r="G462" s="509" t="s">
        <v>607</v>
      </c>
      <c r="H462" s="507" t="s">
        <v>611</v>
      </c>
      <c r="I462" s="520"/>
      <c r="J462" s="519" t="s">
        <v>3960</v>
      </c>
      <c r="K462" s="521" t="s">
        <v>605</v>
      </c>
      <c r="L462" s="526" t="s">
        <v>315</v>
      </c>
      <c r="M462" s="527" t="s">
        <v>315</v>
      </c>
      <c r="N462" s="528" t="s">
        <v>315</v>
      </c>
      <c r="O462" s="663"/>
      <c r="P462" s="529"/>
      <c r="Q462" s="530" t="s">
        <v>315</v>
      </c>
      <c r="R462" s="530"/>
      <c r="S462" s="530"/>
      <c r="T462" s="667"/>
    </row>
    <row r="463" spans="1:20" s="508" customFormat="1" ht="60" hidden="1">
      <c r="A463" s="518"/>
      <c r="B463" s="519" t="s">
        <v>606</v>
      </c>
      <c r="C463" s="520" t="s">
        <v>604</v>
      </c>
      <c r="D463" s="536" t="s">
        <v>612</v>
      </c>
      <c r="E463" s="519" t="str">
        <f>IF('GPS Anthro Tool'!$B$5=1,"ECE R129","")</f>
        <v/>
      </c>
      <c r="F463" s="507" t="s">
        <v>4243</v>
      </c>
      <c r="G463" s="509" t="s">
        <v>607</v>
      </c>
      <c r="H463" s="507" t="s">
        <v>613</v>
      </c>
      <c r="I463" s="520"/>
      <c r="J463" s="519" t="s">
        <v>3960</v>
      </c>
      <c r="K463" s="521" t="s">
        <v>605</v>
      </c>
      <c r="L463" s="526" t="s">
        <v>315</v>
      </c>
      <c r="M463" s="527" t="s">
        <v>315</v>
      </c>
      <c r="N463" s="528" t="s">
        <v>315</v>
      </c>
      <c r="O463" s="663"/>
      <c r="P463" s="529"/>
      <c r="Q463" s="530" t="s">
        <v>315</v>
      </c>
      <c r="R463" s="530"/>
      <c r="S463" s="530"/>
      <c r="T463" s="667"/>
    </row>
    <row r="464" spans="1:20" s="508" customFormat="1" ht="75" hidden="1">
      <c r="A464" s="518"/>
      <c r="B464" s="519" t="s">
        <v>606</v>
      </c>
      <c r="C464" s="520" t="s">
        <v>604</v>
      </c>
      <c r="D464" s="507" t="s">
        <v>614</v>
      </c>
      <c r="E464" s="519" t="str">
        <f>IF('GPS Anthro Tool'!$B$5=1,"ECE R129","")</f>
        <v/>
      </c>
      <c r="F464" s="507" t="s">
        <v>4243</v>
      </c>
      <c r="G464" s="509" t="s">
        <v>607</v>
      </c>
      <c r="H464" s="507" t="s">
        <v>615</v>
      </c>
      <c r="I464" s="520"/>
      <c r="J464" s="519" t="s">
        <v>3960</v>
      </c>
      <c r="K464" s="521" t="s">
        <v>605</v>
      </c>
      <c r="L464" s="526" t="s">
        <v>315</v>
      </c>
      <c r="M464" s="527" t="s">
        <v>315</v>
      </c>
      <c r="N464" s="528" t="s">
        <v>315</v>
      </c>
      <c r="O464" s="663"/>
      <c r="P464" s="529"/>
      <c r="Q464" s="530" t="s">
        <v>315</v>
      </c>
      <c r="R464" s="530"/>
      <c r="S464" s="530"/>
      <c r="T464" s="667"/>
    </row>
    <row r="465" spans="1:20" s="508" customFormat="1" ht="45" hidden="1">
      <c r="A465" s="518"/>
      <c r="B465" s="519" t="s">
        <v>606</v>
      </c>
      <c r="C465" s="520" t="s">
        <v>604</v>
      </c>
      <c r="D465" s="507" t="s">
        <v>614</v>
      </c>
      <c r="E465" s="519" t="str">
        <f>IF('GPS Anthro Tool'!$B$5=1,"ECE R129","")</f>
        <v/>
      </c>
      <c r="F465" s="507" t="s">
        <v>4243</v>
      </c>
      <c r="G465" s="509" t="s">
        <v>607</v>
      </c>
      <c r="H465" s="507" t="s">
        <v>616</v>
      </c>
      <c r="I465" s="520"/>
      <c r="J465" s="519" t="s">
        <v>3960</v>
      </c>
      <c r="K465" s="521" t="s">
        <v>605</v>
      </c>
      <c r="L465" s="526" t="s">
        <v>315</v>
      </c>
      <c r="M465" s="527" t="s">
        <v>315</v>
      </c>
      <c r="N465" s="528" t="s">
        <v>315</v>
      </c>
      <c r="O465" s="663"/>
      <c r="P465" s="529"/>
      <c r="Q465" s="530" t="s">
        <v>315</v>
      </c>
      <c r="R465" s="530"/>
      <c r="S465" s="530"/>
      <c r="T465" s="667"/>
    </row>
    <row r="466" spans="1:20" s="508" customFormat="1" ht="60" hidden="1">
      <c r="A466" s="518"/>
      <c r="B466" s="507" t="s">
        <v>706</v>
      </c>
      <c r="C466" s="520" t="s">
        <v>702</v>
      </c>
      <c r="D466" s="534" t="s">
        <v>720</v>
      </c>
      <c r="E466" s="519" t="str">
        <f>IF('GPS Anthro Tool'!$B$5=1,"ECE R129","")</f>
        <v/>
      </c>
      <c r="F466" s="507" t="s">
        <v>4243</v>
      </c>
      <c r="G466" s="534" t="s">
        <v>719</v>
      </c>
      <c r="H466" s="507" t="s">
        <v>721</v>
      </c>
      <c r="I466" s="520"/>
      <c r="J466" s="519" t="s">
        <v>3960</v>
      </c>
      <c r="K466" s="521" t="s">
        <v>605</v>
      </c>
      <c r="L466" s="526" t="s">
        <v>315</v>
      </c>
      <c r="M466" s="527" t="s">
        <v>315</v>
      </c>
      <c r="N466" s="528" t="s">
        <v>315</v>
      </c>
      <c r="O466" s="663"/>
      <c r="P466" s="529"/>
      <c r="Q466" s="530" t="s">
        <v>315</v>
      </c>
      <c r="R466" s="530"/>
      <c r="S466" s="530"/>
      <c r="T466" s="667"/>
    </row>
    <row r="467" spans="1:20" s="508" customFormat="1" ht="90" hidden="1">
      <c r="A467" s="518"/>
      <c r="B467" s="507" t="s">
        <v>706</v>
      </c>
      <c r="C467" s="520" t="s">
        <v>702</v>
      </c>
      <c r="D467" s="534" t="s">
        <v>726</v>
      </c>
      <c r="E467" s="519" t="str">
        <f>IF('GPS Anthro Tool'!$B$5=1,"ECE R129","")</f>
        <v/>
      </c>
      <c r="F467" s="507" t="s">
        <v>4243</v>
      </c>
      <c r="G467" s="534" t="s">
        <v>707</v>
      </c>
      <c r="H467" s="507" t="s">
        <v>727</v>
      </c>
      <c r="I467" s="520"/>
      <c r="J467" s="519" t="s">
        <v>3960</v>
      </c>
      <c r="K467" s="521" t="s">
        <v>605</v>
      </c>
      <c r="L467" s="526" t="s">
        <v>315</v>
      </c>
      <c r="M467" s="527" t="s">
        <v>315</v>
      </c>
      <c r="N467" s="528" t="s">
        <v>315</v>
      </c>
      <c r="O467" s="663"/>
      <c r="P467" s="529"/>
      <c r="Q467" s="530" t="s">
        <v>315</v>
      </c>
      <c r="R467" s="530"/>
      <c r="S467" s="530"/>
      <c r="T467" s="667"/>
    </row>
    <row r="468" spans="1:20" s="508" customFormat="1" ht="135" hidden="1">
      <c r="A468" s="518"/>
      <c r="B468" s="507" t="s">
        <v>706</v>
      </c>
      <c r="C468" s="520" t="s">
        <v>702</v>
      </c>
      <c r="D468" s="534" t="s">
        <v>732</v>
      </c>
      <c r="E468" s="519" t="str">
        <f>IF('GPS Anthro Tool'!$B$5=1,"ECE R129","")</f>
        <v/>
      </c>
      <c r="F468" s="507" t="s">
        <v>4243</v>
      </c>
      <c r="G468" s="534" t="s">
        <v>707</v>
      </c>
      <c r="H468" s="507" t="s">
        <v>733</v>
      </c>
      <c r="I468" s="520"/>
      <c r="J468" s="519" t="s">
        <v>3960</v>
      </c>
      <c r="K468" s="521" t="s">
        <v>605</v>
      </c>
      <c r="L468" s="526" t="s">
        <v>315</v>
      </c>
      <c r="M468" s="527" t="s">
        <v>315</v>
      </c>
      <c r="N468" s="528" t="s">
        <v>315</v>
      </c>
      <c r="O468" s="663"/>
      <c r="P468" s="529"/>
      <c r="Q468" s="530" t="s">
        <v>315</v>
      </c>
      <c r="R468" s="530"/>
      <c r="S468" s="530"/>
      <c r="T468" s="667"/>
    </row>
    <row r="469" spans="1:20" s="508" customFormat="1" ht="90" hidden="1">
      <c r="A469" s="518"/>
      <c r="B469" s="519" t="s">
        <v>606</v>
      </c>
      <c r="C469" s="520" t="s">
        <v>604</v>
      </c>
      <c r="D469" s="507" t="s">
        <v>617</v>
      </c>
      <c r="E469" s="519" t="str">
        <f>IF('GPS Anthro Tool'!$B$5=1,"ECE R129","")</f>
        <v/>
      </c>
      <c r="F469" s="507" t="s">
        <v>4243</v>
      </c>
      <c r="G469" s="509" t="s">
        <v>607</v>
      </c>
      <c r="H469" s="507" t="s">
        <v>618</v>
      </c>
      <c r="I469" s="520"/>
      <c r="J469" s="519" t="s">
        <v>3960</v>
      </c>
      <c r="K469" s="521" t="s">
        <v>605</v>
      </c>
      <c r="L469" s="526" t="s">
        <v>315</v>
      </c>
      <c r="M469" s="527" t="s">
        <v>315</v>
      </c>
      <c r="N469" s="528" t="s">
        <v>315</v>
      </c>
      <c r="O469" s="663"/>
      <c r="P469" s="529"/>
      <c r="Q469" s="530" t="s">
        <v>315</v>
      </c>
      <c r="R469" s="530"/>
      <c r="S469" s="530"/>
      <c r="T469" s="667"/>
    </row>
    <row r="470" spans="1:20" s="508" customFormat="1" ht="45" hidden="1">
      <c r="A470" s="518"/>
      <c r="B470" s="519" t="s">
        <v>606</v>
      </c>
      <c r="C470" s="520" t="s">
        <v>604</v>
      </c>
      <c r="D470" s="507" t="s">
        <v>617</v>
      </c>
      <c r="E470" s="519" t="str">
        <f>IF('GPS Anthro Tool'!$B$5=1,"ECE R129","")</f>
        <v/>
      </c>
      <c r="F470" s="507" t="s">
        <v>4243</v>
      </c>
      <c r="G470" s="509" t="s">
        <v>607</v>
      </c>
      <c r="H470" s="507" t="s">
        <v>619</v>
      </c>
      <c r="I470" s="520"/>
      <c r="J470" s="519" t="s">
        <v>3960</v>
      </c>
      <c r="K470" s="521" t="s">
        <v>605</v>
      </c>
      <c r="L470" s="526" t="s">
        <v>315</v>
      </c>
      <c r="M470" s="527" t="s">
        <v>315</v>
      </c>
      <c r="N470" s="528" t="s">
        <v>315</v>
      </c>
      <c r="O470" s="663"/>
      <c r="P470" s="529"/>
      <c r="Q470" s="530" t="s">
        <v>315</v>
      </c>
      <c r="R470" s="530"/>
      <c r="S470" s="530"/>
      <c r="T470" s="667"/>
    </row>
    <row r="471" spans="1:20" s="508" customFormat="1" ht="60" hidden="1">
      <c r="A471" s="518"/>
      <c r="B471" s="519" t="s">
        <v>606</v>
      </c>
      <c r="C471" s="520" t="s">
        <v>604</v>
      </c>
      <c r="D471" s="507" t="s">
        <v>617</v>
      </c>
      <c r="E471" s="519" t="str">
        <f>IF('GPS Anthro Tool'!$B$5=1,"ECE R129","")</f>
        <v/>
      </c>
      <c r="F471" s="507" t="s">
        <v>4243</v>
      </c>
      <c r="G471" s="509" t="s">
        <v>607</v>
      </c>
      <c r="H471" s="507" t="s">
        <v>620</v>
      </c>
      <c r="I471" s="520"/>
      <c r="J471" s="519" t="s">
        <v>3960</v>
      </c>
      <c r="K471" s="521" t="s">
        <v>605</v>
      </c>
      <c r="L471" s="526" t="s">
        <v>315</v>
      </c>
      <c r="M471" s="527" t="s">
        <v>315</v>
      </c>
      <c r="N471" s="528" t="s">
        <v>315</v>
      </c>
      <c r="O471" s="663"/>
      <c r="P471" s="529"/>
      <c r="Q471" s="530" t="s">
        <v>315</v>
      </c>
      <c r="R471" s="530"/>
      <c r="S471" s="530"/>
      <c r="T471" s="667"/>
    </row>
    <row r="472" spans="1:20" s="508" customFormat="1" ht="30" hidden="1">
      <c r="A472" s="518"/>
      <c r="B472" s="519" t="s">
        <v>606</v>
      </c>
      <c r="C472" s="520" t="s">
        <v>604</v>
      </c>
      <c r="D472" s="507" t="s">
        <v>617</v>
      </c>
      <c r="E472" s="519" t="str">
        <f>IF('GPS Anthro Tool'!$B$5=1,"ECE R129","")</f>
        <v/>
      </c>
      <c r="F472" s="507" t="s">
        <v>4243</v>
      </c>
      <c r="G472" s="509" t="s">
        <v>607</v>
      </c>
      <c r="H472" s="507" t="s">
        <v>621</v>
      </c>
      <c r="I472" s="520"/>
      <c r="J472" s="519" t="s">
        <v>3960</v>
      </c>
      <c r="K472" s="521" t="s">
        <v>605</v>
      </c>
      <c r="L472" s="526" t="s">
        <v>315</v>
      </c>
      <c r="M472" s="527" t="s">
        <v>315</v>
      </c>
      <c r="N472" s="528" t="s">
        <v>315</v>
      </c>
      <c r="O472" s="663"/>
      <c r="P472" s="529"/>
      <c r="Q472" s="530" t="s">
        <v>315</v>
      </c>
      <c r="R472" s="530"/>
      <c r="S472" s="530"/>
      <c r="T472" s="667"/>
    </row>
    <row r="473" spans="1:20" s="508" customFormat="1" ht="60" hidden="1">
      <c r="A473" s="518"/>
      <c r="B473" s="519" t="s">
        <v>606</v>
      </c>
      <c r="C473" s="520" t="s">
        <v>604</v>
      </c>
      <c r="D473" s="507" t="s">
        <v>617</v>
      </c>
      <c r="E473" s="519" t="str">
        <f>IF('GPS Anthro Tool'!$B$5=1,"ECE R129","")</f>
        <v/>
      </c>
      <c r="F473" s="507" t="s">
        <v>4243</v>
      </c>
      <c r="G473" s="509" t="s">
        <v>607</v>
      </c>
      <c r="H473" s="507" t="s">
        <v>622</v>
      </c>
      <c r="I473" s="520"/>
      <c r="J473" s="519" t="s">
        <v>3960</v>
      </c>
      <c r="K473" s="521" t="s">
        <v>605</v>
      </c>
      <c r="L473" s="526" t="s">
        <v>315</v>
      </c>
      <c r="M473" s="527" t="s">
        <v>315</v>
      </c>
      <c r="N473" s="528" t="s">
        <v>315</v>
      </c>
      <c r="O473" s="663"/>
      <c r="P473" s="529"/>
      <c r="Q473" s="530" t="s">
        <v>315</v>
      </c>
      <c r="R473" s="530"/>
      <c r="S473" s="530"/>
      <c r="T473" s="667"/>
    </row>
    <row r="474" spans="1:20" s="508" customFormat="1" ht="195" hidden="1">
      <c r="A474" s="518"/>
      <c r="B474" s="507" t="s">
        <v>706</v>
      </c>
      <c r="C474" s="520" t="s">
        <v>702</v>
      </c>
      <c r="D474" s="534" t="s">
        <v>777</v>
      </c>
      <c r="E474" s="519" t="str">
        <f>IF('GPS Anthro Tool'!$B$5=1,"ECE R129","")</f>
        <v/>
      </c>
      <c r="F474" s="507" t="s">
        <v>4243</v>
      </c>
      <c r="G474" s="534" t="s">
        <v>776</v>
      </c>
      <c r="H474" s="507" t="s">
        <v>778</v>
      </c>
      <c r="I474" s="520"/>
      <c r="J474" s="519" t="s">
        <v>3960</v>
      </c>
      <c r="K474" s="521" t="s">
        <v>605</v>
      </c>
      <c r="L474" s="526" t="s">
        <v>315</v>
      </c>
      <c r="M474" s="527" t="s">
        <v>315</v>
      </c>
      <c r="N474" s="528" t="s">
        <v>315</v>
      </c>
      <c r="O474" s="663"/>
      <c r="P474" s="529"/>
      <c r="Q474" s="530" t="s">
        <v>315</v>
      </c>
      <c r="R474" s="530"/>
      <c r="S474" s="530"/>
      <c r="T474" s="667"/>
    </row>
    <row r="475" spans="1:20" s="508" customFormat="1" ht="285" hidden="1">
      <c r="A475" s="518"/>
      <c r="B475" s="507" t="s">
        <v>706</v>
      </c>
      <c r="C475" s="520" t="s">
        <v>702</v>
      </c>
      <c r="D475" s="534" t="s">
        <v>782</v>
      </c>
      <c r="E475" s="519" t="str">
        <f>IF('GPS Anthro Tool'!$B$5=1,"ECE R129","")</f>
        <v/>
      </c>
      <c r="F475" s="507" t="s">
        <v>4243</v>
      </c>
      <c r="G475" s="534" t="s">
        <v>781</v>
      </c>
      <c r="H475" s="507" t="s">
        <v>783</v>
      </c>
      <c r="I475" s="520"/>
      <c r="J475" s="519" t="s">
        <v>3960</v>
      </c>
      <c r="K475" s="521" t="s">
        <v>605</v>
      </c>
      <c r="L475" s="526" t="s">
        <v>315</v>
      </c>
      <c r="M475" s="527" t="s">
        <v>315</v>
      </c>
      <c r="N475" s="528" t="s">
        <v>315</v>
      </c>
      <c r="O475" s="663"/>
      <c r="P475" s="529"/>
      <c r="Q475" s="530" t="s">
        <v>315</v>
      </c>
      <c r="R475" s="530"/>
      <c r="S475" s="530"/>
      <c r="T475" s="667"/>
    </row>
    <row r="476" spans="1:20" s="508" customFormat="1" ht="45" hidden="1">
      <c r="A476" s="518"/>
      <c r="B476" s="507" t="s">
        <v>706</v>
      </c>
      <c r="C476" s="520" t="s">
        <v>702</v>
      </c>
      <c r="D476" s="534" t="s">
        <v>782</v>
      </c>
      <c r="E476" s="519" t="str">
        <f>IF('GPS Anthro Tool'!$B$5=1,"ECE R129","")</f>
        <v/>
      </c>
      <c r="F476" s="507" t="s">
        <v>4243</v>
      </c>
      <c r="G476" s="534" t="s">
        <v>781</v>
      </c>
      <c r="H476" s="507" t="s">
        <v>784</v>
      </c>
      <c r="I476" s="520"/>
      <c r="J476" s="519" t="s">
        <v>3960</v>
      </c>
      <c r="K476" s="521" t="s">
        <v>605</v>
      </c>
      <c r="L476" s="526" t="s">
        <v>315</v>
      </c>
      <c r="M476" s="527" t="s">
        <v>315</v>
      </c>
      <c r="N476" s="528" t="s">
        <v>315</v>
      </c>
      <c r="O476" s="663"/>
      <c r="P476" s="529"/>
      <c r="Q476" s="530" t="s">
        <v>315</v>
      </c>
      <c r="R476" s="530"/>
      <c r="S476" s="530"/>
      <c r="T476" s="667"/>
    </row>
    <row r="477" spans="1:20" s="508" customFormat="1" ht="30" hidden="1">
      <c r="A477" s="518"/>
      <c r="B477" s="507" t="s">
        <v>706</v>
      </c>
      <c r="C477" s="520" t="s">
        <v>604</v>
      </c>
      <c r="D477" s="534" t="s">
        <v>841</v>
      </c>
      <c r="E477" s="519" t="str">
        <f>IF('GPS Anthro Tool'!$B$5=1,"ECE R129","")</f>
        <v/>
      </c>
      <c r="F477" s="507" t="s">
        <v>4243</v>
      </c>
      <c r="G477" s="534" t="s">
        <v>840</v>
      </c>
      <c r="H477" s="507" t="s">
        <v>842</v>
      </c>
      <c r="I477" s="520"/>
      <c r="J477" s="519" t="s">
        <v>3960</v>
      </c>
      <c r="K477" s="521" t="s">
        <v>605</v>
      </c>
      <c r="L477" s="526" t="s">
        <v>315</v>
      </c>
      <c r="M477" s="527" t="s">
        <v>315</v>
      </c>
      <c r="N477" s="528" t="s">
        <v>315</v>
      </c>
      <c r="O477" s="663"/>
      <c r="P477" s="529"/>
      <c r="Q477" s="530" t="s">
        <v>315</v>
      </c>
      <c r="R477" s="530"/>
      <c r="S477" s="530"/>
      <c r="T477" s="667"/>
    </row>
    <row r="478" spans="1:20" s="508" customFormat="1" ht="60" hidden="1">
      <c r="A478" s="518"/>
      <c r="B478" s="507" t="s">
        <v>706</v>
      </c>
      <c r="C478" s="520" t="s">
        <v>604</v>
      </c>
      <c r="D478" s="534" t="s">
        <v>843</v>
      </c>
      <c r="E478" s="519" t="str">
        <f>IF('GPS Anthro Tool'!$B$5=1,"ECE R129","")</f>
        <v/>
      </c>
      <c r="F478" s="507" t="s">
        <v>4243</v>
      </c>
      <c r="G478" s="534" t="s">
        <v>840</v>
      </c>
      <c r="H478" s="507" t="s">
        <v>844</v>
      </c>
      <c r="I478" s="520"/>
      <c r="J478" s="519" t="s">
        <v>3960</v>
      </c>
      <c r="K478" s="521" t="s">
        <v>605</v>
      </c>
      <c r="L478" s="526" t="s">
        <v>315</v>
      </c>
      <c r="M478" s="527" t="s">
        <v>315</v>
      </c>
      <c r="N478" s="528" t="s">
        <v>315</v>
      </c>
      <c r="O478" s="663"/>
      <c r="P478" s="529"/>
      <c r="Q478" s="530" t="s">
        <v>315</v>
      </c>
      <c r="R478" s="530"/>
      <c r="S478" s="530"/>
      <c r="T478" s="667"/>
    </row>
    <row r="479" spans="1:20" s="508" customFormat="1" ht="90" hidden="1">
      <c r="A479" s="518"/>
      <c r="B479" s="507" t="s">
        <v>706</v>
      </c>
      <c r="C479" s="520" t="s">
        <v>604</v>
      </c>
      <c r="D479" s="534" t="s">
        <v>843</v>
      </c>
      <c r="E479" s="519" t="str">
        <f>IF('GPS Anthro Tool'!$B$5=1,"ECE R129","")</f>
        <v/>
      </c>
      <c r="F479" s="507" t="s">
        <v>4243</v>
      </c>
      <c r="G479" s="534" t="s">
        <v>840</v>
      </c>
      <c r="H479" s="507" t="s">
        <v>845</v>
      </c>
      <c r="I479" s="520"/>
      <c r="J479" s="519" t="s">
        <v>3960</v>
      </c>
      <c r="K479" s="521" t="s">
        <v>605</v>
      </c>
      <c r="L479" s="526" t="s">
        <v>315</v>
      </c>
      <c r="M479" s="527" t="s">
        <v>315</v>
      </c>
      <c r="N479" s="528" t="s">
        <v>315</v>
      </c>
      <c r="O479" s="663"/>
      <c r="P479" s="529"/>
      <c r="Q479" s="530" t="s">
        <v>315</v>
      </c>
      <c r="R479" s="530"/>
      <c r="S479" s="530"/>
      <c r="T479" s="667"/>
    </row>
    <row r="480" spans="1:20" s="508" customFormat="1" ht="75" hidden="1">
      <c r="A480" s="518"/>
      <c r="B480" s="507" t="s">
        <v>706</v>
      </c>
      <c r="C480" s="520" t="s">
        <v>604</v>
      </c>
      <c r="D480" s="509" t="s">
        <v>863</v>
      </c>
      <c r="E480" s="519" t="str">
        <f>IF('GPS Anthro Tool'!$B$5=1,"ECE R129","")</f>
        <v/>
      </c>
      <c r="F480" s="507" t="s">
        <v>4243</v>
      </c>
      <c r="G480" s="534" t="s">
        <v>840</v>
      </c>
      <c r="H480" s="507" t="s">
        <v>864</v>
      </c>
      <c r="I480" s="520"/>
      <c r="J480" s="519" t="s">
        <v>3960</v>
      </c>
      <c r="K480" s="521" t="s">
        <v>605</v>
      </c>
      <c r="L480" s="526" t="s">
        <v>315</v>
      </c>
      <c r="M480" s="527" t="s">
        <v>315</v>
      </c>
      <c r="N480" s="528" t="s">
        <v>315</v>
      </c>
      <c r="O480" s="663"/>
      <c r="P480" s="529"/>
      <c r="Q480" s="530" t="s">
        <v>315</v>
      </c>
      <c r="R480" s="530"/>
      <c r="S480" s="530"/>
      <c r="T480" s="667"/>
    </row>
    <row r="481" spans="1:20" s="508" customFormat="1" ht="210" hidden="1">
      <c r="A481" s="518"/>
      <c r="B481" s="507" t="s">
        <v>706</v>
      </c>
      <c r="C481" s="520" t="s">
        <v>604</v>
      </c>
      <c r="D481" s="534" t="s">
        <v>846</v>
      </c>
      <c r="E481" s="519" t="str">
        <f>IF('GPS Anthro Tool'!$B$5=1,"ECE R129","")</f>
        <v/>
      </c>
      <c r="F481" s="507" t="s">
        <v>4243</v>
      </c>
      <c r="G481" s="534" t="s">
        <v>840</v>
      </c>
      <c r="H481" s="507" t="s">
        <v>847</v>
      </c>
      <c r="I481" s="520"/>
      <c r="J481" s="519" t="s">
        <v>3960</v>
      </c>
      <c r="K481" s="521" t="s">
        <v>605</v>
      </c>
      <c r="L481" s="526" t="s">
        <v>315</v>
      </c>
      <c r="M481" s="527" t="s">
        <v>315</v>
      </c>
      <c r="N481" s="528" t="s">
        <v>315</v>
      </c>
      <c r="O481" s="663"/>
      <c r="P481" s="529"/>
      <c r="Q481" s="530" t="s">
        <v>315</v>
      </c>
      <c r="R481" s="530"/>
      <c r="S481" s="530"/>
      <c r="T481" s="667"/>
    </row>
    <row r="482" spans="1:20" s="508" customFormat="1" ht="105" hidden="1">
      <c r="A482" s="518"/>
      <c r="B482" s="507" t="s">
        <v>706</v>
      </c>
      <c r="C482" s="520" t="s">
        <v>604</v>
      </c>
      <c r="D482" s="534" t="s">
        <v>846</v>
      </c>
      <c r="E482" s="519" t="str">
        <f>IF('GPS Anthro Tool'!$B$5=1,"ECE R129","")</f>
        <v/>
      </c>
      <c r="F482" s="507" t="s">
        <v>4243</v>
      </c>
      <c r="G482" s="534" t="s">
        <v>840</v>
      </c>
      <c r="H482" s="507" t="s">
        <v>848</v>
      </c>
      <c r="I482" s="520"/>
      <c r="J482" s="519" t="s">
        <v>3960</v>
      </c>
      <c r="K482" s="521" t="s">
        <v>605</v>
      </c>
      <c r="L482" s="526" t="s">
        <v>315</v>
      </c>
      <c r="M482" s="527" t="s">
        <v>315</v>
      </c>
      <c r="N482" s="528" t="s">
        <v>315</v>
      </c>
      <c r="O482" s="663"/>
      <c r="P482" s="529"/>
      <c r="Q482" s="530" t="s">
        <v>315</v>
      </c>
      <c r="R482" s="530"/>
      <c r="S482" s="530"/>
      <c r="T482" s="667"/>
    </row>
    <row r="483" spans="1:20" s="508" customFormat="1" ht="135" hidden="1">
      <c r="A483" s="518"/>
      <c r="B483" s="507" t="s">
        <v>706</v>
      </c>
      <c r="C483" s="520" t="s">
        <v>604</v>
      </c>
      <c r="D483" s="534" t="s">
        <v>849</v>
      </c>
      <c r="E483" s="519" t="str">
        <f>IF('GPS Anthro Tool'!$B$5=1,"ECE R129","")</f>
        <v/>
      </c>
      <c r="F483" s="507" t="s">
        <v>4243</v>
      </c>
      <c r="G483" s="534" t="s">
        <v>840</v>
      </c>
      <c r="H483" s="507" t="s">
        <v>850</v>
      </c>
      <c r="I483" s="520"/>
      <c r="J483" s="519" t="s">
        <v>3960</v>
      </c>
      <c r="K483" s="521" t="s">
        <v>605</v>
      </c>
      <c r="L483" s="526" t="s">
        <v>315</v>
      </c>
      <c r="M483" s="527" t="s">
        <v>315</v>
      </c>
      <c r="N483" s="528" t="s">
        <v>315</v>
      </c>
      <c r="O483" s="663"/>
      <c r="P483" s="529"/>
      <c r="Q483" s="530" t="s">
        <v>315</v>
      </c>
      <c r="R483" s="530"/>
      <c r="S483" s="530"/>
      <c r="T483" s="667"/>
    </row>
    <row r="484" spans="1:20" s="508" customFormat="1" ht="75" hidden="1">
      <c r="A484" s="518"/>
      <c r="B484" s="507" t="s">
        <v>706</v>
      </c>
      <c r="C484" s="520" t="s">
        <v>838</v>
      </c>
      <c r="D484" s="534" t="s">
        <v>849</v>
      </c>
      <c r="E484" s="519" t="str">
        <f>IF('GPS Anthro Tool'!$B$5=1,"ECE R129","")</f>
        <v/>
      </c>
      <c r="F484" s="507" t="s">
        <v>4243</v>
      </c>
      <c r="G484" s="534" t="s">
        <v>840</v>
      </c>
      <c r="H484" s="507" t="s">
        <v>851</v>
      </c>
      <c r="I484" s="520"/>
      <c r="J484" s="519" t="s">
        <v>3960</v>
      </c>
      <c r="K484" s="521" t="s">
        <v>605</v>
      </c>
      <c r="L484" s="526" t="s">
        <v>315</v>
      </c>
      <c r="M484" s="527" t="s">
        <v>315</v>
      </c>
      <c r="N484" s="528" t="s">
        <v>315</v>
      </c>
      <c r="O484" s="663"/>
      <c r="P484" s="529"/>
      <c r="Q484" s="530" t="s">
        <v>315</v>
      </c>
      <c r="R484" s="530"/>
      <c r="S484" s="530"/>
      <c r="T484" s="667"/>
    </row>
    <row r="485" spans="1:20" s="508" customFormat="1" ht="105" hidden="1">
      <c r="A485" s="518"/>
      <c r="B485" s="507" t="s">
        <v>706</v>
      </c>
      <c r="C485" s="520" t="s">
        <v>604</v>
      </c>
      <c r="D485" s="534" t="s">
        <v>852</v>
      </c>
      <c r="E485" s="519" t="str">
        <f>IF('GPS Anthro Tool'!$B$5=1,"ECE R129","")</f>
        <v/>
      </c>
      <c r="F485" s="507" t="s">
        <v>4243</v>
      </c>
      <c r="G485" s="534" t="s">
        <v>840</v>
      </c>
      <c r="H485" s="507" t="s">
        <v>853</v>
      </c>
      <c r="I485" s="520"/>
      <c r="J485" s="519" t="s">
        <v>3960</v>
      </c>
      <c r="K485" s="521" t="s">
        <v>605</v>
      </c>
      <c r="L485" s="526" t="s">
        <v>315</v>
      </c>
      <c r="M485" s="527" t="s">
        <v>315</v>
      </c>
      <c r="N485" s="528" t="s">
        <v>315</v>
      </c>
      <c r="O485" s="663"/>
      <c r="P485" s="529"/>
      <c r="Q485" s="530" t="s">
        <v>315</v>
      </c>
      <c r="R485" s="530"/>
      <c r="S485" s="530"/>
      <c r="T485" s="667"/>
    </row>
    <row r="486" spans="1:20" s="508" customFormat="1" ht="60" hidden="1">
      <c r="A486" s="518"/>
      <c r="B486" s="507" t="s">
        <v>706</v>
      </c>
      <c r="C486" s="520" t="s">
        <v>604</v>
      </c>
      <c r="D486" s="534" t="s">
        <v>852</v>
      </c>
      <c r="E486" s="519" t="str">
        <f>IF('GPS Anthro Tool'!$B$5=1,"ECE R129","")</f>
        <v/>
      </c>
      <c r="F486" s="507" t="s">
        <v>4243</v>
      </c>
      <c r="G486" s="534" t="s">
        <v>840</v>
      </c>
      <c r="H486" s="507" t="s">
        <v>854</v>
      </c>
      <c r="I486" s="520"/>
      <c r="J486" s="519" t="s">
        <v>3960</v>
      </c>
      <c r="K486" s="521" t="s">
        <v>605</v>
      </c>
      <c r="L486" s="526" t="s">
        <v>315</v>
      </c>
      <c r="M486" s="527" t="s">
        <v>315</v>
      </c>
      <c r="N486" s="528" t="s">
        <v>315</v>
      </c>
      <c r="O486" s="663"/>
      <c r="P486" s="529"/>
      <c r="Q486" s="530" t="s">
        <v>315</v>
      </c>
      <c r="R486" s="530"/>
      <c r="S486" s="530"/>
      <c r="T486" s="667"/>
    </row>
    <row r="487" spans="1:20" s="508" customFormat="1" ht="135" hidden="1">
      <c r="A487" s="518"/>
      <c r="B487" s="507" t="s">
        <v>706</v>
      </c>
      <c r="C487" s="520" t="s">
        <v>604</v>
      </c>
      <c r="D487" s="534" t="s">
        <v>855</v>
      </c>
      <c r="E487" s="519" t="str">
        <f>IF('GPS Anthro Tool'!$B$5=1,"ECE R129","")</f>
        <v/>
      </c>
      <c r="F487" s="507" t="s">
        <v>4243</v>
      </c>
      <c r="G487" s="534" t="s">
        <v>840</v>
      </c>
      <c r="H487" s="507" t="s">
        <v>856</v>
      </c>
      <c r="I487" s="520"/>
      <c r="J487" s="519" t="s">
        <v>3960</v>
      </c>
      <c r="K487" s="521" t="s">
        <v>605</v>
      </c>
      <c r="L487" s="526" t="s">
        <v>315</v>
      </c>
      <c r="M487" s="527" t="s">
        <v>315</v>
      </c>
      <c r="N487" s="528" t="s">
        <v>315</v>
      </c>
      <c r="O487" s="663"/>
      <c r="P487" s="529"/>
      <c r="Q487" s="530" t="s">
        <v>315</v>
      </c>
      <c r="R487" s="530"/>
      <c r="S487" s="530"/>
      <c r="T487" s="667"/>
    </row>
    <row r="488" spans="1:20" s="508" customFormat="1" ht="195" hidden="1">
      <c r="A488" s="518"/>
      <c r="B488" s="507" t="s">
        <v>706</v>
      </c>
      <c r="C488" s="520" t="s">
        <v>604</v>
      </c>
      <c r="D488" s="534" t="s">
        <v>857</v>
      </c>
      <c r="E488" s="519" t="str">
        <f>IF('GPS Anthro Tool'!$B$5=1,"ECE R129","")</f>
        <v/>
      </c>
      <c r="F488" s="507" t="s">
        <v>4243</v>
      </c>
      <c r="G488" s="534" t="s">
        <v>840</v>
      </c>
      <c r="H488" s="507" t="s">
        <v>858</v>
      </c>
      <c r="I488" s="520"/>
      <c r="J488" s="519" t="s">
        <v>3960</v>
      </c>
      <c r="K488" s="521" t="s">
        <v>605</v>
      </c>
      <c r="L488" s="526" t="s">
        <v>315</v>
      </c>
      <c r="M488" s="527" t="s">
        <v>315</v>
      </c>
      <c r="N488" s="528" t="s">
        <v>315</v>
      </c>
      <c r="O488" s="663"/>
      <c r="P488" s="529"/>
      <c r="Q488" s="530" t="s">
        <v>315</v>
      </c>
      <c r="R488" s="530"/>
      <c r="S488" s="530"/>
      <c r="T488" s="667"/>
    </row>
    <row r="489" spans="1:20" s="508" customFormat="1" ht="165" hidden="1">
      <c r="A489" s="518"/>
      <c r="B489" s="507" t="s">
        <v>706</v>
      </c>
      <c r="C489" s="520" t="s">
        <v>604</v>
      </c>
      <c r="D489" s="534" t="s">
        <v>859</v>
      </c>
      <c r="E489" s="519" t="str">
        <f>IF('GPS Anthro Tool'!$B$5=1,"ECE R129","")</f>
        <v/>
      </c>
      <c r="F489" s="507" t="s">
        <v>4243</v>
      </c>
      <c r="G489" s="534" t="s">
        <v>840</v>
      </c>
      <c r="H489" s="669" t="s">
        <v>860</v>
      </c>
      <c r="I489" s="520"/>
      <c r="J489" s="519" t="s">
        <v>3960</v>
      </c>
      <c r="K489" s="521" t="s">
        <v>605</v>
      </c>
      <c r="L489" s="526" t="s">
        <v>315</v>
      </c>
      <c r="M489" s="527" t="s">
        <v>315</v>
      </c>
      <c r="N489" s="528" t="s">
        <v>315</v>
      </c>
      <c r="O489" s="663"/>
      <c r="P489" s="529"/>
      <c r="Q489" s="530" t="s">
        <v>315</v>
      </c>
      <c r="R489" s="530"/>
      <c r="S489" s="530"/>
      <c r="T489" s="667"/>
    </row>
    <row r="490" spans="1:20" s="508" customFormat="1" ht="105" hidden="1">
      <c r="A490" s="518"/>
      <c r="B490" s="507" t="s">
        <v>706</v>
      </c>
      <c r="C490" s="520" t="s">
        <v>604</v>
      </c>
      <c r="D490" s="509" t="s">
        <v>861</v>
      </c>
      <c r="E490" s="519" t="str">
        <f>IF('GPS Anthro Tool'!$B$5=1,"ECE R129","")</f>
        <v/>
      </c>
      <c r="F490" s="507" t="s">
        <v>4243</v>
      </c>
      <c r="G490" s="534" t="s">
        <v>840</v>
      </c>
      <c r="H490" s="507" t="s">
        <v>862</v>
      </c>
      <c r="I490" s="520"/>
      <c r="J490" s="519" t="s">
        <v>3960</v>
      </c>
      <c r="K490" s="521" t="s">
        <v>605</v>
      </c>
      <c r="L490" s="526" t="s">
        <v>315</v>
      </c>
      <c r="M490" s="527" t="s">
        <v>315</v>
      </c>
      <c r="N490" s="528" t="s">
        <v>315</v>
      </c>
      <c r="O490" s="663"/>
      <c r="P490" s="529"/>
      <c r="Q490" s="530" t="s">
        <v>315</v>
      </c>
      <c r="R490" s="530"/>
      <c r="S490" s="530"/>
      <c r="T490" s="667"/>
    </row>
    <row r="491" spans="1:20" s="508" customFormat="1" ht="45" hidden="1">
      <c r="A491" s="518"/>
      <c r="B491" s="507" t="s">
        <v>706</v>
      </c>
      <c r="C491" s="520" t="s">
        <v>2104</v>
      </c>
      <c r="D491" s="509" t="s">
        <v>883</v>
      </c>
      <c r="E491" s="519" t="str">
        <f>IF('GPS Anthro Tool'!$B$5=1,"ECE R129","")</f>
        <v/>
      </c>
      <c r="F491" s="507" t="s">
        <v>4243</v>
      </c>
      <c r="G491" s="520" t="s">
        <v>873</v>
      </c>
      <c r="H491" s="507" t="s">
        <v>884</v>
      </c>
      <c r="I491" s="520"/>
      <c r="J491" s="519" t="s">
        <v>3960</v>
      </c>
      <c r="K491" s="521" t="s">
        <v>605</v>
      </c>
      <c r="L491" s="526" t="s">
        <v>315</v>
      </c>
      <c r="M491" s="527" t="s">
        <v>315</v>
      </c>
      <c r="N491" s="528" t="s">
        <v>315</v>
      </c>
      <c r="O491" s="663"/>
      <c r="P491" s="529"/>
      <c r="Q491" s="530" t="s">
        <v>315</v>
      </c>
      <c r="R491" s="530"/>
      <c r="S491" s="530"/>
      <c r="T491" s="667"/>
    </row>
    <row r="492" spans="1:20" s="508" customFormat="1" ht="60" hidden="1">
      <c r="A492" s="518"/>
      <c r="B492" s="507" t="s">
        <v>706</v>
      </c>
      <c r="C492" s="520" t="s">
        <v>2104</v>
      </c>
      <c r="D492" s="534" t="s">
        <v>885</v>
      </c>
      <c r="E492" s="519" t="str">
        <f>IF('GPS Anthro Tool'!$B$5=1,"ECE R129","")</f>
        <v/>
      </c>
      <c r="F492" s="507" t="s">
        <v>4243</v>
      </c>
      <c r="G492" s="520" t="s">
        <v>873</v>
      </c>
      <c r="H492" s="507" t="s">
        <v>886</v>
      </c>
      <c r="I492" s="520"/>
      <c r="J492" s="519" t="s">
        <v>3960</v>
      </c>
      <c r="K492" s="521" t="s">
        <v>605</v>
      </c>
      <c r="L492" s="526" t="s">
        <v>315</v>
      </c>
      <c r="M492" s="527" t="s">
        <v>315</v>
      </c>
      <c r="N492" s="528" t="s">
        <v>315</v>
      </c>
      <c r="O492" s="663"/>
      <c r="P492" s="529"/>
      <c r="Q492" s="530" t="s">
        <v>315</v>
      </c>
      <c r="R492" s="530"/>
      <c r="S492" s="530"/>
      <c r="T492" s="667"/>
    </row>
    <row r="493" spans="1:20" s="508" customFormat="1" ht="60" hidden="1">
      <c r="A493" s="518"/>
      <c r="B493" s="507" t="s">
        <v>706</v>
      </c>
      <c r="C493" s="520" t="s">
        <v>2104</v>
      </c>
      <c r="D493" s="534" t="s">
        <v>887</v>
      </c>
      <c r="E493" s="519" t="str">
        <f>IF('GPS Anthro Tool'!$B$5=1,"ECE R129","")</f>
        <v/>
      </c>
      <c r="F493" s="507" t="s">
        <v>4243</v>
      </c>
      <c r="G493" s="520" t="s">
        <v>873</v>
      </c>
      <c r="H493" s="507" t="s">
        <v>888</v>
      </c>
      <c r="I493" s="520"/>
      <c r="J493" s="519" t="s">
        <v>3960</v>
      </c>
      <c r="K493" s="521" t="s">
        <v>605</v>
      </c>
      <c r="L493" s="526" t="s">
        <v>315</v>
      </c>
      <c r="M493" s="527" t="s">
        <v>315</v>
      </c>
      <c r="N493" s="528" t="s">
        <v>315</v>
      </c>
      <c r="O493" s="663"/>
      <c r="P493" s="529"/>
      <c r="Q493" s="530" t="s">
        <v>315</v>
      </c>
      <c r="R493" s="530"/>
      <c r="S493" s="530"/>
      <c r="T493" s="667"/>
    </row>
    <row r="494" spans="1:20" s="508" customFormat="1" ht="195" hidden="1">
      <c r="A494" s="518"/>
      <c r="B494" s="507" t="s">
        <v>706</v>
      </c>
      <c r="C494" s="520" t="s">
        <v>2104</v>
      </c>
      <c r="D494" s="534" t="s">
        <v>892</v>
      </c>
      <c r="E494" s="519" t="str">
        <f>IF('GPS Anthro Tool'!$B$5=1,"ECE R129","")</f>
        <v/>
      </c>
      <c r="F494" s="507" t="s">
        <v>4243</v>
      </c>
      <c r="G494" s="520" t="s">
        <v>890</v>
      </c>
      <c r="H494" s="507" t="s">
        <v>893</v>
      </c>
      <c r="I494" s="520"/>
      <c r="J494" s="519" t="s">
        <v>3960</v>
      </c>
      <c r="K494" s="521" t="s">
        <v>605</v>
      </c>
      <c r="L494" s="526" t="s">
        <v>315</v>
      </c>
      <c r="M494" s="527" t="s">
        <v>315</v>
      </c>
      <c r="N494" s="528" t="s">
        <v>315</v>
      </c>
      <c r="O494" s="663"/>
      <c r="P494" s="529"/>
      <c r="Q494" s="530" t="s">
        <v>315</v>
      </c>
      <c r="R494" s="530"/>
      <c r="S494" s="530"/>
      <c r="T494" s="667"/>
    </row>
    <row r="495" spans="1:20" s="508" customFormat="1" ht="105" hidden="1">
      <c r="A495" s="518"/>
      <c r="B495" s="507" t="s">
        <v>706</v>
      </c>
      <c r="C495" s="520" t="s">
        <v>2104</v>
      </c>
      <c r="D495" s="534" t="s">
        <v>894</v>
      </c>
      <c r="E495" s="519" t="str">
        <f>IF('GPS Anthro Tool'!$B$5=1,"ECE R129","")</f>
        <v/>
      </c>
      <c r="F495" s="507" t="s">
        <v>4243</v>
      </c>
      <c r="G495" s="520" t="s">
        <v>890</v>
      </c>
      <c r="H495" s="507" t="s">
        <v>895</v>
      </c>
      <c r="I495" s="520"/>
      <c r="J495" s="519" t="s">
        <v>3960</v>
      </c>
      <c r="K495" s="521" t="s">
        <v>605</v>
      </c>
      <c r="L495" s="526" t="s">
        <v>315</v>
      </c>
      <c r="M495" s="527" t="s">
        <v>315</v>
      </c>
      <c r="N495" s="528" t="s">
        <v>315</v>
      </c>
      <c r="O495" s="663"/>
      <c r="P495" s="529"/>
      <c r="Q495" s="530" t="s">
        <v>315</v>
      </c>
      <c r="R495" s="530"/>
      <c r="S495" s="530"/>
      <c r="T495" s="667"/>
    </row>
    <row r="496" spans="1:20" s="508" customFormat="1" ht="75" hidden="1">
      <c r="A496" s="518"/>
      <c r="B496" s="507" t="s">
        <v>706</v>
      </c>
      <c r="C496" s="520"/>
      <c r="D496" s="534" t="s">
        <v>905</v>
      </c>
      <c r="E496" s="519" t="str">
        <f>IF('GPS Anthro Tool'!$B$5=1,"ECE R129","")</f>
        <v/>
      </c>
      <c r="F496" s="507" t="s">
        <v>4243</v>
      </c>
      <c r="G496" s="534" t="s">
        <v>840</v>
      </c>
      <c r="H496" s="507" t="s">
        <v>906</v>
      </c>
      <c r="I496" s="520"/>
      <c r="J496" s="519" t="s">
        <v>3960</v>
      </c>
      <c r="K496" s="521" t="s">
        <v>605</v>
      </c>
      <c r="L496" s="526" t="s">
        <v>315</v>
      </c>
      <c r="M496" s="527" t="s">
        <v>315</v>
      </c>
      <c r="N496" s="528" t="s">
        <v>315</v>
      </c>
      <c r="O496" s="663"/>
      <c r="P496" s="529"/>
      <c r="Q496" s="530" t="s">
        <v>315</v>
      </c>
      <c r="R496" s="530"/>
      <c r="S496" s="530"/>
      <c r="T496" s="667"/>
    </row>
    <row r="497" spans="1:20" s="508" customFormat="1" ht="90" hidden="1">
      <c r="A497" s="518"/>
      <c r="B497" s="507" t="s">
        <v>706</v>
      </c>
      <c r="C497" s="520"/>
      <c r="D497" s="534" t="s">
        <v>915</v>
      </c>
      <c r="E497" s="519" t="str">
        <f>IF('GPS Anthro Tool'!$B$5=1,"ECE R129","")</f>
        <v/>
      </c>
      <c r="F497" s="507" t="s">
        <v>4243</v>
      </c>
      <c r="G497" s="534" t="s">
        <v>840</v>
      </c>
      <c r="H497" s="507" t="s">
        <v>916</v>
      </c>
      <c r="I497" s="520"/>
      <c r="J497" s="519" t="s">
        <v>3960</v>
      </c>
      <c r="K497" s="521" t="s">
        <v>605</v>
      </c>
      <c r="L497" s="526" t="s">
        <v>315</v>
      </c>
      <c r="M497" s="527" t="s">
        <v>315</v>
      </c>
      <c r="N497" s="528" t="s">
        <v>315</v>
      </c>
      <c r="O497" s="663"/>
      <c r="P497" s="529"/>
      <c r="Q497" s="530" t="s">
        <v>315</v>
      </c>
      <c r="R497" s="530"/>
      <c r="S497" s="530"/>
      <c r="T497" s="667"/>
    </row>
    <row r="498" spans="1:20" s="508" customFormat="1" ht="180" hidden="1">
      <c r="A498" s="518"/>
      <c r="B498" s="507" t="s">
        <v>706</v>
      </c>
      <c r="C498" s="534" t="s">
        <v>3967</v>
      </c>
      <c r="D498" s="534" t="s">
        <v>751</v>
      </c>
      <c r="E498" s="519" t="str">
        <f>IF('GPS Anthro Tool'!$B$5=1,"ECE R129","")</f>
        <v/>
      </c>
      <c r="F498" s="507" t="s">
        <v>4243</v>
      </c>
      <c r="G498" s="520" t="s">
        <v>749</v>
      </c>
      <c r="H498" s="507" t="s">
        <v>752</v>
      </c>
      <c r="I498" s="507"/>
      <c r="J498" s="519" t="s">
        <v>3960</v>
      </c>
      <c r="K498" s="521" t="s">
        <v>605</v>
      </c>
      <c r="L498" s="526" t="s">
        <v>315</v>
      </c>
      <c r="M498" s="527" t="s">
        <v>315</v>
      </c>
      <c r="N498" s="528" t="s">
        <v>315</v>
      </c>
      <c r="O498" s="663"/>
      <c r="P498" s="529"/>
      <c r="Q498" s="530" t="s">
        <v>315</v>
      </c>
      <c r="R498" s="530"/>
      <c r="S498" s="530"/>
      <c r="T498" s="667"/>
    </row>
    <row r="499" spans="1:20" s="508" customFormat="1" ht="60" hidden="1">
      <c r="A499" s="518"/>
      <c r="B499" s="507" t="s">
        <v>706</v>
      </c>
      <c r="C499" s="534" t="s">
        <v>2281</v>
      </c>
      <c r="D499" s="534" t="s">
        <v>757</v>
      </c>
      <c r="E499" s="519" t="str">
        <f>IF('GPS Anthro Tool'!$B$5=1,"ECE R129","")</f>
        <v/>
      </c>
      <c r="F499" s="507" t="s">
        <v>4243</v>
      </c>
      <c r="G499" s="520" t="s">
        <v>755</v>
      </c>
      <c r="H499" s="507" t="s">
        <v>758</v>
      </c>
      <c r="I499" s="507"/>
      <c r="J499" s="519" t="s">
        <v>3960</v>
      </c>
      <c r="K499" s="521" t="s">
        <v>605</v>
      </c>
      <c r="L499" s="526" t="s">
        <v>315</v>
      </c>
      <c r="M499" s="527" t="s">
        <v>315</v>
      </c>
      <c r="N499" s="528" t="s">
        <v>315</v>
      </c>
      <c r="O499" s="663"/>
      <c r="P499" s="529"/>
      <c r="Q499" s="530" t="s">
        <v>315</v>
      </c>
      <c r="R499" s="530"/>
      <c r="S499" s="530"/>
      <c r="T499" s="667"/>
    </row>
    <row r="500" spans="1:20" s="508" customFormat="1" ht="75" hidden="1">
      <c r="A500" s="518"/>
      <c r="B500" s="507" t="s">
        <v>706</v>
      </c>
      <c r="C500" s="534" t="s">
        <v>2281</v>
      </c>
      <c r="D500" s="534" t="s">
        <v>757</v>
      </c>
      <c r="E500" s="519" t="str">
        <f>IF('GPS Anthro Tool'!$B$5=1,"ECE R129","")</f>
        <v/>
      </c>
      <c r="F500" s="507" t="s">
        <v>4243</v>
      </c>
      <c r="G500" s="520" t="s">
        <v>755</v>
      </c>
      <c r="H500" s="507" t="s">
        <v>759</v>
      </c>
      <c r="I500" s="507"/>
      <c r="J500" s="519" t="s">
        <v>3960</v>
      </c>
      <c r="K500" s="521" t="s">
        <v>605</v>
      </c>
      <c r="L500" s="526" t="s">
        <v>315</v>
      </c>
      <c r="M500" s="527" t="s">
        <v>315</v>
      </c>
      <c r="N500" s="528" t="s">
        <v>315</v>
      </c>
      <c r="O500" s="663"/>
      <c r="P500" s="529"/>
      <c r="Q500" s="530" t="s">
        <v>315</v>
      </c>
      <c r="R500" s="530"/>
      <c r="S500" s="530"/>
      <c r="T500" s="667"/>
    </row>
    <row r="501" spans="1:20" s="508" customFormat="1" ht="30" hidden="1">
      <c r="A501" s="518"/>
      <c r="B501" s="507" t="s">
        <v>706</v>
      </c>
      <c r="C501" s="534" t="s">
        <v>2281</v>
      </c>
      <c r="D501" s="534" t="s">
        <v>757</v>
      </c>
      <c r="E501" s="519" t="str">
        <f>IF('GPS Anthro Tool'!$B$5=1,"ECE R129","")</f>
        <v/>
      </c>
      <c r="F501" s="507" t="s">
        <v>4243</v>
      </c>
      <c r="G501" s="520" t="s">
        <v>755</v>
      </c>
      <c r="H501" s="507" t="s">
        <v>760</v>
      </c>
      <c r="I501" s="507"/>
      <c r="J501" s="519" t="s">
        <v>3960</v>
      </c>
      <c r="K501" s="521" t="s">
        <v>605</v>
      </c>
      <c r="L501" s="526" t="s">
        <v>315</v>
      </c>
      <c r="M501" s="527" t="s">
        <v>315</v>
      </c>
      <c r="N501" s="528" t="s">
        <v>315</v>
      </c>
      <c r="O501" s="663"/>
      <c r="P501" s="529"/>
      <c r="Q501" s="530" t="s">
        <v>315</v>
      </c>
      <c r="R501" s="530"/>
      <c r="S501" s="530"/>
      <c r="T501" s="667"/>
    </row>
    <row r="502" spans="1:20" s="508" customFormat="1" ht="195" hidden="1">
      <c r="A502" s="518"/>
      <c r="B502" s="507" t="s">
        <v>706</v>
      </c>
      <c r="C502" s="534" t="s">
        <v>2281</v>
      </c>
      <c r="D502" s="534" t="s">
        <v>757</v>
      </c>
      <c r="E502" s="519" t="str">
        <f>IF('GPS Anthro Tool'!$B$5=1,"ECE R129","")</f>
        <v/>
      </c>
      <c r="F502" s="507" t="s">
        <v>4243</v>
      </c>
      <c r="G502" s="520" t="s">
        <v>755</v>
      </c>
      <c r="H502" s="507" t="s">
        <v>761</v>
      </c>
      <c r="I502" s="507"/>
      <c r="J502" s="519" t="s">
        <v>3960</v>
      </c>
      <c r="K502" s="521" t="s">
        <v>605</v>
      </c>
      <c r="L502" s="526" t="s">
        <v>315</v>
      </c>
      <c r="M502" s="527" t="s">
        <v>315</v>
      </c>
      <c r="N502" s="528" t="s">
        <v>315</v>
      </c>
      <c r="O502" s="663"/>
      <c r="P502" s="529"/>
      <c r="Q502" s="530" t="s">
        <v>315</v>
      </c>
      <c r="R502" s="530"/>
      <c r="S502" s="530"/>
      <c r="T502" s="667"/>
    </row>
    <row r="503" spans="1:20" s="508" customFormat="1" ht="150" hidden="1">
      <c r="A503" s="518"/>
      <c r="B503" s="507" t="s">
        <v>706</v>
      </c>
      <c r="C503" s="534" t="s">
        <v>2281</v>
      </c>
      <c r="D503" s="534" t="s">
        <v>757</v>
      </c>
      <c r="E503" s="519" t="str">
        <f>IF('GPS Anthro Tool'!$B$5=1,"ECE R129","")</f>
        <v/>
      </c>
      <c r="F503" s="507" t="s">
        <v>4243</v>
      </c>
      <c r="G503" s="520" t="s">
        <v>755</v>
      </c>
      <c r="H503" s="507" t="s">
        <v>762</v>
      </c>
      <c r="I503" s="507"/>
      <c r="J503" s="519" t="s">
        <v>3960</v>
      </c>
      <c r="K503" s="521" t="s">
        <v>605</v>
      </c>
      <c r="L503" s="526" t="s">
        <v>315</v>
      </c>
      <c r="M503" s="527" t="s">
        <v>315</v>
      </c>
      <c r="N503" s="528" t="s">
        <v>315</v>
      </c>
      <c r="O503" s="663"/>
      <c r="P503" s="529"/>
      <c r="Q503" s="530" t="s">
        <v>315</v>
      </c>
      <c r="R503" s="530"/>
      <c r="S503" s="530"/>
      <c r="T503" s="667"/>
    </row>
    <row r="504" spans="1:20" s="508" customFormat="1" ht="45" hidden="1">
      <c r="A504" s="518"/>
      <c r="B504" s="507" t="s">
        <v>706</v>
      </c>
      <c r="C504" s="534" t="s">
        <v>2281</v>
      </c>
      <c r="D504" s="534" t="s">
        <v>757</v>
      </c>
      <c r="E504" s="519" t="str">
        <f>IF('GPS Anthro Tool'!$B$5=1,"ECE R129","")</f>
        <v/>
      </c>
      <c r="F504" s="507" t="s">
        <v>4243</v>
      </c>
      <c r="G504" s="520" t="s">
        <v>755</v>
      </c>
      <c r="H504" s="507" t="s">
        <v>763</v>
      </c>
      <c r="I504" s="507"/>
      <c r="J504" s="519" t="s">
        <v>3960</v>
      </c>
      <c r="K504" s="521" t="s">
        <v>605</v>
      </c>
      <c r="L504" s="526" t="s">
        <v>315</v>
      </c>
      <c r="M504" s="527" t="s">
        <v>315</v>
      </c>
      <c r="N504" s="528" t="s">
        <v>315</v>
      </c>
      <c r="O504" s="663"/>
      <c r="P504" s="529"/>
      <c r="Q504" s="530" t="s">
        <v>315</v>
      </c>
      <c r="R504" s="530"/>
      <c r="S504" s="530"/>
      <c r="T504" s="667"/>
    </row>
    <row r="505" spans="1:20" s="508" customFormat="1" ht="30" hidden="1">
      <c r="A505" s="518"/>
      <c r="B505" s="507" t="s">
        <v>706</v>
      </c>
      <c r="C505" s="534" t="s">
        <v>2281</v>
      </c>
      <c r="D505" s="534" t="s">
        <v>757</v>
      </c>
      <c r="E505" s="519" t="str">
        <f>IF('GPS Anthro Tool'!$B$5=1,"ECE R129","")</f>
        <v/>
      </c>
      <c r="F505" s="507" t="s">
        <v>4243</v>
      </c>
      <c r="G505" s="520" t="s">
        <v>755</v>
      </c>
      <c r="H505" s="507" t="s">
        <v>764</v>
      </c>
      <c r="I505" s="507"/>
      <c r="J505" s="519" t="s">
        <v>3960</v>
      </c>
      <c r="K505" s="521" t="s">
        <v>605</v>
      </c>
      <c r="L505" s="526" t="s">
        <v>315</v>
      </c>
      <c r="M505" s="527" t="s">
        <v>315</v>
      </c>
      <c r="N505" s="528" t="s">
        <v>315</v>
      </c>
      <c r="O505" s="663"/>
      <c r="P505" s="529"/>
      <c r="Q505" s="530" t="s">
        <v>315</v>
      </c>
      <c r="R505" s="530"/>
      <c r="S505" s="530"/>
      <c r="T505" s="667"/>
    </row>
    <row r="506" spans="1:20" s="508" customFormat="1" ht="195" hidden="1">
      <c r="A506" s="518"/>
      <c r="B506" s="507" t="s">
        <v>706</v>
      </c>
      <c r="C506" s="534" t="s">
        <v>2281</v>
      </c>
      <c r="D506" s="534" t="s">
        <v>757</v>
      </c>
      <c r="E506" s="519" t="str">
        <f>IF('GPS Anthro Tool'!$B$5=1,"ECE R129","")</f>
        <v/>
      </c>
      <c r="F506" s="507" t="s">
        <v>4243</v>
      </c>
      <c r="G506" s="520" t="s">
        <v>755</v>
      </c>
      <c r="H506" s="507" t="s">
        <v>765</v>
      </c>
      <c r="I506" s="507"/>
      <c r="J506" s="519" t="s">
        <v>3960</v>
      </c>
      <c r="K506" s="521" t="s">
        <v>605</v>
      </c>
      <c r="L506" s="526" t="s">
        <v>315</v>
      </c>
      <c r="M506" s="527" t="s">
        <v>315</v>
      </c>
      <c r="N506" s="528" t="s">
        <v>315</v>
      </c>
      <c r="O506" s="663"/>
      <c r="P506" s="529"/>
      <c r="Q506" s="530" t="s">
        <v>315</v>
      </c>
      <c r="R506" s="530"/>
      <c r="S506" s="530"/>
      <c r="T506" s="667"/>
    </row>
    <row r="507" spans="1:20" s="508" customFormat="1" ht="60" hidden="1">
      <c r="A507" s="518"/>
      <c r="B507" s="507" t="s">
        <v>706</v>
      </c>
      <c r="C507" s="534" t="s">
        <v>2281</v>
      </c>
      <c r="D507" s="534" t="s">
        <v>757</v>
      </c>
      <c r="E507" s="519" t="str">
        <f>IF('GPS Anthro Tool'!$B$5=1,"ECE R129","")</f>
        <v/>
      </c>
      <c r="F507" s="507" t="s">
        <v>4243</v>
      </c>
      <c r="G507" s="520" t="s">
        <v>755</v>
      </c>
      <c r="H507" s="507" t="s">
        <v>766</v>
      </c>
      <c r="I507" s="507"/>
      <c r="J507" s="519" t="s">
        <v>3960</v>
      </c>
      <c r="K507" s="521" t="s">
        <v>605</v>
      </c>
      <c r="L507" s="526" t="s">
        <v>315</v>
      </c>
      <c r="M507" s="527" t="s">
        <v>315</v>
      </c>
      <c r="N507" s="528" t="s">
        <v>315</v>
      </c>
      <c r="O507" s="663"/>
      <c r="P507" s="529"/>
      <c r="Q507" s="530" t="s">
        <v>315</v>
      </c>
      <c r="R507" s="530"/>
      <c r="S507" s="530"/>
      <c r="T507" s="667"/>
    </row>
    <row r="508" spans="1:20" s="508" customFormat="1" ht="90" hidden="1">
      <c r="A508" s="518"/>
      <c r="B508" s="507" t="s">
        <v>706</v>
      </c>
      <c r="C508" s="534" t="s">
        <v>2281</v>
      </c>
      <c r="D508" s="534" t="s">
        <v>757</v>
      </c>
      <c r="E508" s="519" t="str">
        <f>IF('GPS Anthro Tool'!$B$5=1,"ECE R129","")</f>
        <v/>
      </c>
      <c r="F508" s="507" t="s">
        <v>4243</v>
      </c>
      <c r="G508" s="520" t="s">
        <v>755</v>
      </c>
      <c r="H508" s="507" t="s">
        <v>767</v>
      </c>
      <c r="I508" s="507"/>
      <c r="J508" s="519" t="s">
        <v>3960</v>
      </c>
      <c r="K508" s="521" t="s">
        <v>605</v>
      </c>
      <c r="L508" s="526" t="s">
        <v>315</v>
      </c>
      <c r="M508" s="527" t="s">
        <v>315</v>
      </c>
      <c r="N508" s="528" t="s">
        <v>315</v>
      </c>
      <c r="O508" s="663"/>
      <c r="P508" s="529"/>
      <c r="Q508" s="530" t="s">
        <v>315</v>
      </c>
      <c r="R508" s="530"/>
      <c r="S508" s="530"/>
      <c r="T508" s="667"/>
    </row>
    <row r="509" spans="1:20" s="508" customFormat="1" ht="45" hidden="1">
      <c r="A509" s="518"/>
      <c r="B509" s="507" t="s">
        <v>706</v>
      </c>
      <c r="C509" s="534" t="s">
        <v>2281</v>
      </c>
      <c r="D509" s="534" t="s">
        <v>757</v>
      </c>
      <c r="E509" s="519" t="str">
        <f>IF('GPS Anthro Tool'!$B$5=1,"ECE R129","")</f>
        <v/>
      </c>
      <c r="F509" s="507" t="s">
        <v>4243</v>
      </c>
      <c r="G509" s="520" t="s">
        <v>755</v>
      </c>
      <c r="H509" s="507" t="s">
        <v>768</v>
      </c>
      <c r="I509" s="507"/>
      <c r="J509" s="519" t="s">
        <v>3960</v>
      </c>
      <c r="K509" s="521" t="s">
        <v>605</v>
      </c>
      <c r="L509" s="526" t="s">
        <v>315</v>
      </c>
      <c r="M509" s="527" t="s">
        <v>315</v>
      </c>
      <c r="N509" s="528" t="s">
        <v>315</v>
      </c>
      <c r="O509" s="663"/>
      <c r="P509" s="529"/>
      <c r="Q509" s="530" t="s">
        <v>315</v>
      </c>
      <c r="R509" s="530"/>
      <c r="S509" s="530"/>
      <c r="T509" s="667"/>
    </row>
    <row r="510" spans="1:20" s="508" customFormat="1" ht="210" hidden="1">
      <c r="A510" s="518"/>
      <c r="B510" s="507" t="s">
        <v>706</v>
      </c>
      <c r="C510" s="520" t="s">
        <v>604</v>
      </c>
      <c r="D510" s="534" t="s">
        <v>792</v>
      </c>
      <c r="E510" s="519" t="str">
        <f>IF('GPS Anthro Tool'!$B$5=1,"ECE R129","")</f>
        <v/>
      </c>
      <c r="F510" s="507" t="s">
        <v>4243</v>
      </c>
      <c r="G510" s="534" t="s">
        <v>791</v>
      </c>
      <c r="H510" s="507" t="s">
        <v>793</v>
      </c>
      <c r="I510" s="520"/>
      <c r="J510" s="519" t="s">
        <v>3960</v>
      </c>
      <c r="K510" s="521" t="s">
        <v>605</v>
      </c>
      <c r="L510" s="526" t="s">
        <v>315</v>
      </c>
      <c r="M510" s="527" t="s">
        <v>315</v>
      </c>
      <c r="N510" s="528" t="s">
        <v>315</v>
      </c>
      <c r="O510" s="663"/>
      <c r="P510" s="529"/>
      <c r="Q510" s="530" t="s">
        <v>315</v>
      </c>
      <c r="R510" s="530"/>
      <c r="S510" s="530"/>
      <c r="T510" s="667"/>
    </row>
    <row r="511" spans="1:20" s="508" customFormat="1" ht="75" hidden="1">
      <c r="A511" s="518"/>
      <c r="B511" s="507" t="s">
        <v>706</v>
      </c>
      <c r="C511" s="520" t="s">
        <v>604</v>
      </c>
      <c r="D511" s="534" t="s">
        <v>792</v>
      </c>
      <c r="E511" s="519" t="str">
        <f>IF('GPS Anthro Tool'!$B$5=1,"ECE R129","")</f>
        <v/>
      </c>
      <c r="F511" s="507" t="s">
        <v>4243</v>
      </c>
      <c r="G511" s="534" t="s">
        <v>791</v>
      </c>
      <c r="H511" s="507" t="s">
        <v>794</v>
      </c>
      <c r="I511" s="520"/>
      <c r="J511" s="519" t="s">
        <v>3960</v>
      </c>
      <c r="K511" s="521" t="s">
        <v>605</v>
      </c>
      <c r="L511" s="526" t="s">
        <v>315</v>
      </c>
      <c r="M511" s="527" t="s">
        <v>315</v>
      </c>
      <c r="N511" s="528" t="s">
        <v>315</v>
      </c>
      <c r="O511" s="663"/>
      <c r="P511" s="529"/>
      <c r="Q511" s="530" t="s">
        <v>315</v>
      </c>
      <c r="R511" s="530"/>
      <c r="S511" s="530"/>
      <c r="T511" s="667"/>
    </row>
    <row r="512" spans="1:20" s="508" customFormat="1" ht="90" hidden="1">
      <c r="A512" s="518"/>
      <c r="B512" s="507" t="s">
        <v>706</v>
      </c>
      <c r="C512" s="520" t="s">
        <v>604</v>
      </c>
      <c r="D512" s="534" t="s">
        <v>796</v>
      </c>
      <c r="E512" s="519" t="str">
        <f>IF('GPS Anthro Tool'!$B$5=1,"ECE R129","")</f>
        <v/>
      </c>
      <c r="F512" s="507" t="s">
        <v>4243</v>
      </c>
      <c r="G512" s="534" t="s">
        <v>795</v>
      </c>
      <c r="H512" s="507" t="s">
        <v>797</v>
      </c>
      <c r="I512" s="520"/>
      <c r="J512" s="519" t="s">
        <v>3960</v>
      </c>
      <c r="K512" s="521" t="s">
        <v>605</v>
      </c>
      <c r="L512" s="526" t="s">
        <v>315</v>
      </c>
      <c r="M512" s="527" t="s">
        <v>315</v>
      </c>
      <c r="N512" s="528" t="s">
        <v>315</v>
      </c>
      <c r="O512" s="663"/>
      <c r="P512" s="529"/>
      <c r="Q512" s="530" t="s">
        <v>315</v>
      </c>
      <c r="R512" s="530"/>
      <c r="S512" s="530"/>
      <c r="T512" s="667"/>
    </row>
    <row r="513" spans="1:20" s="508" customFormat="1" ht="30" hidden="1">
      <c r="A513" s="518"/>
      <c r="B513" s="507" t="s">
        <v>706</v>
      </c>
      <c r="C513" s="520" t="s">
        <v>604</v>
      </c>
      <c r="D513" s="507" t="s">
        <v>798</v>
      </c>
      <c r="E513" s="519" t="str">
        <f>IF('GPS Anthro Tool'!$B$5=1,"ECE R129","")</f>
        <v/>
      </c>
      <c r="F513" s="507" t="s">
        <v>4243</v>
      </c>
      <c r="G513" s="534" t="s">
        <v>795</v>
      </c>
      <c r="H513" s="507" t="s">
        <v>799</v>
      </c>
      <c r="I513" s="520"/>
      <c r="J513" s="519" t="s">
        <v>3960</v>
      </c>
      <c r="K513" s="521" t="s">
        <v>605</v>
      </c>
      <c r="L513" s="526" t="s">
        <v>315</v>
      </c>
      <c r="M513" s="527" t="s">
        <v>315</v>
      </c>
      <c r="N513" s="528" t="s">
        <v>315</v>
      </c>
      <c r="O513" s="663"/>
      <c r="P513" s="529"/>
      <c r="Q513" s="530" t="s">
        <v>315</v>
      </c>
      <c r="R513" s="530"/>
      <c r="S513" s="530"/>
      <c r="T513" s="667"/>
    </row>
    <row r="514" spans="1:20" s="508" customFormat="1" ht="120" hidden="1">
      <c r="A514" s="518"/>
      <c r="B514" s="507" t="s">
        <v>706</v>
      </c>
      <c r="C514" s="520" t="s">
        <v>604</v>
      </c>
      <c r="D514" s="507" t="s">
        <v>798</v>
      </c>
      <c r="E514" s="519" t="str">
        <f>IF('GPS Anthro Tool'!$B$5=1,"ECE R129","")</f>
        <v/>
      </c>
      <c r="F514" s="507" t="s">
        <v>4243</v>
      </c>
      <c r="G514" s="534" t="s">
        <v>795</v>
      </c>
      <c r="H514" s="507" t="s">
        <v>800</v>
      </c>
      <c r="I514" s="520"/>
      <c r="J514" s="519" t="s">
        <v>3960</v>
      </c>
      <c r="K514" s="521" t="s">
        <v>605</v>
      </c>
      <c r="L514" s="526" t="s">
        <v>315</v>
      </c>
      <c r="M514" s="527" t="s">
        <v>315</v>
      </c>
      <c r="N514" s="528" t="s">
        <v>315</v>
      </c>
      <c r="O514" s="663"/>
      <c r="P514" s="529"/>
      <c r="Q514" s="530" t="s">
        <v>315</v>
      </c>
      <c r="R514" s="530"/>
      <c r="S514" s="530"/>
      <c r="T514" s="566"/>
    </row>
    <row r="515" spans="1:20" s="508" customFormat="1" ht="75" hidden="1">
      <c r="A515" s="518"/>
      <c r="B515" s="507" t="s">
        <v>706</v>
      </c>
      <c r="C515" s="520" t="s">
        <v>604</v>
      </c>
      <c r="D515" s="507" t="s">
        <v>801</v>
      </c>
      <c r="E515" s="519" t="str">
        <f>IF('GPS Anthro Tool'!$B$5=1,"ECE R129","")</f>
        <v/>
      </c>
      <c r="F515" s="507" t="s">
        <v>4243</v>
      </c>
      <c r="G515" s="534" t="s">
        <v>795</v>
      </c>
      <c r="H515" s="507" t="s">
        <v>802</v>
      </c>
      <c r="I515" s="520"/>
      <c r="J515" s="519" t="s">
        <v>3960</v>
      </c>
      <c r="K515" s="521" t="s">
        <v>605</v>
      </c>
      <c r="L515" s="526" t="s">
        <v>315</v>
      </c>
      <c r="M515" s="527" t="s">
        <v>315</v>
      </c>
      <c r="N515" s="528" t="s">
        <v>315</v>
      </c>
      <c r="O515" s="663"/>
      <c r="P515" s="529"/>
      <c r="Q515" s="530" t="s">
        <v>315</v>
      </c>
      <c r="R515" s="530"/>
      <c r="S515" s="530"/>
      <c r="T515" s="566"/>
    </row>
    <row r="516" spans="1:20" s="508" customFormat="1" ht="75" hidden="1">
      <c r="A516" s="518"/>
      <c r="B516" s="507" t="s">
        <v>706</v>
      </c>
      <c r="C516" s="520" t="s">
        <v>604</v>
      </c>
      <c r="D516" s="507" t="s">
        <v>803</v>
      </c>
      <c r="E516" s="519" t="str">
        <f>IF('GPS Anthro Tool'!$B$5=1,"ECE R129","")</f>
        <v/>
      </c>
      <c r="F516" s="507" t="s">
        <v>4243</v>
      </c>
      <c r="G516" s="534" t="s">
        <v>795</v>
      </c>
      <c r="H516" s="507" t="s">
        <v>804</v>
      </c>
      <c r="I516" s="520"/>
      <c r="J516" s="519" t="s">
        <v>3960</v>
      </c>
      <c r="K516" s="521" t="s">
        <v>605</v>
      </c>
      <c r="L516" s="526" t="s">
        <v>315</v>
      </c>
      <c r="M516" s="527" t="s">
        <v>315</v>
      </c>
      <c r="N516" s="528" t="s">
        <v>315</v>
      </c>
      <c r="O516" s="663"/>
      <c r="P516" s="529"/>
      <c r="Q516" s="530" t="s">
        <v>315</v>
      </c>
      <c r="R516" s="530"/>
      <c r="S516" s="530"/>
      <c r="T516" s="566"/>
    </row>
    <row r="517" spans="1:20" s="508" customFormat="1" ht="30" hidden="1">
      <c r="A517" s="518"/>
      <c r="B517" s="507" t="s">
        <v>706</v>
      </c>
      <c r="C517" s="520" t="s">
        <v>604</v>
      </c>
      <c r="D517" s="507" t="s">
        <v>805</v>
      </c>
      <c r="E517" s="519" t="str">
        <f>IF('GPS Anthro Tool'!$B$5=1,"ECE R129","")</f>
        <v/>
      </c>
      <c r="F517" s="507" t="s">
        <v>4243</v>
      </c>
      <c r="G517" s="534" t="s">
        <v>795</v>
      </c>
      <c r="H517" s="507" t="s">
        <v>806</v>
      </c>
      <c r="I517" s="520"/>
      <c r="J517" s="519" t="s">
        <v>3960</v>
      </c>
      <c r="K517" s="521" t="s">
        <v>605</v>
      </c>
      <c r="L517" s="526" t="s">
        <v>315</v>
      </c>
      <c r="M517" s="527" t="s">
        <v>315</v>
      </c>
      <c r="N517" s="528" t="s">
        <v>315</v>
      </c>
      <c r="O517" s="663"/>
      <c r="P517" s="529"/>
      <c r="Q517" s="530" t="s">
        <v>315</v>
      </c>
      <c r="R517" s="530"/>
      <c r="S517" s="530"/>
      <c r="T517" s="566"/>
    </row>
    <row r="518" spans="1:20" s="508" customFormat="1" ht="30" hidden="1">
      <c r="A518" s="518"/>
      <c r="B518" s="507" t="s">
        <v>706</v>
      </c>
      <c r="C518" s="520" t="s">
        <v>604</v>
      </c>
      <c r="D518" s="507" t="s">
        <v>807</v>
      </c>
      <c r="E518" s="519" t="str">
        <f>IF('GPS Anthro Tool'!$B$5=1,"ECE R129","")</f>
        <v/>
      </c>
      <c r="F518" s="507" t="s">
        <v>4243</v>
      </c>
      <c r="G518" s="534" t="s">
        <v>795</v>
      </c>
      <c r="H518" s="507" t="s">
        <v>808</v>
      </c>
      <c r="I518" s="520"/>
      <c r="J518" s="519" t="s">
        <v>3960</v>
      </c>
      <c r="K518" s="521" t="s">
        <v>605</v>
      </c>
      <c r="L518" s="526" t="s">
        <v>315</v>
      </c>
      <c r="M518" s="527" t="s">
        <v>315</v>
      </c>
      <c r="N518" s="528" t="s">
        <v>315</v>
      </c>
      <c r="O518" s="663"/>
      <c r="P518" s="529"/>
      <c r="Q518" s="530" t="s">
        <v>315</v>
      </c>
      <c r="R518" s="530"/>
      <c r="S518" s="530"/>
      <c r="T518" s="566"/>
    </row>
    <row r="519" spans="1:20" s="508" customFormat="1" ht="60" hidden="1">
      <c r="A519" s="518"/>
      <c r="B519" s="507" t="s">
        <v>706</v>
      </c>
      <c r="C519" s="520" t="s">
        <v>604</v>
      </c>
      <c r="D519" s="507" t="s">
        <v>809</v>
      </c>
      <c r="E519" s="519" t="str">
        <f>IF('GPS Anthro Tool'!$B$5=1,"ECE R129","")</f>
        <v/>
      </c>
      <c r="F519" s="507" t="s">
        <v>4243</v>
      </c>
      <c r="G519" s="534" t="s">
        <v>795</v>
      </c>
      <c r="H519" s="507" t="s">
        <v>810</v>
      </c>
      <c r="I519" s="520"/>
      <c r="J519" s="519" t="s">
        <v>3960</v>
      </c>
      <c r="K519" s="521" t="s">
        <v>605</v>
      </c>
      <c r="L519" s="526" t="s">
        <v>315</v>
      </c>
      <c r="M519" s="527" t="s">
        <v>315</v>
      </c>
      <c r="N519" s="528" t="s">
        <v>315</v>
      </c>
      <c r="O519" s="663"/>
      <c r="P519" s="529"/>
      <c r="Q519" s="530" t="s">
        <v>315</v>
      </c>
      <c r="R519" s="530"/>
      <c r="S519" s="530"/>
      <c r="T519" s="566"/>
    </row>
    <row r="520" spans="1:20" s="508" customFormat="1" ht="225" hidden="1">
      <c r="A520" s="518"/>
      <c r="B520" s="507" t="s">
        <v>706</v>
      </c>
      <c r="C520" s="520" t="s">
        <v>604</v>
      </c>
      <c r="D520" s="507" t="s">
        <v>809</v>
      </c>
      <c r="E520" s="519" t="str">
        <f>IF('GPS Anthro Tool'!$B$5=1,"ECE R129","")</f>
        <v/>
      </c>
      <c r="F520" s="507" t="s">
        <v>4243</v>
      </c>
      <c r="G520" s="534" t="s">
        <v>795</v>
      </c>
      <c r="H520" s="507" t="s">
        <v>811</v>
      </c>
      <c r="I520" s="520"/>
      <c r="J520" s="519" t="s">
        <v>3960</v>
      </c>
      <c r="K520" s="521" t="s">
        <v>605</v>
      </c>
      <c r="L520" s="526" t="s">
        <v>315</v>
      </c>
      <c r="M520" s="527" t="s">
        <v>315</v>
      </c>
      <c r="N520" s="528" t="s">
        <v>315</v>
      </c>
      <c r="O520" s="663"/>
      <c r="P520" s="529"/>
      <c r="Q520" s="530" t="s">
        <v>315</v>
      </c>
      <c r="R520" s="530"/>
      <c r="S520" s="530"/>
      <c r="T520" s="566"/>
    </row>
    <row r="521" spans="1:20" s="508" customFormat="1" ht="270" hidden="1">
      <c r="A521" s="518"/>
      <c r="B521" s="507" t="s">
        <v>706</v>
      </c>
      <c r="C521" s="520" t="s">
        <v>604</v>
      </c>
      <c r="D521" s="507" t="s">
        <v>809</v>
      </c>
      <c r="E521" s="519" t="str">
        <f>IF('GPS Anthro Tool'!$B$5=1,"ECE R129","")</f>
        <v/>
      </c>
      <c r="F521" s="507" t="s">
        <v>4243</v>
      </c>
      <c r="G521" s="534" t="s">
        <v>795</v>
      </c>
      <c r="H521" s="507" t="s">
        <v>812</v>
      </c>
      <c r="I521" s="520"/>
      <c r="J521" s="519" t="s">
        <v>3960</v>
      </c>
      <c r="K521" s="521" t="s">
        <v>605</v>
      </c>
      <c r="L521" s="526" t="s">
        <v>315</v>
      </c>
      <c r="M521" s="527" t="s">
        <v>315</v>
      </c>
      <c r="N521" s="528" t="s">
        <v>315</v>
      </c>
      <c r="O521" s="663"/>
      <c r="P521" s="529"/>
      <c r="Q521" s="530" t="s">
        <v>315</v>
      </c>
      <c r="R521" s="530"/>
      <c r="S521" s="530"/>
      <c r="T521" s="566"/>
    </row>
    <row r="522" spans="1:20" s="508" customFormat="1" ht="30" hidden="1">
      <c r="A522" s="518"/>
      <c r="B522" s="507" t="s">
        <v>706</v>
      </c>
      <c r="C522" s="520" t="s">
        <v>604</v>
      </c>
      <c r="D522" s="507" t="s">
        <v>813</v>
      </c>
      <c r="E522" s="519" t="str">
        <f>IF('GPS Anthro Tool'!$B$5=1,"ECE R129","")</f>
        <v/>
      </c>
      <c r="F522" s="507" t="s">
        <v>4243</v>
      </c>
      <c r="G522" s="534" t="s">
        <v>795</v>
      </c>
      <c r="H522" s="507" t="s">
        <v>814</v>
      </c>
      <c r="I522" s="520"/>
      <c r="J522" s="519" t="s">
        <v>3960</v>
      </c>
      <c r="K522" s="521" t="s">
        <v>605</v>
      </c>
      <c r="L522" s="526" t="s">
        <v>315</v>
      </c>
      <c r="M522" s="527" t="s">
        <v>315</v>
      </c>
      <c r="N522" s="528" t="s">
        <v>315</v>
      </c>
      <c r="O522" s="663"/>
      <c r="P522" s="529"/>
      <c r="Q522" s="530" t="s">
        <v>315</v>
      </c>
      <c r="R522" s="530"/>
      <c r="S522" s="530"/>
      <c r="T522" s="566"/>
    </row>
    <row r="523" spans="1:20" s="508" customFormat="1" ht="120" hidden="1">
      <c r="A523" s="518"/>
      <c r="B523" s="507" t="s">
        <v>706</v>
      </c>
      <c r="C523" s="520" t="s">
        <v>604</v>
      </c>
      <c r="D523" s="507" t="s">
        <v>813</v>
      </c>
      <c r="E523" s="519" t="str">
        <f>IF('GPS Anthro Tool'!$B$5=1,"ECE R129","")</f>
        <v/>
      </c>
      <c r="F523" s="507" t="s">
        <v>4243</v>
      </c>
      <c r="G523" s="534" t="s">
        <v>795</v>
      </c>
      <c r="H523" s="507" t="s">
        <v>815</v>
      </c>
      <c r="I523" s="520"/>
      <c r="J523" s="519" t="s">
        <v>3960</v>
      </c>
      <c r="K523" s="521" t="s">
        <v>605</v>
      </c>
      <c r="L523" s="526" t="s">
        <v>315</v>
      </c>
      <c r="M523" s="527" t="s">
        <v>315</v>
      </c>
      <c r="N523" s="528" t="s">
        <v>315</v>
      </c>
      <c r="O523" s="663"/>
      <c r="P523" s="529"/>
      <c r="Q523" s="530" t="s">
        <v>315</v>
      </c>
      <c r="R523" s="530"/>
      <c r="S523" s="530"/>
      <c r="T523" s="566"/>
    </row>
    <row r="524" spans="1:20" s="508" customFormat="1" ht="45" hidden="1">
      <c r="A524" s="518"/>
      <c r="B524" s="507" t="s">
        <v>706</v>
      </c>
      <c r="C524" s="520" t="s">
        <v>604</v>
      </c>
      <c r="D524" s="507" t="s">
        <v>817</v>
      </c>
      <c r="E524" s="519" t="str">
        <f>IF('GPS Anthro Tool'!$B$5=1,"ECE R129","")</f>
        <v/>
      </c>
      <c r="F524" s="507" t="s">
        <v>4243</v>
      </c>
      <c r="G524" s="534" t="s">
        <v>816</v>
      </c>
      <c r="H524" s="507" t="s">
        <v>818</v>
      </c>
      <c r="I524" s="520"/>
      <c r="J524" s="519" t="s">
        <v>3960</v>
      </c>
      <c r="K524" s="521" t="s">
        <v>605</v>
      </c>
      <c r="L524" s="526" t="s">
        <v>315</v>
      </c>
      <c r="M524" s="527" t="s">
        <v>315</v>
      </c>
      <c r="N524" s="528" t="s">
        <v>315</v>
      </c>
      <c r="O524" s="663"/>
      <c r="P524" s="529"/>
      <c r="Q524" s="530" t="s">
        <v>315</v>
      </c>
      <c r="R524" s="530"/>
      <c r="S524" s="530"/>
      <c r="T524" s="566"/>
    </row>
    <row r="525" spans="1:20" s="508" customFormat="1" ht="30" hidden="1">
      <c r="A525" s="518"/>
      <c r="B525" s="507" t="s">
        <v>706</v>
      </c>
      <c r="C525" s="520" t="s">
        <v>604</v>
      </c>
      <c r="D525" s="507" t="s">
        <v>819</v>
      </c>
      <c r="E525" s="519" t="str">
        <f>IF('GPS Anthro Tool'!$B$5=1,"ECE R129","")</f>
        <v/>
      </c>
      <c r="F525" s="507" t="s">
        <v>4243</v>
      </c>
      <c r="G525" s="534" t="s">
        <v>816</v>
      </c>
      <c r="H525" s="507" t="s">
        <v>820</v>
      </c>
      <c r="I525" s="520"/>
      <c r="J525" s="519" t="s">
        <v>3960</v>
      </c>
      <c r="K525" s="521" t="s">
        <v>605</v>
      </c>
      <c r="L525" s="526" t="s">
        <v>315</v>
      </c>
      <c r="M525" s="527" t="s">
        <v>315</v>
      </c>
      <c r="N525" s="528" t="s">
        <v>315</v>
      </c>
      <c r="O525" s="663"/>
      <c r="P525" s="529"/>
      <c r="Q525" s="530" t="s">
        <v>315</v>
      </c>
      <c r="R525" s="530"/>
      <c r="S525" s="530"/>
      <c r="T525" s="566"/>
    </row>
    <row r="526" spans="1:20" s="508" customFormat="1" ht="30" hidden="1">
      <c r="A526" s="518"/>
      <c r="B526" s="507" t="s">
        <v>706</v>
      </c>
      <c r="C526" s="520" t="s">
        <v>604</v>
      </c>
      <c r="D526" s="507" t="s">
        <v>821</v>
      </c>
      <c r="E526" s="519" t="str">
        <f>IF('GPS Anthro Tool'!$B$5=1,"ECE R129","")</f>
        <v/>
      </c>
      <c r="F526" s="507" t="s">
        <v>4243</v>
      </c>
      <c r="G526" s="534" t="s">
        <v>816</v>
      </c>
      <c r="H526" s="507" t="s">
        <v>822</v>
      </c>
      <c r="I526" s="520"/>
      <c r="J526" s="519" t="s">
        <v>3960</v>
      </c>
      <c r="K526" s="521" t="s">
        <v>605</v>
      </c>
      <c r="L526" s="526" t="s">
        <v>315</v>
      </c>
      <c r="M526" s="527" t="s">
        <v>315</v>
      </c>
      <c r="N526" s="528" t="s">
        <v>315</v>
      </c>
      <c r="O526" s="663"/>
      <c r="P526" s="529"/>
      <c r="Q526" s="530" t="s">
        <v>315</v>
      </c>
      <c r="R526" s="530"/>
      <c r="S526" s="530"/>
      <c r="T526" s="566"/>
    </row>
    <row r="527" spans="1:20" s="508" customFormat="1" ht="60" hidden="1">
      <c r="A527" s="518"/>
      <c r="B527" s="507" t="s">
        <v>706</v>
      </c>
      <c r="C527" s="520" t="s">
        <v>604</v>
      </c>
      <c r="D527" s="507" t="s">
        <v>823</v>
      </c>
      <c r="E527" s="519" t="str">
        <f>IF('GPS Anthro Tool'!$B$5=1,"ECE R129","")</f>
        <v/>
      </c>
      <c r="F527" s="507" t="s">
        <v>4243</v>
      </c>
      <c r="G527" s="534" t="s">
        <v>816</v>
      </c>
      <c r="H527" s="507" t="s">
        <v>824</v>
      </c>
      <c r="I527" s="520"/>
      <c r="J527" s="519" t="s">
        <v>3960</v>
      </c>
      <c r="K527" s="521" t="s">
        <v>605</v>
      </c>
      <c r="L527" s="526" t="s">
        <v>315</v>
      </c>
      <c r="M527" s="527" t="s">
        <v>315</v>
      </c>
      <c r="N527" s="528" t="s">
        <v>315</v>
      </c>
      <c r="O527" s="663"/>
      <c r="P527" s="529"/>
      <c r="Q527" s="530" t="s">
        <v>315</v>
      </c>
      <c r="R527" s="530"/>
      <c r="S527" s="530"/>
      <c r="T527" s="566"/>
    </row>
    <row r="528" spans="1:20" s="508" customFormat="1" ht="405" hidden="1">
      <c r="A528" s="518"/>
      <c r="B528" s="507" t="s">
        <v>706</v>
      </c>
      <c r="C528" s="520" t="s">
        <v>604</v>
      </c>
      <c r="D528" s="507" t="s">
        <v>823</v>
      </c>
      <c r="E528" s="519" t="str">
        <f>IF('GPS Anthro Tool'!$B$5=1,"ECE R129","")</f>
        <v/>
      </c>
      <c r="F528" s="507" t="s">
        <v>4243</v>
      </c>
      <c r="G528" s="534" t="s">
        <v>816</v>
      </c>
      <c r="H528" s="507" t="s">
        <v>825</v>
      </c>
      <c r="I528" s="520"/>
      <c r="J528" s="519" t="s">
        <v>3960</v>
      </c>
      <c r="K528" s="521" t="s">
        <v>605</v>
      </c>
      <c r="L528" s="526" t="s">
        <v>315</v>
      </c>
      <c r="M528" s="527" t="s">
        <v>315</v>
      </c>
      <c r="N528" s="528" t="s">
        <v>315</v>
      </c>
      <c r="O528" s="663"/>
      <c r="P528" s="529"/>
      <c r="Q528" s="530" t="s">
        <v>315</v>
      </c>
      <c r="R528" s="530"/>
      <c r="S528" s="530"/>
      <c r="T528" s="566"/>
    </row>
    <row r="529" spans="1:20" s="508" customFormat="1" ht="135" hidden="1">
      <c r="A529" s="518"/>
      <c r="B529" s="507" t="s">
        <v>706</v>
      </c>
      <c r="C529" s="534" t="s">
        <v>4293</v>
      </c>
      <c r="D529" s="507" t="s">
        <v>926</v>
      </c>
      <c r="E529" s="519" t="str">
        <f>IF('GPS Anthro Tool'!$B$5=1,"ECE R129","")</f>
        <v/>
      </c>
      <c r="F529" s="507" t="s">
        <v>4243</v>
      </c>
      <c r="G529" s="534" t="s">
        <v>917</v>
      </c>
      <c r="H529" s="507" t="s">
        <v>927</v>
      </c>
      <c r="I529" s="507"/>
      <c r="J529" s="519" t="s">
        <v>3960</v>
      </c>
      <c r="K529" s="521" t="s">
        <v>605</v>
      </c>
      <c r="L529" s="526" t="s">
        <v>315</v>
      </c>
      <c r="M529" s="527" t="s">
        <v>315</v>
      </c>
      <c r="N529" s="528" t="s">
        <v>315</v>
      </c>
      <c r="O529" s="663"/>
      <c r="P529" s="529"/>
      <c r="Q529" s="530" t="s">
        <v>315</v>
      </c>
      <c r="R529" s="530"/>
      <c r="S529" s="530"/>
      <c r="T529" s="566"/>
    </row>
    <row r="530" spans="1:20" s="508" customFormat="1" ht="120" hidden="1">
      <c r="A530" s="518"/>
      <c r="B530" s="507" t="s">
        <v>706</v>
      </c>
      <c r="C530" s="534" t="s">
        <v>4293</v>
      </c>
      <c r="D530" s="507" t="s">
        <v>930</v>
      </c>
      <c r="E530" s="519" t="str">
        <f>IF('GPS Anthro Tool'!$B$5=1,"ECE R129","")</f>
        <v/>
      </c>
      <c r="F530" s="507" t="s">
        <v>4243</v>
      </c>
      <c r="G530" s="534" t="s">
        <v>917</v>
      </c>
      <c r="H530" s="507" t="s">
        <v>931</v>
      </c>
      <c r="I530" s="507"/>
      <c r="J530" s="519" t="s">
        <v>3960</v>
      </c>
      <c r="K530" s="521" t="s">
        <v>605</v>
      </c>
      <c r="L530" s="526" t="s">
        <v>315</v>
      </c>
      <c r="M530" s="527" t="s">
        <v>315</v>
      </c>
      <c r="N530" s="528" t="s">
        <v>315</v>
      </c>
      <c r="O530" s="663"/>
      <c r="P530" s="529"/>
      <c r="Q530" s="530" t="s">
        <v>315</v>
      </c>
      <c r="R530" s="530"/>
      <c r="S530" s="530"/>
      <c r="T530" s="566"/>
    </row>
    <row r="531" spans="1:20" s="508" customFormat="1" ht="90" hidden="1">
      <c r="A531" s="518"/>
      <c r="B531" s="507" t="s">
        <v>706</v>
      </c>
      <c r="C531" s="534" t="s">
        <v>4293</v>
      </c>
      <c r="D531" s="507" t="s">
        <v>934</v>
      </c>
      <c r="E531" s="519" t="str">
        <f>IF('GPS Anthro Tool'!$B$5=1,"ECE R129","")</f>
        <v/>
      </c>
      <c r="F531" s="507" t="s">
        <v>4243</v>
      </c>
      <c r="G531" s="534" t="s">
        <v>917</v>
      </c>
      <c r="H531" s="507" t="s">
        <v>935</v>
      </c>
      <c r="I531" s="507"/>
      <c r="J531" s="519" t="s">
        <v>3960</v>
      </c>
      <c r="K531" s="521" t="s">
        <v>605</v>
      </c>
      <c r="L531" s="526" t="s">
        <v>315</v>
      </c>
      <c r="M531" s="527" t="s">
        <v>315</v>
      </c>
      <c r="N531" s="528" t="s">
        <v>315</v>
      </c>
      <c r="O531" s="663"/>
      <c r="P531" s="529"/>
      <c r="Q531" s="530" t="s">
        <v>315</v>
      </c>
      <c r="R531" s="530"/>
      <c r="S531" s="530"/>
      <c r="T531" s="566"/>
    </row>
    <row r="532" spans="1:20" s="508" customFormat="1" ht="165" hidden="1">
      <c r="A532" s="518"/>
      <c r="B532" s="507" t="s">
        <v>706</v>
      </c>
      <c r="C532" s="534" t="s">
        <v>4293</v>
      </c>
      <c r="D532" s="507" t="s">
        <v>938</v>
      </c>
      <c r="E532" s="519" t="str">
        <f>IF('GPS Anthro Tool'!$B$5=1,"ECE R129","")</f>
        <v/>
      </c>
      <c r="F532" s="507" t="s">
        <v>4243</v>
      </c>
      <c r="G532" s="534" t="s">
        <v>917</v>
      </c>
      <c r="H532" s="507" t="s">
        <v>939</v>
      </c>
      <c r="I532" s="507"/>
      <c r="J532" s="519" t="s">
        <v>3960</v>
      </c>
      <c r="K532" s="521" t="s">
        <v>605</v>
      </c>
      <c r="L532" s="526" t="s">
        <v>315</v>
      </c>
      <c r="M532" s="527" t="s">
        <v>315</v>
      </c>
      <c r="N532" s="528" t="s">
        <v>315</v>
      </c>
      <c r="O532" s="663"/>
      <c r="P532" s="529"/>
      <c r="Q532" s="530" t="s">
        <v>315</v>
      </c>
      <c r="R532" s="530"/>
      <c r="S532" s="530"/>
      <c r="T532" s="566"/>
    </row>
    <row r="533" spans="1:20" s="508" customFormat="1" ht="30" hidden="1">
      <c r="A533" s="518"/>
      <c r="B533" s="507" t="s">
        <v>706</v>
      </c>
      <c r="C533" s="534" t="s">
        <v>4293</v>
      </c>
      <c r="D533" s="507" t="s">
        <v>945</v>
      </c>
      <c r="E533" s="519" t="str">
        <f>IF('GPS Anthro Tool'!$B$5=1,"ECE R129","")</f>
        <v/>
      </c>
      <c r="F533" s="507" t="s">
        <v>4243</v>
      </c>
      <c r="G533" s="534" t="s">
        <v>940</v>
      </c>
      <c r="H533" s="507" t="s">
        <v>946</v>
      </c>
      <c r="I533" s="507"/>
      <c r="J533" s="519" t="s">
        <v>3960</v>
      </c>
      <c r="K533" s="521" t="s">
        <v>605</v>
      </c>
      <c r="L533" s="526" t="s">
        <v>315</v>
      </c>
      <c r="M533" s="527" t="s">
        <v>315</v>
      </c>
      <c r="N533" s="528" t="s">
        <v>315</v>
      </c>
      <c r="O533" s="663"/>
      <c r="P533" s="529"/>
      <c r="Q533" s="530" t="s">
        <v>315</v>
      </c>
      <c r="R533" s="530"/>
      <c r="S533" s="530"/>
      <c r="T533" s="566"/>
    </row>
    <row r="534" spans="1:20" s="508" customFormat="1" ht="75" hidden="1">
      <c r="A534" s="518"/>
      <c r="B534" s="507" t="s">
        <v>706</v>
      </c>
      <c r="C534" s="534" t="s">
        <v>4293</v>
      </c>
      <c r="D534" s="507" t="s">
        <v>947</v>
      </c>
      <c r="E534" s="519" t="str">
        <f>IF('GPS Anthro Tool'!$B$5=1,"ECE R129","")</f>
        <v/>
      </c>
      <c r="F534" s="507" t="s">
        <v>4243</v>
      </c>
      <c r="G534" s="534" t="s">
        <v>940</v>
      </c>
      <c r="H534" s="507" t="s">
        <v>948</v>
      </c>
      <c r="I534" s="507"/>
      <c r="J534" s="519" t="s">
        <v>3960</v>
      </c>
      <c r="K534" s="521" t="s">
        <v>605</v>
      </c>
      <c r="L534" s="526" t="s">
        <v>315</v>
      </c>
      <c r="M534" s="527" t="s">
        <v>315</v>
      </c>
      <c r="N534" s="528" t="s">
        <v>315</v>
      </c>
      <c r="O534" s="663"/>
      <c r="P534" s="529"/>
      <c r="Q534" s="530" t="s">
        <v>315</v>
      </c>
      <c r="R534" s="530"/>
      <c r="S534" s="530"/>
      <c r="T534" s="566"/>
    </row>
    <row r="535" spans="1:20" s="508" customFormat="1" ht="75" hidden="1">
      <c r="A535" s="518"/>
      <c r="B535" s="507" t="s">
        <v>706</v>
      </c>
      <c r="C535" s="534" t="s">
        <v>4293</v>
      </c>
      <c r="D535" s="507" t="s">
        <v>951</v>
      </c>
      <c r="E535" s="519" t="str">
        <f>IF('GPS Anthro Tool'!$B$5=1,"ECE R129","")</f>
        <v/>
      </c>
      <c r="F535" s="507" t="s">
        <v>4243</v>
      </c>
      <c r="G535" s="534" t="s">
        <v>940</v>
      </c>
      <c r="H535" s="507" t="s">
        <v>952</v>
      </c>
      <c r="I535" s="507"/>
      <c r="J535" s="519" t="s">
        <v>3960</v>
      </c>
      <c r="K535" s="521" t="s">
        <v>605</v>
      </c>
      <c r="L535" s="526" t="s">
        <v>315</v>
      </c>
      <c r="M535" s="527" t="s">
        <v>315</v>
      </c>
      <c r="N535" s="528" t="s">
        <v>315</v>
      </c>
      <c r="O535" s="663"/>
      <c r="P535" s="529"/>
      <c r="Q535" s="530" t="s">
        <v>315</v>
      </c>
      <c r="R535" s="530"/>
      <c r="S535" s="530"/>
      <c r="T535" s="566"/>
    </row>
    <row r="536" spans="1:20" s="508" customFormat="1" ht="60" hidden="1">
      <c r="A536" s="518"/>
      <c r="B536" s="507" t="s">
        <v>706</v>
      </c>
      <c r="C536" s="534" t="s">
        <v>4293</v>
      </c>
      <c r="D536" s="507" t="s">
        <v>955</v>
      </c>
      <c r="E536" s="519" t="str">
        <f>IF('GPS Anthro Tool'!$B$5=1,"ECE R129","")</f>
        <v/>
      </c>
      <c r="F536" s="507" t="s">
        <v>4243</v>
      </c>
      <c r="G536" s="534" t="s">
        <v>940</v>
      </c>
      <c r="H536" s="507" t="s">
        <v>956</v>
      </c>
      <c r="I536" s="507"/>
      <c r="J536" s="519" t="s">
        <v>3960</v>
      </c>
      <c r="K536" s="521" t="s">
        <v>605</v>
      </c>
      <c r="L536" s="526" t="s">
        <v>315</v>
      </c>
      <c r="M536" s="527" t="s">
        <v>315</v>
      </c>
      <c r="N536" s="528" t="s">
        <v>315</v>
      </c>
      <c r="O536" s="663"/>
      <c r="P536" s="529"/>
      <c r="Q536" s="530" t="s">
        <v>315</v>
      </c>
      <c r="R536" s="530"/>
      <c r="S536" s="530"/>
      <c r="T536" s="566"/>
    </row>
    <row r="537" spans="1:20" s="508" customFormat="1" ht="105" hidden="1">
      <c r="A537" s="518"/>
      <c r="B537" s="507" t="s">
        <v>706</v>
      </c>
      <c r="C537" s="534" t="s">
        <v>4293</v>
      </c>
      <c r="D537" s="507" t="s">
        <v>960</v>
      </c>
      <c r="E537" s="519" t="str">
        <f>IF('GPS Anthro Tool'!$B$5=1,"ECE R129","")</f>
        <v/>
      </c>
      <c r="F537" s="507" t="s">
        <v>4243</v>
      </c>
      <c r="G537" s="534" t="s">
        <v>940</v>
      </c>
      <c r="H537" s="507" t="s">
        <v>961</v>
      </c>
      <c r="I537" s="507"/>
      <c r="J537" s="519" t="s">
        <v>3960</v>
      </c>
      <c r="K537" s="521" t="s">
        <v>605</v>
      </c>
      <c r="L537" s="526" t="s">
        <v>315</v>
      </c>
      <c r="M537" s="527" t="s">
        <v>315</v>
      </c>
      <c r="N537" s="528" t="s">
        <v>315</v>
      </c>
      <c r="O537" s="663"/>
      <c r="P537" s="529"/>
      <c r="Q537" s="530" t="s">
        <v>315</v>
      </c>
      <c r="R537" s="530"/>
      <c r="S537" s="530"/>
      <c r="T537" s="566"/>
    </row>
    <row r="538" spans="1:20" s="508" customFormat="1" ht="45" hidden="1">
      <c r="A538" s="518"/>
      <c r="B538" s="507" t="s">
        <v>706</v>
      </c>
      <c r="C538" s="509" t="s">
        <v>4294</v>
      </c>
      <c r="D538" s="507" t="s">
        <v>968</v>
      </c>
      <c r="E538" s="519" t="str">
        <f>IF('GPS Anthro Tool'!$B$5=1,"ECE R129","")</f>
        <v/>
      </c>
      <c r="F538" s="507" t="s">
        <v>4243</v>
      </c>
      <c r="G538" s="509" t="s">
        <v>967</v>
      </c>
      <c r="H538" s="507" t="s">
        <v>969</v>
      </c>
      <c r="I538" s="507"/>
      <c r="J538" s="519" t="s">
        <v>3960</v>
      </c>
      <c r="K538" s="521" t="s">
        <v>605</v>
      </c>
      <c r="L538" s="526" t="s">
        <v>315</v>
      </c>
      <c r="M538" s="527" t="s">
        <v>315</v>
      </c>
      <c r="N538" s="528" t="s">
        <v>315</v>
      </c>
      <c r="O538" s="663"/>
      <c r="P538" s="529"/>
      <c r="Q538" s="530" t="s">
        <v>315</v>
      </c>
      <c r="R538" s="530"/>
      <c r="S538" s="530"/>
      <c r="T538" s="566"/>
    </row>
    <row r="539" spans="1:20" s="508" customFormat="1" ht="105" hidden="1">
      <c r="A539" s="518"/>
      <c r="B539" s="507" t="s">
        <v>706</v>
      </c>
      <c r="C539" s="509" t="s">
        <v>4295</v>
      </c>
      <c r="D539" s="507" t="s">
        <v>968</v>
      </c>
      <c r="E539" s="519" t="str">
        <f>IF('GPS Anthro Tool'!$B$5=1,"ECE R129","")</f>
        <v/>
      </c>
      <c r="F539" s="507" t="s">
        <v>4243</v>
      </c>
      <c r="G539" s="509" t="s">
        <v>967</v>
      </c>
      <c r="H539" s="507" t="s">
        <v>970</v>
      </c>
      <c r="I539" s="507"/>
      <c r="J539" s="519" t="s">
        <v>3960</v>
      </c>
      <c r="K539" s="521" t="s">
        <v>605</v>
      </c>
      <c r="L539" s="526" t="s">
        <v>315</v>
      </c>
      <c r="M539" s="527" t="s">
        <v>315</v>
      </c>
      <c r="N539" s="528" t="s">
        <v>315</v>
      </c>
      <c r="O539" s="663"/>
      <c r="P539" s="529"/>
      <c r="Q539" s="530" t="s">
        <v>315</v>
      </c>
      <c r="R539" s="530"/>
      <c r="S539" s="530"/>
      <c r="T539" s="566"/>
    </row>
    <row r="540" spans="1:20" s="508" customFormat="1" ht="60" hidden="1">
      <c r="A540" s="518"/>
      <c r="B540" s="507" t="s">
        <v>706</v>
      </c>
      <c r="C540" s="509" t="s">
        <v>4295</v>
      </c>
      <c r="D540" s="507" t="s">
        <v>968</v>
      </c>
      <c r="E540" s="519" t="str">
        <f>IF('GPS Anthro Tool'!$B$5=1,"ECE R129","")</f>
        <v/>
      </c>
      <c r="F540" s="507" t="s">
        <v>4243</v>
      </c>
      <c r="G540" s="509" t="s">
        <v>967</v>
      </c>
      <c r="H540" s="507" t="s">
        <v>971</v>
      </c>
      <c r="I540" s="507"/>
      <c r="J540" s="519" t="s">
        <v>3960</v>
      </c>
      <c r="K540" s="521" t="s">
        <v>605</v>
      </c>
      <c r="L540" s="526" t="s">
        <v>315</v>
      </c>
      <c r="M540" s="527" t="s">
        <v>315</v>
      </c>
      <c r="N540" s="528" t="s">
        <v>315</v>
      </c>
      <c r="O540" s="663"/>
      <c r="P540" s="529"/>
      <c r="Q540" s="530" t="s">
        <v>315</v>
      </c>
      <c r="R540" s="530"/>
      <c r="S540" s="530"/>
      <c r="T540" s="566"/>
    </row>
    <row r="541" spans="1:20" s="508" customFormat="1" ht="105" hidden="1">
      <c r="A541" s="518"/>
      <c r="B541" s="507" t="s">
        <v>706</v>
      </c>
      <c r="C541" s="509" t="s">
        <v>4295</v>
      </c>
      <c r="D541" s="507" t="s">
        <v>968</v>
      </c>
      <c r="E541" s="519" t="str">
        <f>IF('GPS Anthro Tool'!$B$5=1,"ECE R129","")</f>
        <v/>
      </c>
      <c r="F541" s="507" t="s">
        <v>4243</v>
      </c>
      <c r="G541" s="509" t="s">
        <v>967</v>
      </c>
      <c r="H541" s="507" t="s">
        <v>972</v>
      </c>
      <c r="I541" s="507"/>
      <c r="J541" s="519" t="s">
        <v>3960</v>
      </c>
      <c r="K541" s="521" t="s">
        <v>605</v>
      </c>
      <c r="L541" s="526" t="s">
        <v>315</v>
      </c>
      <c r="M541" s="527" t="s">
        <v>315</v>
      </c>
      <c r="N541" s="528" t="s">
        <v>315</v>
      </c>
      <c r="O541" s="663"/>
      <c r="P541" s="529"/>
      <c r="Q541" s="530" t="s">
        <v>315</v>
      </c>
      <c r="R541" s="530"/>
      <c r="S541" s="530"/>
      <c r="T541" s="566"/>
    </row>
    <row r="542" spans="1:20" s="508" customFormat="1" ht="45" hidden="1">
      <c r="A542" s="518"/>
      <c r="B542" s="507" t="s">
        <v>706</v>
      </c>
      <c r="C542" s="509" t="s">
        <v>4295</v>
      </c>
      <c r="D542" s="507" t="s">
        <v>968</v>
      </c>
      <c r="E542" s="519" t="str">
        <f>IF('GPS Anthro Tool'!$B$5=1,"ECE R129","")</f>
        <v/>
      </c>
      <c r="F542" s="507" t="s">
        <v>4243</v>
      </c>
      <c r="G542" s="509" t="s">
        <v>967</v>
      </c>
      <c r="H542" s="507" t="s">
        <v>973</v>
      </c>
      <c r="I542" s="507"/>
      <c r="J542" s="519" t="s">
        <v>3960</v>
      </c>
      <c r="K542" s="521" t="s">
        <v>605</v>
      </c>
      <c r="L542" s="526" t="s">
        <v>315</v>
      </c>
      <c r="M542" s="527" t="s">
        <v>315</v>
      </c>
      <c r="N542" s="528" t="s">
        <v>315</v>
      </c>
      <c r="O542" s="663"/>
      <c r="P542" s="529"/>
      <c r="Q542" s="530" t="s">
        <v>315</v>
      </c>
      <c r="R542" s="530"/>
      <c r="S542" s="530"/>
      <c r="T542" s="566"/>
    </row>
    <row r="543" spans="1:20" s="508" customFormat="1" ht="60" hidden="1">
      <c r="A543" s="518"/>
      <c r="B543" s="507" t="s">
        <v>706</v>
      </c>
      <c r="C543" s="509" t="s">
        <v>4295</v>
      </c>
      <c r="D543" s="507" t="s">
        <v>974</v>
      </c>
      <c r="E543" s="519" t="str">
        <f>IF('GPS Anthro Tool'!$B$5=1,"ECE R129","")</f>
        <v/>
      </c>
      <c r="F543" s="507" t="s">
        <v>4243</v>
      </c>
      <c r="G543" s="509" t="s">
        <v>967</v>
      </c>
      <c r="H543" s="507" t="s">
        <v>975</v>
      </c>
      <c r="I543" s="507"/>
      <c r="J543" s="519" t="s">
        <v>3960</v>
      </c>
      <c r="K543" s="521" t="s">
        <v>605</v>
      </c>
      <c r="L543" s="526" t="s">
        <v>315</v>
      </c>
      <c r="M543" s="527" t="s">
        <v>315</v>
      </c>
      <c r="N543" s="528" t="s">
        <v>315</v>
      </c>
      <c r="O543" s="663"/>
      <c r="P543" s="529"/>
      <c r="Q543" s="530" t="s">
        <v>315</v>
      </c>
      <c r="R543" s="530"/>
      <c r="S543" s="530"/>
      <c r="T543" s="566"/>
    </row>
    <row r="544" spans="1:20" s="508" customFormat="1" ht="30" hidden="1">
      <c r="A544" s="518"/>
      <c r="B544" s="507" t="s">
        <v>706</v>
      </c>
      <c r="C544" s="509" t="s">
        <v>4295</v>
      </c>
      <c r="D544" s="507" t="s">
        <v>976</v>
      </c>
      <c r="E544" s="519" t="str">
        <f>IF('GPS Anthro Tool'!$B$5=1,"ECE R129","")</f>
        <v/>
      </c>
      <c r="F544" s="507" t="s">
        <v>4243</v>
      </c>
      <c r="G544" s="509" t="s">
        <v>967</v>
      </c>
      <c r="H544" s="507" t="s">
        <v>977</v>
      </c>
      <c r="I544" s="507"/>
      <c r="J544" s="519" t="s">
        <v>3960</v>
      </c>
      <c r="K544" s="521" t="s">
        <v>605</v>
      </c>
      <c r="L544" s="526" t="s">
        <v>315</v>
      </c>
      <c r="M544" s="527" t="s">
        <v>315</v>
      </c>
      <c r="N544" s="528" t="s">
        <v>315</v>
      </c>
      <c r="O544" s="663"/>
      <c r="P544" s="529"/>
      <c r="Q544" s="530" t="s">
        <v>315</v>
      </c>
      <c r="R544" s="530"/>
      <c r="S544" s="530"/>
      <c r="T544" s="566"/>
    </row>
    <row r="545" spans="1:20" s="508" customFormat="1" ht="30" hidden="1">
      <c r="A545" s="518"/>
      <c r="B545" s="507" t="s">
        <v>706</v>
      </c>
      <c r="C545" s="509" t="s">
        <v>4295</v>
      </c>
      <c r="D545" s="507" t="s">
        <v>978</v>
      </c>
      <c r="E545" s="519" t="str">
        <f>IF('GPS Anthro Tool'!$B$5=1,"ECE R129","")</f>
        <v/>
      </c>
      <c r="F545" s="507" t="s">
        <v>4243</v>
      </c>
      <c r="G545" s="509" t="s">
        <v>967</v>
      </c>
      <c r="H545" s="507" t="s">
        <v>979</v>
      </c>
      <c r="I545" s="507"/>
      <c r="J545" s="519" t="s">
        <v>3960</v>
      </c>
      <c r="K545" s="521" t="s">
        <v>605</v>
      </c>
      <c r="L545" s="526" t="s">
        <v>315</v>
      </c>
      <c r="M545" s="527" t="s">
        <v>315</v>
      </c>
      <c r="N545" s="528" t="s">
        <v>315</v>
      </c>
      <c r="O545" s="663"/>
      <c r="P545" s="529"/>
      <c r="Q545" s="530" t="s">
        <v>315</v>
      </c>
      <c r="R545" s="530"/>
      <c r="S545" s="530"/>
      <c r="T545" s="566"/>
    </row>
    <row r="546" spans="1:20" s="508" customFormat="1" ht="105" hidden="1">
      <c r="A546" s="518"/>
      <c r="B546" s="507" t="s">
        <v>706</v>
      </c>
      <c r="C546" s="509" t="s">
        <v>4295</v>
      </c>
      <c r="D546" s="507" t="s">
        <v>978</v>
      </c>
      <c r="E546" s="519" t="str">
        <f>IF('GPS Anthro Tool'!$B$5=1,"ECE R129","")</f>
        <v/>
      </c>
      <c r="F546" s="507" t="s">
        <v>4243</v>
      </c>
      <c r="G546" s="509" t="s">
        <v>967</v>
      </c>
      <c r="H546" s="507" t="s">
        <v>980</v>
      </c>
      <c r="I546" s="507"/>
      <c r="J546" s="519" t="s">
        <v>3960</v>
      </c>
      <c r="K546" s="521" t="s">
        <v>605</v>
      </c>
      <c r="L546" s="526" t="s">
        <v>315</v>
      </c>
      <c r="M546" s="527" t="s">
        <v>315</v>
      </c>
      <c r="N546" s="528" t="s">
        <v>315</v>
      </c>
      <c r="O546" s="663"/>
      <c r="P546" s="529"/>
      <c r="Q546" s="530" t="s">
        <v>315</v>
      </c>
      <c r="R546" s="530"/>
      <c r="S546" s="530"/>
      <c r="T546" s="566"/>
    </row>
    <row r="547" spans="1:20" s="508" customFormat="1" ht="30" hidden="1">
      <c r="A547" s="518"/>
      <c r="B547" s="507" t="s">
        <v>706</v>
      </c>
      <c r="C547" s="509" t="s">
        <v>4295</v>
      </c>
      <c r="D547" s="507" t="s">
        <v>981</v>
      </c>
      <c r="E547" s="519" t="str">
        <f>IF('GPS Anthro Tool'!$B$5=1,"ECE R129","")</f>
        <v/>
      </c>
      <c r="F547" s="507" t="s">
        <v>4243</v>
      </c>
      <c r="G547" s="509" t="s">
        <v>967</v>
      </c>
      <c r="H547" s="507" t="s">
        <v>982</v>
      </c>
      <c r="I547" s="507"/>
      <c r="J547" s="519" t="s">
        <v>3960</v>
      </c>
      <c r="K547" s="521" t="s">
        <v>605</v>
      </c>
      <c r="L547" s="526" t="s">
        <v>315</v>
      </c>
      <c r="M547" s="527" t="s">
        <v>315</v>
      </c>
      <c r="N547" s="528" t="s">
        <v>315</v>
      </c>
      <c r="O547" s="663"/>
      <c r="P547" s="529"/>
      <c r="Q547" s="530" t="s">
        <v>315</v>
      </c>
      <c r="R547" s="530"/>
      <c r="S547" s="530"/>
      <c r="T547" s="566"/>
    </row>
    <row r="548" spans="1:20" s="508" customFormat="1" ht="105" hidden="1">
      <c r="A548" s="518"/>
      <c r="B548" s="507" t="s">
        <v>706</v>
      </c>
      <c r="C548" s="509" t="s">
        <v>4295</v>
      </c>
      <c r="D548" s="507" t="s">
        <v>981</v>
      </c>
      <c r="E548" s="519" t="str">
        <f>IF('GPS Anthro Tool'!$B$5=1,"ECE R129","")</f>
        <v/>
      </c>
      <c r="F548" s="507" t="s">
        <v>4243</v>
      </c>
      <c r="G548" s="509" t="s">
        <v>967</v>
      </c>
      <c r="H548" s="507" t="s">
        <v>983</v>
      </c>
      <c r="I548" s="507"/>
      <c r="J548" s="519" t="s">
        <v>3960</v>
      </c>
      <c r="K548" s="521" t="s">
        <v>605</v>
      </c>
      <c r="L548" s="526" t="s">
        <v>315</v>
      </c>
      <c r="M548" s="527" t="s">
        <v>315</v>
      </c>
      <c r="N548" s="528" t="s">
        <v>315</v>
      </c>
      <c r="O548" s="663"/>
      <c r="P548" s="529"/>
      <c r="Q548" s="530" t="s">
        <v>315</v>
      </c>
      <c r="R548" s="530"/>
      <c r="S548" s="530"/>
      <c r="T548" s="566"/>
    </row>
    <row r="549" spans="1:20" s="508" customFormat="1" ht="60" hidden="1">
      <c r="A549" s="518"/>
      <c r="B549" s="507" t="s">
        <v>706</v>
      </c>
      <c r="C549" s="509" t="s">
        <v>4295</v>
      </c>
      <c r="D549" s="507" t="s">
        <v>984</v>
      </c>
      <c r="E549" s="519" t="str">
        <f>IF('GPS Anthro Tool'!$B$5=1,"ECE R129","")</f>
        <v/>
      </c>
      <c r="F549" s="507" t="s">
        <v>4243</v>
      </c>
      <c r="G549" s="509" t="s">
        <v>967</v>
      </c>
      <c r="H549" s="507" t="s">
        <v>985</v>
      </c>
      <c r="I549" s="507"/>
      <c r="J549" s="519" t="s">
        <v>3960</v>
      </c>
      <c r="K549" s="521" t="s">
        <v>605</v>
      </c>
      <c r="L549" s="526" t="s">
        <v>315</v>
      </c>
      <c r="M549" s="527" t="s">
        <v>315</v>
      </c>
      <c r="N549" s="528" t="s">
        <v>315</v>
      </c>
      <c r="O549" s="663"/>
      <c r="P549" s="529"/>
      <c r="Q549" s="530" t="s">
        <v>315</v>
      </c>
      <c r="R549" s="530"/>
      <c r="S549" s="530"/>
      <c r="T549" s="566"/>
    </row>
    <row r="550" spans="1:20" s="508" customFormat="1" ht="75" hidden="1">
      <c r="A550" s="518"/>
      <c r="B550" s="507" t="s">
        <v>706</v>
      </c>
      <c r="C550" s="509" t="s">
        <v>4295</v>
      </c>
      <c r="D550" s="507" t="s">
        <v>986</v>
      </c>
      <c r="E550" s="519" t="str">
        <f>IF('GPS Anthro Tool'!$B$5=1,"ECE R129","")</f>
        <v/>
      </c>
      <c r="F550" s="507" t="s">
        <v>4243</v>
      </c>
      <c r="G550" s="509" t="s">
        <v>967</v>
      </c>
      <c r="H550" s="507" t="s">
        <v>987</v>
      </c>
      <c r="I550" s="507"/>
      <c r="J550" s="519" t="s">
        <v>3960</v>
      </c>
      <c r="K550" s="521" t="s">
        <v>605</v>
      </c>
      <c r="L550" s="526" t="s">
        <v>315</v>
      </c>
      <c r="M550" s="527" t="s">
        <v>315</v>
      </c>
      <c r="N550" s="528" t="s">
        <v>315</v>
      </c>
      <c r="O550" s="663"/>
      <c r="P550" s="529"/>
      <c r="Q550" s="530" t="s">
        <v>315</v>
      </c>
      <c r="R550" s="530"/>
      <c r="S550" s="530"/>
      <c r="T550" s="566"/>
    </row>
    <row r="551" spans="1:20" s="508" customFormat="1" ht="135" hidden="1">
      <c r="A551" s="690"/>
      <c r="B551" s="507" t="s">
        <v>706</v>
      </c>
      <c r="C551" s="509" t="s">
        <v>4295</v>
      </c>
      <c r="D551" s="507" t="s">
        <v>988</v>
      </c>
      <c r="E551" s="519" t="str">
        <f>IF('GPS Anthro Tool'!$B$5=1,"ECE R129","")</f>
        <v/>
      </c>
      <c r="F551" s="507" t="s">
        <v>4243</v>
      </c>
      <c r="G551" s="509" t="s">
        <v>967</v>
      </c>
      <c r="H551" s="507" t="s">
        <v>989</v>
      </c>
      <c r="I551" s="507"/>
      <c r="J551" s="519" t="s">
        <v>3960</v>
      </c>
      <c r="K551" s="521" t="s">
        <v>605</v>
      </c>
      <c r="L551" s="526" t="s">
        <v>315</v>
      </c>
      <c r="M551" s="527" t="s">
        <v>315</v>
      </c>
      <c r="N551" s="528" t="s">
        <v>315</v>
      </c>
      <c r="O551" s="663"/>
      <c r="P551" s="529"/>
      <c r="Q551" s="530" t="s">
        <v>315</v>
      </c>
      <c r="R551" s="530"/>
      <c r="S551" s="530"/>
      <c r="T551" s="566"/>
    </row>
    <row r="552" spans="1:20" s="508" customFormat="1" ht="60" hidden="1">
      <c r="A552" s="690"/>
      <c r="B552" s="507" t="s">
        <v>706</v>
      </c>
      <c r="C552" s="509" t="s">
        <v>4295</v>
      </c>
      <c r="D552" s="507" t="s">
        <v>988</v>
      </c>
      <c r="E552" s="519" t="str">
        <f>IF('GPS Anthro Tool'!$B$5=1,"ECE R129","")</f>
        <v/>
      </c>
      <c r="F552" s="507" t="s">
        <v>4243</v>
      </c>
      <c r="G552" s="509" t="s">
        <v>967</v>
      </c>
      <c r="H552" s="507" t="s">
        <v>990</v>
      </c>
      <c r="I552" s="507"/>
      <c r="J552" s="519" t="s">
        <v>3960</v>
      </c>
      <c r="K552" s="521" t="s">
        <v>605</v>
      </c>
      <c r="L552" s="526" t="s">
        <v>315</v>
      </c>
      <c r="M552" s="527" t="s">
        <v>315</v>
      </c>
      <c r="N552" s="528" t="s">
        <v>315</v>
      </c>
      <c r="O552" s="663"/>
      <c r="P552" s="529"/>
      <c r="Q552" s="530" t="s">
        <v>315</v>
      </c>
      <c r="R552" s="530"/>
      <c r="S552" s="530"/>
      <c r="T552" s="566"/>
    </row>
    <row r="553" spans="1:20" s="508" customFormat="1" ht="30" hidden="1">
      <c r="A553" s="690"/>
      <c r="B553" s="507" t="s">
        <v>706</v>
      </c>
      <c r="C553" s="509" t="s">
        <v>4295</v>
      </c>
      <c r="D553" s="507" t="s">
        <v>991</v>
      </c>
      <c r="E553" s="519" t="str">
        <f>IF('GPS Anthro Tool'!$B$5=1,"ECE R129","")</f>
        <v/>
      </c>
      <c r="F553" s="507" t="s">
        <v>4243</v>
      </c>
      <c r="G553" s="509" t="s">
        <v>967</v>
      </c>
      <c r="H553" s="507" t="s">
        <v>992</v>
      </c>
      <c r="I553" s="507"/>
      <c r="J553" s="519" t="s">
        <v>3960</v>
      </c>
      <c r="K553" s="521" t="s">
        <v>605</v>
      </c>
      <c r="L553" s="526" t="s">
        <v>315</v>
      </c>
      <c r="M553" s="527" t="s">
        <v>315</v>
      </c>
      <c r="N553" s="528" t="s">
        <v>315</v>
      </c>
      <c r="O553" s="663"/>
      <c r="P553" s="529"/>
      <c r="Q553" s="530" t="s">
        <v>315</v>
      </c>
      <c r="R553" s="530"/>
      <c r="S553" s="530"/>
      <c r="T553" s="566"/>
    </row>
    <row r="554" spans="1:20" s="508" customFormat="1" ht="150" hidden="1">
      <c r="A554" s="690"/>
      <c r="B554" s="507" t="s">
        <v>706</v>
      </c>
      <c r="C554" s="509" t="s">
        <v>4295</v>
      </c>
      <c r="D554" s="507" t="s">
        <v>991</v>
      </c>
      <c r="E554" s="519" t="str">
        <f>IF('GPS Anthro Tool'!$B$5=1,"ECE R129","")</f>
        <v/>
      </c>
      <c r="F554" s="507" t="s">
        <v>4243</v>
      </c>
      <c r="G554" s="509" t="s">
        <v>967</v>
      </c>
      <c r="H554" s="507" t="s">
        <v>993</v>
      </c>
      <c r="I554" s="507"/>
      <c r="J554" s="519" t="s">
        <v>3960</v>
      </c>
      <c r="K554" s="521" t="s">
        <v>605</v>
      </c>
      <c r="L554" s="526" t="s">
        <v>315</v>
      </c>
      <c r="M554" s="527" t="s">
        <v>315</v>
      </c>
      <c r="N554" s="528" t="s">
        <v>315</v>
      </c>
      <c r="O554" s="663"/>
      <c r="P554" s="529"/>
      <c r="Q554" s="530" t="s">
        <v>315</v>
      </c>
      <c r="R554" s="530"/>
      <c r="S554" s="530"/>
      <c r="T554" s="566"/>
    </row>
    <row r="555" spans="1:20" s="508" customFormat="1" ht="30" hidden="1">
      <c r="A555" s="690"/>
      <c r="B555" s="507" t="s">
        <v>706</v>
      </c>
      <c r="C555" s="509" t="s">
        <v>4295</v>
      </c>
      <c r="D555" s="507" t="s">
        <v>991</v>
      </c>
      <c r="E555" s="519" t="str">
        <f>IF('GPS Anthro Tool'!$B$5=1,"ECE R129","")</f>
        <v/>
      </c>
      <c r="F555" s="507" t="s">
        <v>4243</v>
      </c>
      <c r="G555" s="509" t="s">
        <v>967</v>
      </c>
      <c r="H555" s="507" t="s">
        <v>994</v>
      </c>
      <c r="I555" s="507"/>
      <c r="J555" s="519" t="s">
        <v>3960</v>
      </c>
      <c r="K555" s="521" t="s">
        <v>605</v>
      </c>
      <c r="L555" s="526" t="s">
        <v>315</v>
      </c>
      <c r="M555" s="527" t="s">
        <v>315</v>
      </c>
      <c r="N555" s="528" t="s">
        <v>315</v>
      </c>
      <c r="O555" s="663"/>
      <c r="P555" s="529"/>
      <c r="Q555" s="530" t="s">
        <v>315</v>
      </c>
      <c r="R555" s="530"/>
      <c r="S555" s="530"/>
      <c r="T555" s="566"/>
    </row>
    <row r="556" spans="1:20" s="508" customFormat="1" ht="45" hidden="1">
      <c r="A556" s="690"/>
      <c r="B556" s="507" t="s">
        <v>706</v>
      </c>
      <c r="C556" s="509" t="s">
        <v>4295</v>
      </c>
      <c r="D556" s="507" t="s">
        <v>995</v>
      </c>
      <c r="E556" s="519" t="str">
        <f>IF('GPS Anthro Tool'!$B$5=1,"ECE R129","")</f>
        <v/>
      </c>
      <c r="F556" s="507" t="s">
        <v>4243</v>
      </c>
      <c r="G556" s="509" t="s">
        <v>967</v>
      </c>
      <c r="H556" s="507" t="s">
        <v>996</v>
      </c>
      <c r="I556" s="507"/>
      <c r="J556" s="519" t="s">
        <v>3960</v>
      </c>
      <c r="K556" s="521" t="s">
        <v>605</v>
      </c>
      <c r="L556" s="526" t="s">
        <v>315</v>
      </c>
      <c r="M556" s="527" t="s">
        <v>315</v>
      </c>
      <c r="N556" s="528" t="s">
        <v>315</v>
      </c>
      <c r="O556" s="663"/>
      <c r="P556" s="529"/>
      <c r="Q556" s="530" t="s">
        <v>315</v>
      </c>
      <c r="R556" s="530"/>
      <c r="S556" s="530"/>
      <c r="T556" s="566"/>
    </row>
    <row r="557" spans="1:20" s="508" customFormat="1" ht="75" hidden="1">
      <c r="A557" s="690"/>
      <c r="B557" s="507" t="s">
        <v>706</v>
      </c>
      <c r="C557" s="509" t="s">
        <v>4295</v>
      </c>
      <c r="D557" s="507" t="s">
        <v>997</v>
      </c>
      <c r="E557" s="519" t="str">
        <f>IF('GPS Anthro Tool'!$B$5=1,"ECE R129","")</f>
        <v/>
      </c>
      <c r="F557" s="507" t="s">
        <v>4243</v>
      </c>
      <c r="G557" s="509" t="s">
        <v>967</v>
      </c>
      <c r="H557" s="507" t="s">
        <v>998</v>
      </c>
      <c r="I557" s="507"/>
      <c r="J557" s="519" t="s">
        <v>3960</v>
      </c>
      <c r="K557" s="521" t="s">
        <v>605</v>
      </c>
      <c r="L557" s="526" t="s">
        <v>315</v>
      </c>
      <c r="M557" s="527" t="s">
        <v>315</v>
      </c>
      <c r="N557" s="528" t="s">
        <v>315</v>
      </c>
      <c r="O557" s="663"/>
      <c r="P557" s="529"/>
      <c r="Q557" s="530" t="s">
        <v>315</v>
      </c>
      <c r="R557" s="530"/>
      <c r="S557" s="530"/>
      <c r="T557" s="566"/>
    </row>
    <row r="558" spans="1:20" s="508" customFormat="1" ht="60" hidden="1">
      <c r="A558" s="690"/>
      <c r="B558" s="507" t="s">
        <v>706</v>
      </c>
      <c r="C558" s="509" t="s">
        <v>4295</v>
      </c>
      <c r="D558" s="507" t="s">
        <v>999</v>
      </c>
      <c r="E558" s="519" t="str">
        <f>IF('GPS Anthro Tool'!$B$5=1,"ECE R129","")</f>
        <v/>
      </c>
      <c r="F558" s="507" t="s">
        <v>4243</v>
      </c>
      <c r="G558" s="509" t="s">
        <v>967</v>
      </c>
      <c r="H558" s="507" t="s">
        <v>1000</v>
      </c>
      <c r="I558" s="507"/>
      <c r="J558" s="519" t="s">
        <v>3960</v>
      </c>
      <c r="K558" s="521" t="s">
        <v>605</v>
      </c>
      <c r="L558" s="526" t="s">
        <v>315</v>
      </c>
      <c r="M558" s="527" t="s">
        <v>315</v>
      </c>
      <c r="N558" s="528" t="s">
        <v>315</v>
      </c>
      <c r="O558" s="663"/>
      <c r="P558" s="529"/>
      <c r="Q558" s="530" t="s">
        <v>315</v>
      </c>
      <c r="R558" s="530"/>
      <c r="S558" s="530"/>
      <c r="T558" s="566"/>
    </row>
    <row r="559" spans="1:20" s="508" customFormat="1" ht="90" hidden="1">
      <c r="A559" s="690"/>
      <c r="B559" s="507" t="s">
        <v>706</v>
      </c>
      <c r="C559" s="509" t="s">
        <v>4295</v>
      </c>
      <c r="D559" s="507" t="s">
        <v>999</v>
      </c>
      <c r="E559" s="519" t="str">
        <f>IF('GPS Anthro Tool'!$B$5=1,"ECE R129","")</f>
        <v/>
      </c>
      <c r="F559" s="507" t="s">
        <v>4243</v>
      </c>
      <c r="G559" s="509" t="s">
        <v>967</v>
      </c>
      <c r="H559" s="507" t="s">
        <v>1001</v>
      </c>
      <c r="I559" s="507"/>
      <c r="J559" s="519" t="s">
        <v>3960</v>
      </c>
      <c r="K559" s="521" t="s">
        <v>605</v>
      </c>
      <c r="L559" s="526" t="s">
        <v>315</v>
      </c>
      <c r="M559" s="527" t="s">
        <v>315</v>
      </c>
      <c r="N559" s="528" t="s">
        <v>315</v>
      </c>
      <c r="O559" s="663"/>
      <c r="P559" s="529"/>
      <c r="Q559" s="530" t="s">
        <v>315</v>
      </c>
      <c r="R559" s="530"/>
      <c r="S559" s="530"/>
      <c r="T559" s="566"/>
    </row>
    <row r="560" spans="1:20" s="508" customFormat="1" ht="30" hidden="1">
      <c r="A560" s="690"/>
      <c r="B560" s="507" t="s">
        <v>706</v>
      </c>
      <c r="C560" s="509" t="s">
        <v>4295</v>
      </c>
      <c r="D560" s="507" t="s">
        <v>1002</v>
      </c>
      <c r="E560" s="519" t="str">
        <f>IF('GPS Anthro Tool'!$B$5=1,"ECE R129","")</f>
        <v/>
      </c>
      <c r="F560" s="507" t="s">
        <v>4243</v>
      </c>
      <c r="G560" s="509" t="s">
        <v>967</v>
      </c>
      <c r="H560" s="507" t="s">
        <v>1003</v>
      </c>
      <c r="I560" s="507"/>
      <c r="J560" s="519" t="s">
        <v>3960</v>
      </c>
      <c r="K560" s="521" t="s">
        <v>605</v>
      </c>
      <c r="L560" s="526" t="s">
        <v>315</v>
      </c>
      <c r="M560" s="527" t="s">
        <v>315</v>
      </c>
      <c r="N560" s="528" t="s">
        <v>315</v>
      </c>
      <c r="O560" s="663"/>
      <c r="P560" s="529"/>
      <c r="Q560" s="530" t="s">
        <v>315</v>
      </c>
      <c r="R560" s="530"/>
      <c r="S560" s="530"/>
      <c r="T560" s="566"/>
    </row>
    <row r="561" spans="1:20" s="508" customFormat="1" ht="30" hidden="1">
      <c r="A561" s="690"/>
      <c r="B561" s="507" t="s">
        <v>706</v>
      </c>
      <c r="C561" s="509" t="s">
        <v>4295</v>
      </c>
      <c r="D561" s="507" t="s">
        <v>1002</v>
      </c>
      <c r="E561" s="519" t="str">
        <f>IF('GPS Anthro Tool'!$B$5=1,"ECE R129","")</f>
        <v/>
      </c>
      <c r="F561" s="507" t="s">
        <v>4243</v>
      </c>
      <c r="G561" s="509" t="s">
        <v>967</v>
      </c>
      <c r="H561" s="507" t="s">
        <v>1004</v>
      </c>
      <c r="I561" s="507"/>
      <c r="J561" s="519" t="s">
        <v>3960</v>
      </c>
      <c r="K561" s="521" t="s">
        <v>605</v>
      </c>
      <c r="L561" s="526" t="s">
        <v>315</v>
      </c>
      <c r="M561" s="527" t="s">
        <v>315</v>
      </c>
      <c r="N561" s="528" t="s">
        <v>315</v>
      </c>
      <c r="O561" s="663"/>
      <c r="P561" s="529"/>
      <c r="Q561" s="530" t="s">
        <v>315</v>
      </c>
      <c r="R561" s="530"/>
      <c r="S561" s="530"/>
      <c r="T561" s="566"/>
    </row>
    <row r="562" spans="1:20" s="508" customFormat="1" ht="78" hidden="1">
      <c r="A562" s="690"/>
      <c r="B562" s="519" t="s">
        <v>706</v>
      </c>
      <c r="C562" s="509" t="s">
        <v>4295</v>
      </c>
      <c r="D562" s="534" t="s">
        <v>1005</v>
      </c>
      <c r="E562" s="519" t="str">
        <f>IF('GPS Anthro Tool'!$B$5=1,"ECE R129","")</f>
        <v/>
      </c>
      <c r="F562" s="507" t="s">
        <v>4243</v>
      </c>
      <c r="G562" s="509" t="s">
        <v>967</v>
      </c>
      <c r="H562" s="507" t="s">
        <v>3492</v>
      </c>
      <c r="I562" s="507"/>
      <c r="J562" s="519" t="s">
        <v>3960</v>
      </c>
      <c r="K562" s="521" t="s">
        <v>605</v>
      </c>
      <c r="L562" s="526" t="s">
        <v>315</v>
      </c>
      <c r="M562" s="527" t="s">
        <v>315</v>
      </c>
      <c r="N562" s="528" t="s">
        <v>315</v>
      </c>
      <c r="O562" s="663"/>
      <c r="P562" s="529"/>
      <c r="Q562" s="530" t="s">
        <v>315</v>
      </c>
      <c r="R562" s="530"/>
      <c r="S562" s="530"/>
      <c r="T562" s="566"/>
    </row>
    <row r="563" spans="1:20" s="508" customFormat="1" ht="75" hidden="1">
      <c r="A563" s="690"/>
      <c r="B563" s="519" t="s">
        <v>706</v>
      </c>
      <c r="C563" s="509" t="s">
        <v>4295</v>
      </c>
      <c r="D563" s="507" t="s">
        <v>1006</v>
      </c>
      <c r="E563" s="519" t="str">
        <f>IF('GPS Anthro Tool'!$B$5=1,"ECE R129","")</f>
        <v/>
      </c>
      <c r="F563" s="507" t="s">
        <v>4243</v>
      </c>
      <c r="G563" s="509" t="s">
        <v>967</v>
      </c>
      <c r="H563" s="507" t="s">
        <v>1007</v>
      </c>
      <c r="I563" s="507"/>
      <c r="J563" s="519" t="s">
        <v>3960</v>
      </c>
      <c r="K563" s="521" t="s">
        <v>605</v>
      </c>
      <c r="L563" s="526" t="s">
        <v>315</v>
      </c>
      <c r="M563" s="527" t="s">
        <v>315</v>
      </c>
      <c r="N563" s="528" t="s">
        <v>315</v>
      </c>
      <c r="O563" s="663"/>
      <c r="P563" s="529"/>
      <c r="Q563" s="530" t="s">
        <v>315</v>
      </c>
      <c r="R563" s="530"/>
      <c r="S563" s="530"/>
      <c r="T563" s="566"/>
    </row>
    <row r="564" spans="1:20" s="537" customFormat="1" ht="45" hidden="1">
      <c r="A564" s="690"/>
      <c r="B564" s="519" t="s">
        <v>706</v>
      </c>
      <c r="C564" s="509" t="s">
        <v>4295</v>
      </c>
      <c r="D564" s="507" t="s">
        <v>1008</v>
      </c>
      <c r="E564" s="519" t="str">
        <f>IF('GPS Anthro Tool'!$B$5=1,"ECE R129","")</f>
        <v/>
      </c>
      <c r="F564" s="507" t="s">
        <v>4243</v>
      </c>
      <c r="G564" s="509" t="s">
        <v>967</v>
      </c>
      <c r="H564" s="507" t="s">
        <v>1009</v>
      </c>
      <c r="I564" s="507"/>
      <c r="J564" s="519" t="s">
        <v>3960</v>
      </c>
      <c r="K564" s="521" t="s">
        <v>605</v>
      </c>
      <c r="L564" s="526" t="s">
        <v>315</v>
      </c>
      <c r="M564" s="527" t="s">
        <v>315</v>
      </c>
      <c r="N564" s="528" t="s">
        <v>315</v>
      </c>
      <c r="O564" s="663"/>
      <c r="P564" s="529"/>
      <c r="Q564" s="530" t="s">
        <v>315</v>
      </c>
      <c r="R564" s="530"/>
      <c r="S564" s="530"/>
      <c r="T564" s="566"/>
    </row>
    <row r="565" spans="1:20" s="537" customFormat="1" ht="30" hidden="1">
      <c r="A565" s="690"/>
      <c r="B565" s="519" t="s">
        <v>706</v>
      </c>
      <c r="C565" s="509" t="s">
        <v>4295</v>
      </c>
      <c r="D565" s="534" t="s">
        <v>1010</v>
      </c>
      <c r="E565" s="519" t="str">
        <f>IF('GPS Anthro Tool'!$B$5=1,"ECE R129","")</f>
        <v/>
      </c>
      <c r="F565" s="507" t="s">
        <v>4243</v>
      </c>
      <c r="G565" s="509" t="s">
        <v>967</v>
      </c>
      <c r="H565" s="507" t="s">
        <v>1011</v>
      </c>
      <c r="I565" s="507"/>
      <c r="J565" s="519" t="s">
        <v>3960</v>
      </c>
      <c r="K565" s="521" t="s">
        <v>605</v>
      </c>
      <c r="L565" s="526" t="s">
        <v>315</v>
      </c>
      <c r="M565" s="527" t="s">
        <v>315</v>
      </c>
      <c r="N565" s="528" t="s">
        <v>315</v>
      </c>
      <c r="O565" s="663"/>
      <c r="P565" s="529"/>
      <c r="Q565" s="530" t="s">
        <v>315</v>
      </c>
      <c r="R565" s="530"/>
      <c r="S565" s="530"/>
      <c r="T565" s="566"/>
    </row>
    <row r="566" spans="1:20" s="537" customFormat="1" ht="92.25" hidden="1">
      <c r="A566" s="690"/>
      <c r="B566" s="519" t="s">
        <v>706</v>
      </c>
      <c r="C566" s="509" t="s">
        <v>4295</v>
      </c>
      <c r="D566" s="534" t="s">
        <v>1010</v>
      </c>
      <c r="E566" s="519" t="str">
        <f>IF('GPS Anthro Tool'!$B$5=1,"ECE R129","")</f>
        <v/>
      </c>
      <c r="F566" s="507" t="s">
        <v>4243</v>
      </c>
      <c r="G566" s="509" t="s">
        <v>967</v>
      </c>
      <c r="H566" s="669" t="s">
        <v>3493</v>
      </c>
      <c r="I566" s="507"/>
      <c r="J566" s="519" t="s">
        <v>3960</v>
      </c>
      <c r="K566" s="521" t="s">
        <v>605</v>
      </c>
      <c r="L566" s="526" t="s">
        <v>315</v>
      </c>
      <c r="M566" s="527" t="s">
        <v>315</v>
      </c>
      <c r="N566" s="528" t="s">
        <v>315</v>
      </c>
      <c r="O566" s="663"/>
      <c r="P566" s="529"/>
      <c r="Q566" s="530" t="s">
        <v>315</v>
      </c>
      <c r="R566" s="530"/>
      <c r="S566" s="530"/>
      <c r="T566" s="566"/>
    </row>
    <row r="567" spans="1:20" s="537" customFormat="1" ht="150" hidden="1">
      <c r="A567" s="518"/>
      <c r="B567" s="519" t="s">
        <v>706</v>
      </c>
      <c r="C567" s="509" t="s">
        <v>4295</v>
      </c>
      <c r="D567" s="534" t="s">
        <v>1010</v>
      </c>
      <c r="E567" s="519" t="str">
        <f>IF('GPS Anthro Tool'!$B$5=1,"ECE R129","")</f>
        <v/>
      </c>
      <c r="F567" s="507" t="s">
        <v>4243</v>
      </c>
      <c r="G567" s="509" t="s">
        <v>967</v>
      </c>
      <c r="H567" s="507" t="s">
        <v>1012</v>
      </c>
      <c r="I567" s="507"/>
      <c r="J567" s="519" t="s">
        <v>3960</v>
      </c>
      <c r="K567" s="521" t="s">
        <v>605</v>
      </c>
      <c r="L567" s="526" t="s">
        <v>315</v>
      </c>
      <c r="M567" s="527" t="s">
        <v>315</v>
      </c>
      <c r="N567" s="528" t="s">
        <v>315</v>
      </c>
      <c r="O567" s="663"/>
      <c r="P567" s="529"/>
      <c r="Q567" s="530" t="s">
        <v>315</v>
      </c>
      <c r="R567" s="530"/>
      <c r="S567" s="530"/>
      <c r="T567" s="566"/>
    </row>
    <row r="568" spans="1:20" s="537" customFormat="1" ht="75" hidden="1">
      <c r="A568" s="518"/>
      <c r="B568" s="507" t="s">
        <v>1163</v>
      </c>
      <c r="C568" s="534" t="s">
        <v>1409</v>
      </c>
      <c r="D568" s="534" t="s">
        <v>1410</v>
      </c>
      <c r="E568" s="519" t="str">
        <f>IF('GPS Anthro Tool'!$B$5=1,"ECE R129","")</f>
        <v/>
      </c>
      <c r="F568" s="507" t="s">
        <v>4243</v>
      </c>
      <c r="G568" s="520" t="s">
        <v>1405</v>
      </c>
      <c r="H568" s="506" t="s">
        <v>959</v>
      </c>
      <c r="I568" s="507" t="s">
        <v>1411</v>
      </c>
      <c r="J568" s="519" t="s">
        <v>3960</v>
      </c>
      <c r="K568" s="521" t="s">
        <v>605</v>
      </c>
      <c r="L568" s="526" t="s">
        <v>315</v>
      </c>
      <c r="M568" s="527" t="s">
        <v>315</v>
      </c>
      <c r="N568" s="528" t="s">
        <v>315</v>
      </c>
      <c r="O568" s="663"/>
      <c r="P568" s="529"/>
      <c r="Q568" s="530" t="s">
        <v>315</v>
      </c>
      <c r="R568" s="530"/>
      <c r="S568" s="530"/>
      <c r="T568" s="566"/>
    </row>
    <row r="569" spans="1:20" s="537" customFormat="1" ht="105" hidden="1">
      <c r="A569" s="518"/>
      <c r="B569" s="507" t="s">
        <v>1163</v>
      </c>
      <c r="C569" s="534" t="s">
        <v>1412</v>
      </c>
      <c r="D569" s="534" t="s">
        <v>1413</v>
      </c>
      <c r="E569" s="519" t="str">
        <f>IF('GPS Anthro Tool'!$B$5=1,"ECE R129","")</f>
        <v/>
      </c>
      <c r="F569" s="507" t="s">
        <v>4243</v>
      </c>
      <c r="G569" s="520" t="s">
        <v>1405</v>
      </c>
      <c r="H569" s="506" t="s">
        <v>959</v>
      </c>
      <c r="I569" s="507" t="s">
        <v>1414</v>
      </c>
      <c r="J569" s="519" t="s">
        <v>3960</v>
      </c>
      <c r="K569" s="521" t="s">
        <v>605</v>
      </c>
      <c r="L569" s="526" t="s">
        <v>315</v>
      </c>
      <c r="M569" s="527" t="s">
        <v>315</v>
      </c>
      <c r="N569" s="528" t="s">
        <v>315</v>
      </c>
      <c r="O569" s="663"/>
      <c r="P569" s="529"/>
      <c r="Q569" s="530" t="s">
        <v>315</v>
      </c>
      <c r="R569" s="530"/>
      <c r="S569" s="530"/>
      <c r="T569" s="566"/>
    </row>
    <row r="570" spans="1:20" s="537" customFormat="1" ht="105" hidden="1">
      <c r="A570" s="518"/>
      <c r="B570" s="507" t="s">
        <v>1163</v>
      </c>
      <c r="C570" s="534" t="s">
        <v>1421</v>
      </c>
      <c r="D570" s="534" t="s">
        <v>1422</v>
      </c>
      <c r="E570" s="519" t="str">
        <f>IF('GPS Anthro Tool'!$B$5=1,"ECE R129","")</f>
        <v/>
      </c>
      <c r="F570" s="507" t="s">
        <v>4243</v>
      </c>
      <c r="G570" s="520" t="s">
        <v>1417</v>
      </c>
      <c r="H570" s="506" t="s">
        <v>959</v>
      </c>
      <c r="I570" s="507" t="s">
        <v>1423</v>
      </c>
      <c r="J570" s="519" t="s">
        <v>3960</v>
      </c>
      <c r="K570" s="521" t="s">
        <v>605</v>
      </c>
      <c r="L570" s="526" t="s">
        <v>315</v>
      </c>
      <c r="M570" s="527" t="s">
        <v>315</v>
      </c>
      <c r="N570" s="528" t="s">
        <v>315</v>
      </c>
      <c r="O570" s="663"/>
      <c r="P570" s="529"/>
      <c r="Q570" s="530" t="s">
        <v>315</v>
      </c>
      <c r="R570" s="530"/>
      <c r="S570" s="530"/>
      <c r="T570" s="566"/>
    </row>
    <row r="571" spans="1:20" s="537" customFormat="1" ht="165" hidden="1">
      <c r="A571" s="518"/>
      <c r="B571" s="507" t="s">
        <v>1163</v>
      </c>
      <c r="C571" s="534" t="s">
        <v>1424</v>
      </c>
      <c r="D571" s="534" t="s">
        <v>1425</v>
      </c>
      <c r="E571" s="519" t="str">
        <f>IF('GPS Anthro Tool'!$B$5=1,"ECE R129","")</f>
        <v/>
      </c>
      <c r="F571" s="507" t="s">
        <v>4243</v>
      </c>
      <c r="G571" s="520" t="s">
        <v>1417</v>
      </c>
      <c r="H571" s="506" t="s">
        <v>959</v>
      </c>
      <c r="I571" s="507" t="s">
        <v>1426</v>
      </c>
      <c r="J571" s="519" t="s">
        <v>3960</v>
      </c>
      <c r="K571" s="521" t="s">
        <v>605</v>
      </c>
      <c r="L571" s="526" t="s">
        <v>315</v>
      </c>
      <c r="M571" s="527" t="s">
        <v>315</v>
      </c>
      <c r="N571" s="528" t="s">
        <v>315</v>
      </c>
      <c r="O571" s="663"/>
      <c r="P571" s="529"/>
      <c r="Q571" s="530" t="s">
        <v>315</v>
      </c>
      <c r="R571" s="530"/>
      <c r="S571" s="530"/>
      <c r="T571" s="566"/>
    </row>
    <row r="572" spans="1:20" s="537" customFormat="1" ht="165" hidden="1">
      <c r="A572" s="518"/>
      <c r="B572" s="507" t="s">
        <v>1163</v>
      </c>
      <c r="C572" s="534" t="s">
        <v>1431</v>
      </c>
      <c r="D572" s="534" t="s">
        <v>1432</v>
      </c>
      <c r="E572" s="519" t="str">
        <f>IF('GPS Anthro Tool'!$B$5=1,"ECE R129","")</f>
        <v/>
      </c>
      <c r="F572" s="507" t="s">
        <v>4243</v>
      </c>
      <c r="G572" s="520" t="s">
        <v>1429</v>
      </c>
      <c r="H572" s="506" t="s">
        <v>959</v>
      </c>
      <c r="I572" s="507" t="s">
        <v>1433</v>
      </c>
      <c r="J572" s="519" t="s">
        <v>3960</v>
      </c>
      <c r="K572" s="521" t="s">
        <v>605</v>
      </c>
      <c r="L572" s="526" t="s">
        <v>315</v>
      </c>
      <c r="M572" s="527" t="s">
        <v>315</v>
      </c>
      <c r="N572" s="528" t="s">
        <v>315</v>
      </c>
      <c r="O572" s="663"/>
      <c r="P572" s="529"/>
      <c r="Q572" s="530" t="s">
        <v>315</v>
      </c>
      <c r="R572" s="530"/>
      <c r="S572" s="530"/>
      <c r="T572" s="566"/>
    </row>
    <row r="573" spans="1:20" s="537" customFormat="1" ht="75" hidden="1">
      <c r="A573" s="518"/>
      <c r="B573" s="519" t="s">
        <v>606</v>
      </c>
      <c r="C573" s="520" t="s">
        <v>3958</v>
      </c>
      <c r="D573" s="536" t="s">
        <v>634</v>
      </c>
      <c r="E573" s="519" t="str">
        <f>IF('GPS Anthro Tool'!$B$5=1,"ECE R129","")</f>
        <v/>
      </c>
      <c r="F573" s="507" t="s">
        <v>4243</v>
      </c>
      <c r="G573" s="509" t="s">
        <v>623</v>
      </c>
      <c r="H573" s="507" t="s">
        <v>635</v>
      </c>
      <c r="I573" s="520"/>
      <c r="J573" s="519" t="s">
        <v>3960</v>
      </c>
      <c r="K573" s="521" t="s">
        <v>605</v>
      </c>
      <c r="L573" s="526" t="s">
        <v>315</v>
      </c>
      <c r="M573" s="527" t="s">
        <v>315</v>
      </c>
      <c r="N573" s="528" t="s">
        <v>315</v>
      </c>
      <c r="O573" s="663"/>
      <c r="P573" s="529"/>
      <c r="Q573" s="530" t="s">
        <v>315</v>
      </c>
      <c r="R573" s="530"/>
      <c r="S573" s="530"/>
      <c r="T573" s="566"/>
    </row>
    <row r="574" spans="1:20" s="537" customFormat="1" ht="45" hidden="1">
      <c r="A574" s="518"/>
      <c r="B574" s="519" t="s">
        <v>606</v>
      </c>
      <c r="C574" s="520" t="s">
        <v>3958</v>
      </c>
      <c r="D574" s="536" t="s">
        <v>636</v>
      </c>
      <c r="E574" s="519" t="str">
        <f>IF('GPS Anthro Tool'!$B$5=1,"ECE R129","")</f>
        <v/>
      </c>
      <c r="F574" s="507" t="s">
        <v>4243</v>
      </c>
      <c r="G574" s="509" t="s">
        <v>623</v>
      </c>
      <c r="H574" s="507" t="s">
        <v>637</v>
      </c>
      <c r="I574" s="520"/>
      <c r="J574" s="519" t="s">
        <v>3960</v>
      </c>
      <c r="K574" s="521" t="s">
        <v>605</v>
      </c>
      <c r="L574" s="526" t="s">
        <v>315</v>
      </c>
      <c r="M574" s="527" t="s">
        <v>315</v>
      </c>
      <c r="N574" s="528" t="s">
        <v>315</v>
      </c>
      <c r="O574" s="663"/>
      <c r="P574" s="529"/>
      <c r="Q574" s="530" t="s">
        <v>315</v>
      </c>
      <c r="R574" s="530"/>
      <c r="S574" s="530"/>
      <c r="T574" s="566"/>
    </row>
    <row r="575" spans="1:20" s="537" customFormat="1" ht="30" hidden="1">
      <c r="A575" s="518"/>
      <c r="B575" s="519" t="s">
        <v>606</v>
      </c>
      <c r="C575" s="520" t="s">
        <v>3958</v>
      </c>
      <c r="D575" s="536" t="s">
        <v>640</v>
      </c>
      <c r="E575" s="519" t="str">
        <f>IF('GPS Anthro Tool'!$B$5=1,"ECE R129","")</f>
        <v/>
      </c>
      <c r="F575" s="507" t="s">
        <v>4243</v>
      </c>
      <c r="G575" s="509" t="s">
        <v>623</v>
      </c>
      <c r="H575" s="507" t="s">
        <v>641</v>
      </c>
      <c r="I575" s="520"/>
      <c r="J575" s="519" t="s">
        <v>3960</v>
      </c>
      <c r="K575" s="521" t="s">
        <v>605</v>
      </c>
      <c r="L575" s="526" t="s">
        <v>315</v>
      </c>
      <c r="M575" s="527" t="s">
        <v>315</v>
      </c>
      <c r="N575" s="528" t="s">
        <v>315</v>
      </c>
      <c r="O575" s="663"/>
      <c r="P575" s="529"/>
      <c r="Q575" s="530" t="s">
        <v>315</v>
      </c>
      <c r="R575" s="530"/>
      <c r="S575" s="530"/>
      <c r="T575" s="566"/>
    </row>
    <row r="576" spans="1:20" s="537" customFormat="1" ht="30" hidden="1">
      <c r="A576" s="518"/>
      <c r="B576" s="519" t="s">
        <v>606</v>
      </c>
      <c r="C576" s="520" t="s">
        <v>3958</v>
      </c>
      <c r="D576" s="507" t="s">
        <v>642</v>
      </c>
      <c r="E576" s="519" t="str">
        <f>IF('GPS Anthro Tool'!$B$5=1,"ECE R129","")</f>
        <v/>
      </c>
      <c r="F576" s="507" t="s">
        <v>4243</v>
      </c>
      <c r="G576" s="509" t="s">
        <v>623</v>
      </c>
      <c r="H576" s="507" t="s">
        <v>643</v>
      </c>
      <c r="I576" s="520"/>
      <c r="J576" s="519" t="s">
        <v>3960</v>
      </c>
      <c r="K576" s="521" t="s">
        <v>605</v>
      </c>
      <c r="L576" s="526" t="s">
        <v>315</v>
      </c>
      <c r="M576" s="527" t="s">
        <v>315</v>
      </c>
      <c r="N576" s="528" t="s">
        <v>315</v>
      </c>
      <c r="O576" s="663"/>
      <c r="P576" s="529"/>
      <c r="Q576" s="530" t="s">
        <v>315</v>
      </c>
      <c r="R576" s="530"/>
      <c r="S576" s="530"/>
      <c r="T576" s="566"/>
    </row>
    <row r="577" spans="1:20" s="537" customFormat="1" ht="30" hidden="1">
      <c r="A577" s="518"/>
      <c r="B577" s="519" t="s">
        <v>606</v>
      </c>
      <c r="C577" s="520" t="s">
        <v>3958</v>
      </c>
      <c r="D577" s="536" t="s">
        <v>642</v>
      </c>
      <c r="E577" s="519" t="str">
        <f>IF('GPS Anthro Tool'!$B$5=1,"ECE R129","")</f>
        <v/>
      </c>
      <c r="F577" s="507" t="s">
        <v>4243</v>
      </c>
      <c r="G577" s="509" t="s">
        <v>623</v>
      </c>
      <c r="H577" s="507" t="s">
        <v>644</v>
      </c>
      <c r="I577" s="520"/>
      <c r="J577" s="519" t="s">
        <v>3960</v>
      </c>
      <c r="K577" s="521" t="s">
        <v>605</v>
      </c>
      <c r="L577" s="526" t="s">
        <v>315</v>
      </c>
      <c r="M577" s="527" t="s">
        <v>315</v>
      </c>
      <c r="N577" s="528" t="s">
        <v>315</v>
      </c>
      <c r="O577" s="663"/>
      <c r="P577" s="529"/>
      <c r="Q577" s="530" t="s">
        <v>315</v>
      </c>
      <c r="R577" s="530"/>
      <c r="S577" s="530"/>
      <c r="T577" s="566"/>
    </row>
    <row r="578" spans="1:20" s="537" customFormat="1" ht="30" hidden="1">
      <c r="A578" s="518"/>
      <c r="B578" s="519" t="s">
        <v>606</v>
      </c>
      <c r="C578" s="520" t="s">
        <v>3958</v>
      </c>
      <c r="D578" s="536" t="s">
        <v>638</v>
      </c>
      <c r="E578" s="519" t="str">
        <f>IF('GPS Anthro Tool'!$B$5=1,"ECE R129","")</f>
        <v/>
      </c>
      <c r="F578" s="507" t="s">
        <v>4243</v>
      </c>
      <c r="G578" s="509" t="s">
        <v>623</v>
      </c>
      <c r="H578" s="507" t="s">
        <v>639</v>
      </c>
      <c r="I578" s="520"/>
      <c r="J578" s="519" t="s">
        <v>3960</v>
      </c>
      <c r="K578" s="521" t="s">
        <v>605</v>
      </c>
      <c r="L578" s="526" t="s">
        <v>315</v>
      </c>
      <c r="M578" s="527" t="s">
        <v>315</v>
      </c>
      <c r="N578" s="528" t="s">
        <v>315</v>
      </c>
      <c r="O578" s="663"/>
      <c r="P578" s="529"/>
      <c r="Q578" s="530" t="s">
        <v>315</v>
      </c>
      <c r="R578" s="530"/>
      <c r="S578" s="530"/>
      <c r="T578" s="566"/>
    </row>
    <row r="579" spans="1:20" s="537" customFormat="1" ht="30" hidden="1">
      <c r="A579" s="518"/>
      <c r="B579" s="519" t="s">
        <v>606</v>
      </c>
      <c r="C579" s="520" t="s">
        <v>3958</v>
      </c>
      <c r="D579" s="536" t="s">
        <v>645</v>
      </c>
      <c r="E579" s="519" t="str">
        <f>IF('GPS Anthro Tool'!$B$5=1,"ECE R129","")</f>
        <v/>
      </c>
      <c r="F579" s="507" t="s">
        <v>4243</v>
      </c>
      <c r="G579" s="509" t="s">
        <v>623</v>
      </c>
      <c r="H579" s="507" t="s">
        <v>646</v>
      </c>
      <c r="I579" s="520"/>
      <c r="J579" s="519" t="s">
        <v>3960</v>
      </c>
      <c r="K579" s="521" t="s">
        <v>605</v>
      </c>
      <c r="L579" s="526" t="s">
        <v>315</v>
      </c>
      <c r="M579" s="527" t="s">
        <v>315</v>
      </c>
      <c r="N579" s="528" t="s">
        <v>315</v>
      </c>
      <c r="O579" s="663"/>
      <c r="P579" s="529"/>
      <c r="Q579" s="530" t="s">
        <v>315</v>
      </c>
      <c r="R579" s="530"/>
      <c r="S579" s="530"/>
      <c r="T579" s="566"/>
    </row>
    <row r="580" spans="1:20" s="537" customFormat="1" ht="30" hidden="1">
      <c r="A580" s="518"/>
      <c r="B580" s="519" t="s">
        <v>606</v>
      </c>
      <c r="C580" s="520" t="s">
        <v>3958</v>
      </c>
      <c r="D580" s="536" t="s">
        <v>647</v>
      </c>
      <c r="E580" s="519" t="str">
        <f>IF('GPS Anthro Tool'!$B$5=1,"ECE R129","")</f>
        <v/>
      </c>
      <c r="F580" s="507" t="s">
        <v>4243</v>
      </c>
      <c r="G580" s="509" t="s">
        <v>623</v>
      </c>
      <c r="H580" s="507" t="s">
        <v>648</v>
      </c>
      <c r="I580" s="520"/>
      <c r="J580" s="519" t="s">
        <v>3960</v>
      </c>
      <c r="K580" s="521" t="s">
        <v>605</v>
      </c>
      <c r="L580" s="526" t="s">
        <v>315</v>
      </c>
      <c r="M580" s="527" t="s">
        <v>315</v>
      </c>
      <c r="N580" s="528" t="s">
        <v>315</v>
      </c>
      <c r="O580" s="663"/>
      <c r="P580" s="529"/>
      <c r="Q580" s="530" t="s">
        <v>315</v>
      </c>
      <c r="R580" s="530"/>
      <c r="S580" s="530"/>
      <c r="T580" s="566"/>
    </row>
    <row r="581" spans="1:20" s="537" customFormat="1" ht="30" hidden="1">
      <c r="A581" s="518"/>
      <c r="B581" s="519" t="s">
        <v>606</v>
      </c>
      <c r="C581" s="520" t="s">
        <v>3958</v>
      </c>
      <c r="D581" s="536" t="s">
        <v>649</v>
      </c>
      <c r="E581" s="519" t="str">
        <f>IF('GPS Anthro Tool'!$B$5=1,"ECE R129","")</f>
        <v/>
      </c>
      <c r="F581" s="507" t="s">
        <v>4243</v>
      </c>
      <c r="G581" s="509" t="s">
        <v>623</v>
      </c>
      <c r="H581" s="507" t="s">
        <v>650</v>
      </c>
      <c r="I581" s="520"/>
      <c r="J581" s="519" t="s">
        <v>3960</v>
      </c>
      <c r="K581" s="521" t="s">
        <v>605</v>
      </c>
      <c r="L581" s="526" t="s">
        <v>315</v>
      </c>
      <c r="M581" s="527" t="s">
        <v>315</v>
      </c>
      <c r="N581" s="528" t="s">
        <v>315</v>
      </c>
      <c r="O581" s="663"/>
      <c r="P581" s="529"/>
      <c r="Q581" s="530" t="s">
        <v>315</v>
      </c>
      <c r="R581" s="530"/>
      <c r="S581" s="530"/>
      <c r="T581" s="566"/>
    </row>
    <row r="582" spans="1:20" s="537" customFormat="1" ht="30" hidden="1">
      <c r="A582" s="518"/>
      <c r="B582" s="519" t="s">
        <v>606</v>
      </c>
      <c r="C582" s="520" t="s">
        <v>3958</v>
      </c>
      <c r="D582" s="507" t="s">
        <v>649</v>
      </c>
      <c r="E582" s="519" t="str">
        <f>IF('GPS Anthro Tool'!$B$5=1,"ECE R129","")</f>
        <v/>
      </c>
      <c r="F582" s="507" t="s">
        <v>4243</v>
      </c>
      <c r="G582" s="509" t="s">
        <v>623</v>
      </c>
      <c r="H582" s="507" t="s">
        <v>651</v>
      </c>
      <c r="I582" s="520"/>
      <c r="J582" s="519" t="s">
        <v>3960</v>
      </c>
      <c r="K582" s="521" t="s">
        <v>605</v>
      </c>
      <c r="L582" s="526" t="s">
        <v>315</v>
      </c>
      <c r="M582" s="527" t="s">
        <v>315</v>
      </c>
      <c r="N582" s="528" t="s">
        <v>315</v>
      </c>
      <c r="O582" s="663"/>
      <c r="P582" s="529"/>
      <c r="Q582" s="530" t="s">
        <v>315</v>
      </c>
      <c r="R582" s="530"/>
      <c r="S582" s="530"/>
      <c r="T582" s="566"/>
    </row>
    <row r="583" spans="1:20" s="537" customFormat="1" ht="60" hidden="1">
      <c r="A583" s="518"/>
      <c r="B583" s="519" t="s">
        <v>606</v>
      </c>
      <c r="C583" s="520" t="s">
        <v>3958</v>
      </c>
      <c r="D583" s="507" t="s">
        <v>652</v>
      </c>
      <c r="E583" s="519" t="str">
        <f>IF('GPS Anthro Tool'!$B$5=1,"ECE R129","")</f>
        <v/>
      </c>
      <c r="F583" s="507" t="s">
        <v>4243</v>
      </c>
      <c r="G583" s="509" t="s">
        <v>623</v>
      </c>
      <c r="H583" s="507" t="s">
        <v>653</v>
      </c>
      <c r="I583" s="520"/>
      <c r="J583" s="519" t="s">
        <v>3960</v>
      </c>
      <c r="K583" s="521" t="s">
        <v>605</v>
      </c>
      <c r="L583" s="526" t="s">
        <v>315</v>
      </c>
      <c r="M583" s="527" t="s">
        <v>315</v>
      </c>
      <c r="N583" s="528" t="s">
        <v>315</v>
      </c>
      <c r="O583" s="663"/>
      <c r="P583" s="529"/>
      <c r="Q583" s="530" t="s">
        <v>315</v>
      </c>
      <c r="R583" s="530"/>
      <c r="S583" s="530"/>
      <c r="T583" s="566"/>
    </row>
    <row r="584" spans="1:20" s="537" customFormat="1" ht="30" hidden="1">
      <c r="A584" s="518"/>
      <c r="B584" s="519" t="s">
        <v>606</v>
      </c>
      <c r="C584" s="520" t="s">
        <v>3958</v>
      </c>
      <c r="D584" s="507" t="s">
        <v>654</v>
      </c>
      <c r="E584" s="519" t="str">
        <f>IF('GPS Anthro Tool'!$B$5=1,"ECE R129","")</f>
        <v/>
      </c>
      <c r="F584" s="507" t="s">
        <v>4243</v>
      </c>
      <c r="G584" s="509" t="s">
        <v>623</v>
      </c>
      <c r="H584" s="507" t="s">
        <v>655</v>
      </c>
      <c r="I584" s="520"/>
      <c r="J584" s="519" t="s">
        <v>3960</v>
      </c>
      <c r="K584" s="521" t="s">
        <v>605</v>
      </c>
      <c r="L584" s="526" t="s">
        <v>315</v>
      </c>
      <c r="M584" s="527" t="s">
        <v>315</v>
      </c>
      <c r="N584" s="528" t="s">
        <v>315</v>
      </c>
      <c r="O584" s="663"/>
      <c r="P584" s="529"/>
      <c r="Q584" s="530" t="s">
        <v>315</v>
      </c>
      <c r="R584" s="530"/>
      <c r="S584" s="530"/>
      <c r="T584" s="566"/>
    </row>
    <row r="585" spans="1:20" s="537" customFormat="1" ht="30" hidden="1">
      <c r="A585" s="518"/>
      <c r="B585" s="519" t="s">
        <v>606</v>
      </c>
      <c r="C585" s="520" t="s">
        <v>3958</v>
      </c>
      <c r="D585" s="536" t="s">
        <v>656</v>
      </c>
      <c r="E585" s="519" t="str">
        <f>IF('GPS Anthro Tool'!$B$5=1,"ECE R129","")</f>
        <v/>
      </c>
      <c r="F585" s="507" t="s">
        <v>4243</v>
      </c>
      <c r="G585" s="509" t="s">
        <v>623</v>
      </c>
      <c r="H585" s="507" t="s">
        <v>657</v>
      </c>
      <c r="I585" s="520"/>
      <c r="J585" s="519" t="s">
        <v>3960</v>
      </c>
      <c r="K585" s="521" t="s">
        <v>605</v>
      </c>
      <c r="L585" s="526" t="s">
        <v>315</v>
      </c>
      <c r="M585" s="527" t="s">
        <v>315</v>
      </c>
      <c r="N585" s="528" t="s">
        <v>315</v>
      </c>
      <c r="O585" s="663"/>
      <c r="P585" s="529"/>
      <c r="Q585" s="530" t="s">
        <v>315</v>
      </c>
      <c r="R585" s="530"/>
      <c r="S585" s="530"/>
      <c r="T585" s="566"/>
    </row>
    <row r="586" spans="1:20" s="537" customFormat="1" ht="30" hidden="1">
      <c r="A586" s="518"/>
      <c r="B586" s="519" t="s">
        <v>1073</v>
      </c>
      <c r="C586" s="520" t="s">
        <v>2327</v>
      </c>
      <c r="D586" s="534" t="s">
        <v>1074</v>
      </c>
      <c r="E586" s="519" t="str">
        <f>IF('GPS Anthro Tool'!$B$5=1,"ECE R129","")</f>
        <v/>
      </c>
      <c r="F586" s="507" t="s">
        <v>4243</v>
      </c>
      <c r="G586" s="507" t="s">
        <v>1073</v>
      </c>
      <c r="H586" s="507" t="s">
        <v>1075</v>
      </c>
      <c r="I586" s="520"/>
      <c r="J586" s="519" t="s">
        <v>3960</v>
      </c>
      <c r="K586" s="521" t="s">
        <v>605</v>
      </c>
      <c r="L586" s="526" t="s">
        <v>315</v>
      </c>
      <c r="M586" s="527" t="s">
        <v>315</v>
      </c>
      <c r="N586" s="528" t="s">
        <v>315</v>
      </c>
      <c r="O586" s="663"/>
      <c r="P586" s="529"/>
      <c r="Q586" s="530" t="s">
        <v>315</v>
      </c>
      <c r="R586" s="530"/>
      <c r="S586" s="530"/>
      <c r="T586" s="566"/>
    </row>
    <row r="587" spans="1:20" s="537" customFormat="1" ht="30" hidden="1">
      <c r="A587" s="518"/>
      <c r="B587" s="519" t="s">
        <v>1073</v>
      </c>
      <c r="C587" s="520" t="s">
        <v>2327</v>
      </c>
      <c r="D587" s="534" t="s">
        <v>1076</v>
      </c>
      <c r="E587" s="519" t="str">
        <f>IF('GPS Anthro Tool'!$B$5=1,"ECE R129","")</f>
        <v/>
      </c>
      <c r="F587" s="507" t="s">
        <v>4243</v>
      </c>
      <c r="G587" s="507" t="s">
        <v>1073</v>
      </c>
      <c r="H587" s="507" t="s">
        <v>1077</v>
      </c>
      <c r="I587" s="520"/>
      <c r="J587" s="519" t="s">
        <v>3960</v>
      </c>
      <c r="K587" s="521" t="s">
        <v>605</v>
      </c>
      <c r="L587" s="526" t="s">
        <v>315</v>
      </c>
      <c r="M587" s="527" t="s">
        <v>315</v>
      </c>
      <c r="N587" s="528" t="s">
        <v>315</v>
      </c>
      <c r="O587" s="663"/>
      <c r="P587" s="529"/>
      <c r="Q587" s="530" t="s">
        <v>315</v>
      </c>
      <c r="R587" s="530"/>
      <c r="S587" s="530"/>
      <c r="T587" s="566"/>
    </row>
    <row r="588" spans="1:20" s="537" customFormat="1" ht="30" hidden="1">
      <c r="A588" s="518"/>
      <c r="B588" s="519" t="s">
        <v>1073</v>
      </c>
      <c r="C588" s="520" t="s">
        <v>2327</v>
      </c>
      <c r="D588" s="534" t="s">
        <v>1101</v>
      </c>
      <c r="E588" s="519" t="str">
        <f>IF('GPS Anthro Tool'!$B$5=1,"ECE R129","")</f>
        <v/>
      </c>
      <c r="F588" s="507" t="s">
        <v>4243</v>
      </c>
      <c r="G588" s="507" t="s">
        <v>1073</v>
      </c>
      <c r="H588" s="507" t="s">
        <v>1102</v>
      </c>
      <c r="I588" s="520"/>
      <c r="J588" s="519" t="s">
        <v>3960</v>
      </c>
      <c r="K588" s="521" t="s">
        <v>605</v>
      </c>
      <c r="L588" s="526" t="s">
        <v>315</v>
      </c>
      <c r="M588" s="527" t="s">
        <v>315</v>
      </c>
      <c r="N588" s="528" t="s">
        <v>315</v>
      </c>
      <c r="O588" s="663"/>
      <c r="P588" s="529"/>
      <c r="Q588" s="530" t="s">
        <v>315</v>
      </c>
      <c r="R588" s="530"/>
      <c r="S588" s="530"/>
      <c r="T588" s="566"/>
    </row>
    <row r="589" spans="1:20" s="508" customFormat="1" ht="150" hidden="1">
      <c r="A589" s="518"/>
      <c r="B589" s="519" t="s">
        <v>1073</v>
      </c>
      <c r="C589" s="520" t="s">
        <v>2327</v>
      </c>
      <c r="D589" s="534" t="s">
        <v>1128</v>
      </c>
      <c r="E589" s="519" t="str">
        <f>IF('GPS Anthro Tool'!$B$5=1,"ECE R129","")</f>
        <v/>
      </c>
      <c r="F589" s="507" t="s">
        <v>4243</v>
      </c>
      <c r="G589" s="509" t="s">
        <v>1073</v>
      </c>
      <c r="H589" s="507" t="s">
        <v>1129</v>
      </c>
      <c r="I589" s="520"/>
      <c r="J589" s="519" t="s">
        <v>3960</v>
      </c>
      <c r="K589" s="521" t="s">
        <v>605</v>
      </c>
      <c r="L589" s="526" t="s">
        <v>315</v>
      </c>
      <c r="M589" s="527" t="s">
        <v>315</v>
      </c>
      <c r="N589" s="528" t="s">
        <v>315</v>
      </c>
      <c r="O589" s="663"/>
      <c r="P589" s="529"/>
      <c r="Q589" s="530" t="s">
        <v>315</v>
      </c>
      <c r="R589" s="530"/>
      <c r="S589" s="530"/>
      <c r="T589" s="667"/>
    </row>
    <row r="590" spans="1:20" s="508" customFormat="1" ht="30" hidden="1">
      <c r="A590" s="518"/>
      <c r="B590" s="519" t="s">
        <v>1073</v>
      </c>
      <c r="C590" s="520" t="s">
        <v>2327</v>
      </c>
      <c r="D590" s="534" t="s">
        <v>1103</v>
      </c>
      <c r="E590" s="519" t="str">
        <f>IF('GPS Anthro Tool'!$B$5=1,"ECE R129","")</f>
        <v/>
      </c>
      <c r="F590" s="507" t="s">
        <v>4243</v>
      </c>
      <c r="G590" s="507" t="s">
        <v>1073</v>
      </c>
      <c r="H590" s="507" t="s">
        <v>1104</v>
      </c>
      <c r="I590" s="520"/>
      <c r="J590" s="519" t="s">
        <v>3960</v>
      </c>
      <c r="K590" s="521" t="s">
        <v>605</v>
      </c>
      <c r="L590" s="526" t="s">
        <v>315</v>
      </c>
      <c r="M590" s="527" t="s">
        <v>315</v>
      </c>
      <c r="N590" s="528" t="s">
        <v>315</v>
      </c>
      <c r="O590" s="663"/>
      <c r="P590" s="529"/>
      <c r="Q590" s="530" t="s">
        <v>315</v>
      </c>
      <c r="R590" s="530"/>
      <c r="S590" s="530"/>
      <c r="T590" s="667"/>
    </row>
    <row r="591" spans="1:20" s="508" customFormat="1" ht="30" hidden="1">
      <c r="A591" s="518"/>
      <c r="B591" s="519" t="s">
        <v>1073</v>
      </c>
      <c r="C591" s="520" t="s">
        <v>2327</v>
      </c>
      <c r="D591" s="534" t="s">
        <v>1105</v>
      </c>
      <c r="E591" s="519" t="str">
        <f>IF('GPS Anthro Tool'!$B$5=1,"ECE R129","")</f>
        <v/>
      </c>
      <c r="F591" s="507" t="s">
        <v>4243</v>
      </c>
      <c r="G591" s="507" t="s">
        <v>1073</v>
      </c>
      <c r="H591" s="507" t="s">
        <v>1106</v>
      </c>
      <c r="I591" s="520"/>
      <c r="J591" s="519" t="s">
        <v>3960</v>
      </c>
      <c r="K591" s="521" t="s">
        <v>605</v>
      </c>
      <c r="L591" s="526" t="s">
        <v>315</v>
      </c>
      <c r="M591" s="527" t="s">
        <v>315</v>
      </c>
      <c r="N591" s="528" t="s">
        <v>315</v>
      </c>
      <c r="O591" s="663"/>
      <c r="P591" s="529"/>
      <c r="Q591" s="530" t="s">
        <v>315</v>
      </c>
      <c r="R591" s="530"/>
      <c r="S591" s="530"/>
      <c r="T591" s="667"/>
    </row>
    <row r="592" spans="1:20" s="508" customFormat="1" ht="120" hidden="1">
      <c r="A592" s="518"/>
      <c r="B592" s="519" t="s">
        <v>1073</v>
      </c>
      <c r="C592" s="520" t="s">
        <v>2327</v>
      </c>
      <c r="D592" s="534" t="s">
        <v>1105</v>
      </c>
      <c r="E592" s="519" t="str">
        <f>IF('GPS Anthro Tool'!$B$5=1,"ECE R129","")</f>
        <v/>
      </c>
      <c r="F592" s="507" t="s">
        <v>4243</v>
      </c>
      <c r="G592" s="507" t="s">
        <v>1073</v>
      </c>
      <c r="H592" s="507" t="s">
        <v>1107</v>
      </c>
      <c r="I592" s="520"/>
      <c r="J592" s="519" t="s">
        <v>3960</v>
      </c>
      <c r="K592" s="521" t="s">
        <v>605</v>
      </c>
      <c r="L592" s="526" t="s">
        <v>315</v>
      </c>
      <c r="M592" s="527" t="s">
        <v>315</v>
      </c>
      <c r="N592" s="528" t="s">
        <v>315</v>
      </c>
      <c r="O592" s="663"/>
      <c r="P592" s="529"/>
      <c r="Q592" s="530" t="s">
        <v>315</v>
      </c>
      <c r="R592" s="530"/>
      <c r="S592" s="530"/>
      <c r="T592" s="667"/>
    </row>
    <row r="593" spans="1:20" s="508" customFormat="1" ht="30" hidden="1">
      <c r="A593" s="518"/>
      <c r="B593" s="519" t="s">
        <v>1073</v>
      </c>
      <c r="C593" s="520" t="s">
        <v>2327</v>
      </c>
      <c r="D593" s="534" t="s">
        <v>1108</v>
      </c>
      <c r="E593" s="519" t="str">
        <f>IF('GPS Anthro Tool'!$B$5=1,"ECE R129","")</f>
        <v/>
      </c>
      <c r="F593" s="507" t="s">
        <v>4243</v>
      </c>
      <c r="G593" s="507" t="s">
        <v>1073</v>
      </c>
      <c r="H593" s="507" t="s">
        <v>1109</v>
      </c>
      <c r="I593" s="520"/>
      <c r="J593" s="519" t="s">
        <v>3960</v>
      </c>
      <c r="K593" s="521" t="s">
        <v>605</v>
      </c>
      <c r="L593" s="526" t="s">
        <v>315</v>
      </c>
      <c r="M593" s="527" t="s">
        <v>315</v>
      </c>
      <c r="N593" s="528" t="s">
        <v>315</v>
      </c>
      <c r="O593" s="663"/>
      <c r="P593" s="529"/>
      <c r="Q593" s="530" t="s">
        <v>315</v>
      </c>
      <c r="R593" s="530"/>
      <c r="S593" s="530"/>
      <c r="T593" s="667"/>
    </row>
    <row r="594" spans="1:20" s="508" customFormat="1" ht="30" hidden="1">
      <c r="A594" s="518"/>
      <c r="B594" s="519" t="s">
        <v>1073</v>
      </c>
      <c r="C594" s="520" t="s">
        <v>2327</v>
      </c>
      <c r="D594" s="534" t="s">
        <v>1110</v>
      </c>
      <c r="E594" s="519" t="str">
        <f>IF('GPS Anthro Tool'!$B$5=1,"ECE R129","")</f>
        <v/>
      </c>
      <c r="F594" s="507" t="s">
        <v>4243</v>
      </c>
      <c r="G594" s="507" t="s">
        <v>1073</v>
      </c>
      <c r="H594" s="507" t="s">
        <v>1111</v>
      </c>
      <c r="I594" s="520"/>
      <c r="J594" s="519" t="s">
        <v>3960</v>
      </c>
      <c r="K594" s="521" t="s">
        <v>605</v>
      </c>
      <c r="L594" s="526" t="s">
        <v>315</v>
      </c>
      <c r="M594" s="527" t="s">
        <v>315</v>
      </c>
      <c r="N594" s="528" t="s">
        <v>315</v>
      </c>
      <c r="O594" s="663"/>
      <c r="P594" s="529"/>
      <c r="Q594" s="530" t="s">
        <v>315</v>
      </c>
      <c r="R594" s="530"/>
      <c r="S594" s="530"/>
      <c r="T594" s="667"/>
    </row>
    <row r="595" spans="1:20" s="508" customFormat="1" ht="45" hidden="1">
      <c r="A595" s="518"/>
      <c r="B595" s="519" t="s">
        <v>1073</v>
      </c>
      <c r="C595" s="520" t="s">
        <v>2327</v>
      </c>
      <c r="D595" s="534" t="s">
        <v>1112</v>
      </c>
      <c r="E595" s="519" t="str">
        <f>IF('GPS Anthro Tool'!$B$5=1,"ECE R129","")</f>
        <v/>
      </c>
      <c r="F595" s="507" t="s">
        <v>4243</v>
      </c>
      <c r="G595" s="509" t="s">
        <v>1073</v>
      </c>
      <c r="H595" s="507" t="s">
        <v>1113</v>
      </c>
      <c r="I595" s="520"/>
      <c r="J595" s="519" t="s">
        <v>3960</v>
      </c>
      <c r="K595" s="521" t="s">
        <v>605</v>
      </c>
      <c r="L595" s="526" t="s">
        <v>315</v>
      </c>
      <c r="M595" s="527" t="s">
        <v>315</v>
      </c>
      <c r="N595" s="528" t="s">
        <v>315</v>
      </c>
      <c r="O595" s="663"/>
      <c r="P595" s="529"/>
      <c r="Q595" s="530" t="s">
        <v>315</v>
      </c>
      <c r="R595" s="530"/>
      <c r="S595" s="530"/>
      <c r="T595" s="667"/>
    </row>
    <row r="596" spans="1:20" s="508" customFormat="1" ht="75" hidden="1">
      <c r="A596" s="518"/>
      <c r="B596" s="519" t="s">
        <v>1073</v>
      </c>
      <c r="C596" s="520" t="s">
        <v>2327</v>
      </c>
      <c r="D596" s="534" t="s">
        <v>1114</v>
      </c>
      <c r="E596" s="519" t="str">
        <f>IF('GPS Anthro Tool'!$B$5=1,"ECE R129","")</f>
        <v/>
      </c>
      <c r="F596" s="507" t="s">
        <v>4243</v>
      </c>
      <c r="G596" s="509" t="s">
        <v>1073</v>
      </c>
      <c r="H596" s="507" t="s">
        <v>1115</v>
      </c>
      <c r="I596" s="520"/>
      <c r="J596" s="519" t="s">
        <v>3960</v>
      </c>
      <c r="K596" s="521" t="s">
        <v>605</v>
      </c>
      <c r="L596" s="526" t="s">
        <v>315</v>
      </c>
      <c r="M596" s="527" t="s">
        <v>315</v>
      </c>
      <c r="N596" s="528" t="s">
        <v>315</v>
      </c>
      <c r="O596" s="663"/>
      <c r="P596" s="529"/>
      <c r="Q596" s="530" t="s">
        <v>315</v>
      </c>
      <c r="R596" s="530"/>
      <c r="S596" s="530"/>
      <c r="T596" s="667"/>
    </row>
    <row r="597" spans="1:20" s="508" customFormat="1" ht="30" hidden="1">
      <c r="A597" s="518"/>
      <c r="B597" s="519" t="s">
        <v>1073</v>
      </c>
      <c r="C597" s="520" t="s">
        <v>2327</v>
      </c>
      <c r="D597" s="507" t="s">
        <v>1116</v>
      </c>
      <c r="E597" s="519" t="str">
        <f>IF('GPS Anthro Tool'!$B$5=1,"ECE R129","")</f>
        <v/>
      </c>
      <c r="F597" s="507" t="s">
        <v>4243</v>
      </c>
      <c r="G597" s="509" t="s">
        <v>1073</v>
      </c>
      <c r="H597" s="507" t="s">
        <v>1117</v>
      </c>
      <c r="I597" s="520"/>
      <c r="J597" s="519" t="s">
        <v>3960</v>
      </c>
      <c r="K597" s="521" t="s">
        <v>605</v>
      </c>
      <c r="L597" s="526" t="s">
        <v>315</v>
      </c>
      <c r="M597" s="527" t="s">
        <v>315</v>
      </c>
      <c r="N597" s="528" t="s">
        <v>315</v>
      </c>
      <c r="O597" s="663"/>
      <c r="P597" s="529"/>
      <c r="Q597" s="530" t="s">
        <v>315</v>
      </c>
      <c r="R597" s="530"/>
      <c r="S597" s="530"/>
      <c r="T597" s="667"/>
    </row>
    <row r="598" spans="1:20" s="508" customFormat="1" ht="105" hidden="1">
      <c r="A598" s="518"/>
      <c r="B598" s="519" t="s">
        <v>1073</v>
      </c>
      <c r="C598" s="520" t="s">
        <v>2327</v>
      </c>
      <c r="D598" s="507" t="s">
        <v>1118</v>
      </c>
      <c r="E598" s="519" t="str">
        <f>IF('GPS Anthro Tool'!$B$5=1,"ECE R129","")</f>
        <v/>
      </c>
      <c r="F598" s="507" t="s">
        <v>4243</v>
      </c>
      <c r="G598" s="509" t="s">
        <v>1073</v>
      </c>
      <c r="H598" s="507" t="s">
        <v>1119</v>
      </c>
      <c r="I598" s="520"/>
      <c r="J598" s="519" t="s">
        <v>3960</v>
      </c>
      <c r="K598" s="521" t="s">
        <v>605</v>
      </c>
      <c r="L598" s="526" t="s">
        <v>315</v>
      </c>
      <c r="M598" s="527" t="s">
        <v>315</v>
      </c>
      <c r="N598" s="528" t="s">
        <v>315</v>
      </c>
      <c r="O598" s="663"/>
      <c r="P598" s="529"/>
      <c r="Q598" s="530" t="s">
        <v>315</v>
      </c>
      <c r="R598" s="530"/>
      <c r="S598" s="530"/>
      <c r="T598" s="667"/>
    </row>
    <row r="599" spans="1:20" s="508" customFormat="1" ht="180" hidden="1">
      <c r="A599" s="518"/>
      <c r="B599" s="519" t="s">
        <v>1073</v>
      </c>
      <c r="C599" s="520" t="s">
        <v>2327</v>
      </c>
      <c r="D599" s="507" t="s">
        <v>1118</v>
      </c>
      <c r="E599" s="519" t="str">
        <f>IF('GPS Anthro Tool'!$B$5=1,"ECE R129","")</f>
        <v/>
      </c>
      <c r="F599" s="507" t="s">
        <v>4243</v>
      </c>
      <c r="G599" s="509" t="s">
        <v>1073</v>
      </c>
      <c r="H599" s="507" t="s">
        <v>1120</v>
      </c>
      <c r="I599" s="520"/>
      <c r="J599" s="519" t="s">
        <v>3960</v>
      </c>
      <c r="K599" s="521" t="s">
        <v>605</v>
      </c>
      <c r="L599" s="526" t="s">
        <v>315</v>
      </c>
      <c r="M599" s="527" t="s">
        <v>315</v>
      </c>
      <c r="N599" s="528" t="s">
        <v>315</v>
      </c>
      <c r="O599" s="663"/>
      <c r="P599" s="529"/>
      <c r="Q599" s="530" t="s">
        <v>315</v>
      </c>
      <c r="R599" s="530"/>
      <c r="S599" s="530"/>
      <c r="T599" s="667"/>
    </row>
    <row r="600" spans="1:20" s="508" customFormat="1" ht="60" hidden="1">
      <c r="A600" s="518"/>
      <c r="B600" s="519" t="s">
        <v>1073</v>
      </c>
      <c r="C600" s="520" t="s">
        <v>2327</v>
      </c>
      <c r="D600" s="507" t="s">
        <v>1118</v>
      </c>
      <c r="E600" s="519" t="str">
        <f>IF('GPS Anthro Tool'!$B$5=1,"ECE R129","")</f>
        <v/>
      </c>
      <c r="F600" s="507" t="s">
        <v>4243</v>
      </c>
      <c r="G600" s="509" t="s">
        <v>1073</v>
      </c>
      <c r="H600" s="507" t="s">
        <v>1121</v>
      </c>
      <c r="I600" s="520"/>
      <c r="J600" s="519" t="s">
        <v>3960</v>
      </c>
      <c r="K600" s="521" t="s">
        <v>605</v>
      </c>
      <c r="L600" s="526" t="s">
        <v>315</v>
      </c>
      <c r="M600" s="527" t="s">
        <v>315</v>
      </c>
      <c r="N600" s="528" t="s">
        <v>315</v>
      </c>
      <c r="O600" s="663"/>
      <c r="P600" s="529"/>
      <c r="Q600" s="530" t="s">
        <v>315</v>
      </c>
      <c r="R600" s="530"/>
      <c r="S600" s="530"/>
      <c r="T600" s="667"/>
    </row>
    <row r="601" spans="1:20" s="508" customFormat="1" ht="240" hidden="1">
      <c r="A601" s="518"/>
      <c r="B601" s="519" t="s">
        <v>1073</v>
      </c>
      <c r="C601" s="520" t="s">
        <v>2327</v>
      </c>
      <c r="D601" s="507" t="s">
        <v>1124</v>
      </c>
      <c r="E601" s="519" t="str">
        <f>IF('GPS Anthro Tool'!$B$5=1,"ECE R129","")</f>
        <v/>
      </c>
      <c r="F601" s="507" t="s">
        <v>4243</v>
      </c>
      <c r="G601" s="509" t="s">
        <v>1073</v>
      </c>
      <c r="H601" s="507" t="s">
        <v>1125</v>
      </c>
      <c r="I601" s="520"/>
      <c r="J601" s="519" t="s">
        <v>3960</v>
      </c>
      <c r="K601" s="521" t="s">
        <v>605</v>
      </c>
      <c r="L601" s="526" t="s">
        <v>315</v>
      </c>
      <c r="M601" s="527" t="s">
        <v>315</v>
      </c>
      <c r="N601" s="528" t="s">
        <v>315</v>
      </c>
      <c r="O601" s="663"/>
      <c r="P601" s="529"/>
      <c r="Q601" s="530" t="s">
        <v>315</v>
      </c>
      <c r="R601" s="530"/>
      <c r="S601" s="530"/>
      <c r="T601" s="667"/>
    </row>
    <row r="602" spans="1:20" s="508" customFormat="1" ht="45" hidden="1">
      <c r="A602" s="518"/>
      <c r="B602" s="519" t="s">
        <v>1073</v>
      </c>
      <c r="C602" s="520" t="s">
        <v>2327</v>
      </c>
      <c r="D602" s="509" t="s">
        <v>1078</v>
      </c>
      <c r="E602" s="519" t="str">
        <f>IF('GPS Anthro Tool'!$B$5=1,"ECE R129","")</f>
        <v/>
      </c>
      <c r="F602" s="507" t="s">
        <v>4243</v>
      </c>
      <c r="G602" s="509" t="s">
        <v>1073</v>
      </c>
      <c r="H602" s="507" t="s">
        <v>1079</v>
      </c>
      <c r="I602" s="520"/>
      <c r="J602" s="519" t="s">
        <v>3960</v>
      </c>
      <c r="K602" s="521" t="s">
        <v>605</v>
      </c>
      <c r="L602" s="526" t="s">
        <v>315</v>
      </c>
      <c r="M602" s="527" t="s">
        <v>315</v>
      </c>
      <c r="N602" s="528" t="s">
        <v>315</v>
      </c>
      <c r="O602" s="663"/>
      <c r="P602" s="529"/>
      <c r="Q602" s="530" t="s">
        <v>315</v>
      </c>
      <c r="R602" s="530"/>
      <c r="S602" s="530"/>
      <c r="T602" s="667"/>
    </row>
    <row r="603" spans="1:20" s="508" customFormat="1" ht="30" hidden="1">
      <c r="A603" s="518"/>
      <c r="B603" s="519" t="s">
        <v>1073</v>
      </c>
      <c r="C603" s="520" t="s">
        <v>2327</v>
      </c>
      <c r="D603" s="509" t="s">
        <v>1080</v>
      </c>
      <c r="E603" s="519" t="str">
        <f>IF('GPS Anthro Tool'!$B$5=1,"ECE R129","")</f>
        <v/>
      </c>
      <c r="F603" s="507" t="s">
        <v>4243</v>
      </c>
      <c r="G603" s="509" t="s">
        <v>1073</v>
      </c>
      <c r="H603" s="507" t="s">
        <v>1081</v>
      </c>
      <c r="I603" s="520"/>
      <c r="J603" s="519" t="s">
        <v>3960</v>
      </c>
      <c r="K603" s="521" t="s">
        <v>605</v>
      </c>
      <c r="L603" s="526" t="s">
        <v>315</v>
      </c>
      <c r="M603" s="527" t="s">
        <v>315</v>
      </c>
      <c r="N603" s="528" t="s">
        <v>315</v>
      </c>
      <c r="O603" s="663"/>
      <c r="P603" s="529"/>
      <c r="Q603" s="530" t="s">
        <v>315</v>
      </c>
      <c r="R603" s="530"/>
      <c r="S603" s="530"/>
      <c r="T603" s="667"/>
    </row>
    <row r="604" spans="1:20" s="508" customFormat="1" ht="105" hidden="1">
      <c r="A604" s="668"/>
      <c r="B604" s="519" t="s">
        <v>1073</v>
      </c>
      <c r="C604" s="520" t="s">
        <v>2327</v>
      </c>
      <c r="D604" s="509" t="s">
        <v>1080</v>
      </c>
      <c r="E604" s="519" t="str">
        <f>IF('GPS Anthro Tool'!$B$5=1,"ECE R129","")</f>
        <v/>
      </c>
      <c r="F604" s="507" t="s">
        <v>4243</v>
      </c>
      <c r="G604" s="509" t="s">
        <v>1073</v>
      </c>
      <c r="H604" s="507" t="s">
        <v>1082</v>
      </c>
      <c r="I604" s="520"/>
      <c r="J604" s="519" t="s">
        <v>3960</v>
      </c>
      <c r="K604" s="521" t="s">
        <v>605</v>
      </c>
      <c r="L604" s="526" t="s">
        <v>315</v>
      </c>
      <c r="M604" s="527" t="s">
        <v>315</v>
      </c>
      <c r="N604" s="528" t="s">
        <v>315</v>
      </c>
      <c r="O604" s="663"/>
      <c r="P604" s="529"/>
      <c r="Q604" s="530" t="s">
        <v>315</v>
      </c>
      <c r="R604" s="530"/>
      <c r="S604" s="530"/>
      <c r="T604" s="667"/>
    </row>
    <row r="605" spans="1:20" s="508" customFormat="1" ht="30" hidden="1">
      <c r="A605" s="668"/>
      <c r="B605" s="519" t="s">
        <v>1073</v>
      </c>
      <c r="C605" s="520" t="s">
        <v>2327</v>
      </c>
      <c r="D605" s="509" t="s">
        <v>1083</v>
      </c>
      <c r="E605" s="519" t="str">
        <f>IF('GPS Anthro Tool'!$B$5=1,"ECE R129","")</f>
        <v/>
      </c>
      <c r="F605" s="507" t="s">
        <v>4243</v>
      </c>
      <c r="G605" s="509" t="s">
        <v>1073</v>
      </c>
      <c r="H605" s="507" t="s">
        <v>1084</v>
      </c>
      <c r="I605" s="520"/>
      <c r="J605" s="519" t="s">
        <v>3960</v>
      </c>
      <c r="K605" s="521" t="s">
        <v>605</v>
      </c>
      <c r="L605" s="526" t="s">
        <v>315</v>
      </c>
      <c r="M605" s="527" t="s">
        <v>315</v>
      </c>
      <c r="N605" s="528" t="s">
        <v>315</v>
      </c>
      <c r="O605" s="663"/>
      <c r="P605" s="529"/>
      <c r="Q605" s="530" t="s">
        <v>315</v>
      </c>
      <c r="R605" s="530"/>
      <c r="S605" s="530"/>
      <c r="T605" s="667"/>
    </row>
    <row r="606" spans="1:20" s="508" customFormat="1" ht="60" hidden="1">
      <c r="A606" s="668"/>
      <c r="B606" s="519" t="s">
        <v>1073</v>
      </c>
      <c r="C606" s="520" t="s">
        <v>2327</v>
      </c>
      <c r="D606" s="507" t="s">
        <v>1085</v>
      </c>
      <c r="E606" s="519" t="str">
        <f>IF('GPS Anthro Tool'!$B$5=1,"ECE R129","")</f>
        <v/>
      </c>
      <c r="F606" s="507" t="s">
        <v>4243</v>
      </c>
      <c r="G606" s="509" t="s">
        <v>1073</v>
      </c>
      <c r="H606" s="507" t="s">
        <v>1086</v>
      </c>
      <c r="I606" s="520"/>
      <c r="J606" s="519" t="s">
        <v>3960</v>
      </c>
      <c r="K606" s="521" t="s">
        <v>605</v>
      </c>
      <c r="L606" s="526" t="s">
        <v>315</v>
      </c>
      <c r="M606" s="527" t="s">
        <v>315</v>
      </c>
      <c r="N606" s="528" t="s">
        <v>315</v>
      </c>
      <c r="O606" s="663"/>
      <c r="P606" s="529"/>
      <c r="Q606" s="530" t="s">
        <v>315</v>
      </c>
      <c r="R606" s="530"/>
      <c r="S606" s="530"/>
      <c r="T606" s="667"/>
    </row>
    <row r="607" spans="1:20" s="508" customFormat="1" ht="30" hidden="1">
      <c r="A607" s="668"/>
      <c r="B607" s="519" t="s">
        <v>1073</v>
      </c>
      <c r="C607" s="520" t="s">
        <v>2327</v>
      </c>
      <c r="D607" s="507" t="s">
        <v>1087</v>
      </c>
      <c r="E607" s="519" t="str">
        <f>IF('GPS Anthro Tool'!$B$5=1,"ECE R129","")</f>
        <v/>
      </c>
      <c r="F607" s="507" t="s">
        <v>4243</v>
      </c>
      <c r="G607" s="509" t="s">
        <v>1073</v>
      </c>
      <c r="H607" s="507" t="s">
        <v>1088</v>
      </c>
      <c r="I607" s="520"/>
      <c r="J607" s="519" t="s">
        <v>3960</v>
      </c>
      <c r="K607" s="521" t="s">
        <v>605</v>
      </c>
      <c r="L607" s="526" t="s">
        <v>315</v>
      </c>
      <c r="M607" s="527" t="s">
        <v>315</v>
      </c>
      <c r="N607" s="528" t="s">
        <v>315</v>
      </c>
      <c r="O607" s="663"/>
      <c r="P607" s="529"/>
      <c r="Q607" s="530" t="s">
        <v>315</v>
      </c>
      <c r="R607" s="530"/>
      <c r="S607" s="530"/>
      <c r="T607" s="667"/>
    </row>
    <row r="608" spans="1:20" s="508" customFormat="1" ht="75" hidden="1">
      <c r="A608" s="668"/>
      <c r="B608" s="507" t="s">
        <v>1163</v>
      </c>
      <c r="C608" s="534" t="s">
        <v>4297</v>
      </c>
      <c r="D608" s="534" t="s">
        <v>1440</v>
      </c>
      <c r="E608" s="519" t="str">
        <f>IF('GPS Anthro Tool'!$B$5=1,"ECE R129","")</f>
        <v/>
      </c>
      <c r="F608" s="507" t="s">
        <v>4243</v>
      </c>
      <c r="G608" s="534" t="s">
        <v>1439</v>
      </c>
      <c r="H608" s="507" t="s">
        <v>1441</v>
      </c>
      <c r="I608" s="507"/>
      <c r="J608" s="519" t="s">
        <v>3960</v>
      </c>
      <c r="K608" s="521" t="s">
        <v>605</v>
      </c>
      <c r="L608" s="526" t="s">
        <v>315</v>
      </c>
      <c r="M608" s="527" t="s">
        <v>315</v>
      </c>
      <c r="N608" s="528" t="s">
        <v>315</v>
      </c>
      <c r="O608" s="663"/>
      <c r="P608" s="529"/>
      <c r="Q608" s="530" t="s">
        <v>315</v>
      </c>
      <c r="R608" s="530"/>
      <c r="S608" s="530"/>
      <c r="T608" s="667"/>
    </row>
    <row r="609" spans="1:20" s="508" customFormat="1" ht="105" hidden="1">
      <c r="A609" s="668"/>
      <c r="B609" s="507" t="s">
        <v>1163</v>
      </c>
      <c r="C609" s="534" t="s">
        <v>4297</v>
      </c>
      <c r="D609" s="534" t="s">
        <v>1442</v>
      </c>
      <c r="E609" s="519" t="str">
        <f>IF('GPS Anthro Tool'!$B$5=1,"ECE R129","")</f>
        <v/>
      </c>
      <c r="F609" s="507" t="s">
        <v>4243</v>
      </c>
      <c r="G609" s="534" t="s">
        <v>1439</v>
      </c>
      <c r="H609" s="507" t="s">
        <v>1443</v>
      </c>
      <c r="I609" s="507"/>
      <c r="J609" s="519" t="s">
        <v>3960</v>
      </c>
      <c r="K609" s="521" t="s">
        <v>605</v>
      </c>
      <c r="L609" s="526" t="s">
        <v>315</v>
      </c>
      <c r="M609" s="527" t="s">
        <v>315</v>
      </c>
      <c r="N609" s="528" t="s">
        <v>315</v>
      </c>
      <c r="O609" s="663"/>
      <c r="P609" s="529"/>
      <c r="Q609" s="530" t="s">
        <v>315</v>
      </c>
      <c r="R609" s="530"/>
      <c r="S609" s="530"/>
      <c r="T609" s="667"/>
    </row>
    <row r="610" spans="1:20" s="508" customFormat="1" ht="300" hidden="1">
      <c r="A610" s="668"/>
      <c r="B610" s="507" t="s">
        <v>1163</v>
      </c>
      <c r="C610" s="534" t="s">
        <v>4297</v>
      </c>
      <c r="D610" s="534" t="s">
        <v>1165</v>
      </c>
      <c r="E610" s="519" t="str">
        <f>IF('GPS Anthro Tool'!$B$5=1,"ECE R129","")</f>
        <v/>
      </c>
      <c r="F610" s="507" t="s">
        <v>4243</v>
      </c>
      <c r="G610" s="534" t="s">
        <v>1164</v>
      </c>
      <c r="H610" s="507" t="s">
        <v>1166</v>
      </c>
      <c r="I610" s="507"/>
      <c r="J610" s="519" t="s">
        <v>3960</v>
      </c>
      <c r="K610" s="521" t="s">
        <v>605</v>
      </c>
      <c r="L610" s="526" t="s">
        <v>315</v>
      </c>
      <c r="M610" s="527" t="s">
        <v>315</v>
      </c>
      <c r="N610" s="528" t="s">
        <v>315</v>
      </c>
      <c r="O610" s="663"/>
      <c r="P610" s="529"/>
      <c r="Q610" s="530" t="s">
        <v>315</v>
      </c>
      <c r="R610" s="530"/>
      <c r="S610" s="530"/>
      <c r="T610" s="667"/>
    </row>
    <row r="611" spans="1:20" s="508" customFormat="1" ht="90" hidden="1">
      <c r="A611" s="668"/>
      <c r="B611" s="507" t="s">
        <v>1163</v>
      </c>
      <c r="C611" s="534" t="s">
        <v>4297</v>
      </c>
      <c r="D611" s="534" t="s">
        <v>1173</v>
      </c>
      <c r="E611" s="519" t="str">
        <f>IF('GPS Anthro Tool'!$B$5=1,"ECE R129","")</f>
        <v/>
      </c>
      <c r="F611" s="507" t="s">
        <v>4243</v>
      </c>
      <c r="G611" s="536" t="s">
        <v>1172</v>
      </c>
      <c r="H611" s="507" t="s">
        <v>1174</v>
      </c>
      <c r="I611" s="506"/>
      <c r="J611" s="519" t="s">
        <v>3960</v>
      </c>
      <c r="K611" s="521" t="s">
        <v>605</v>
      </c>
      <c r="L611" s="526" t="s">
        <v>315</v>
      </c>
      <c r="M611" s="527" t="s">
        <v>315</v>
      </c>
      <c r="N611" s="528" t="s">
        <v>315</v>
      </c>
      <c r="O611" s="663"/>
      <c r="P611" s="529"/>
      <c r="Q611" s="530" t="s">
        <v>315</v>
      </c>
      <c r="R611" s="530"/>
      <c r="S611" s="530"/>
      <c r="T611" s="667"/>
    </row>
    <row r="612" spans="1:20" s="508" customFormat="1" ht="75" hidden="1">
      <c r="A612" s="668"/>
      <c r="B612" s="507" t="s">
        <v>1163</v>
      </c>
      <c r="C612" s="534" t="s">
        <v>4297</v>
      </c>
      <c r="D612" s="534" t="s">
        <v>1173</v>
      </c>
      <c r="E612" s="519" t="str">
        <f>IF('GPS Anthro Tool'!$B$5=1,"ECE R129","")</f>
        <v/>
      </c>
      <c r="F612" s="507" t="s">
        <v>4243</v>
      </c>
      <c r="G612" s="536" t="s">
        <v>1172</v>
      </c>
      <c r="H612" s="507" t="s">
        <v>1175</v>
      </c>
      <c r="I612" s="506"/>
      <c r="J612" s="519" t="s">
        <v>3960</v>
      </c>
      <c r="K612" s="521" t="s">
        <v>605</v>
      </c>
      <c r="L612" s="526" t="s">
        <v>315</v>
      </c>
      <c r="M612" s="527" t="s">
        <v>315</v>
      </c>
      <c r="N612" s="528" t="s">
        <v>315</v>
      </c>
      <c r="O612" s="663"/>
      <c r="P612" s="529"/>
      <c r="Q612" s="530" t="s">
        <v>315</v>
      </c>
      <c r="R612" s="530"/>
      <c r="S612" s="530"/>
      <c r="T612" s="667"/>
    </row>
    <row r="613" spans="1:20" s="508" customFormat="1" ht="48" hidden="1">
      <c r="A613" s="668"/>
      <c r="B613" s="507" t="s">
        <v>1163</v>
      </c>
      <c r="C613" s="534" t="s">
        <v>4297</v>
      </c>
      <c r="D613" s="534" t="s">
        <v>1176</v>
      </c>
      <c r="E613" s="519" t="str">
        <f>IF('GPS Anthro Tool'!$B$5=1,"ECE R129","")</f>
        <v/>
      </c>
      <c r="F613" s="507" t="s">
        <v>4243</v>
      </c>
      <c r="G613" s="536" t="s">
        <v>1172</v>
      </c>
      <c r="H613" s="507" t="s">
        <v>3500</v>
      </c>
      <c r="I613" s="506"/>
      <c r="J613" s="519" t="s">
        <v>3960</v>
      </c>
      <c r="K613" s="521" t="s">
        <v>605</v>
      </c>
      <c r="L613" s="526" t="s">
        <v>315</v>
      </c>
      <c r="M613" s="527" t="s">
        <v>315</v>
      </c>
      <c r="N613" s="528" t="s">
        <v>315</v>
      </c>
      <c r="O613" s="663"/>
      <c r="P613" s="529"/>
      <c r="Q613" s="530" t="s">
        <v>315</v>
      </c>
      <c r="R613" s="530"/>
      <c r="S613" s="530"/>
      <c r="T613" s="667"/>
    </row>
    <row r="614" spans="1:20" s="508" customFormat="1" ht="108" hidden="1">
      <c r="A614" s="668"/>
      <c r="B614" s="507" t="s">
        <v>1163</v>
      </c>
      <c r="C614" s="534" t="s">
        <v>4297</v>
      </c>
      <c r="D614" s="534" t="s">
        <v>1177</v>
      </c>
      <c r="E614" s="519" t="str">
        <f>IF('GPS Anthro Tool'!$B$5=1,"ECE R129","")</f>
        <v/>
      </c>
      <c r="F614" s="507" t="s">
        <v>4243</v>
      </c>
      <c r="G614" s="536" t="s">
        <v>1172</v>
      </c>
      <c r="H614" s="507" t="s">
        <v>3501</v>
      </c>
      <c r="I614" s="506"/>
      <c r="J614" s="519" t="s">
        <v>3960</v>
      </c>
      <c r="K614" s="521" t="s">
        <v>605</v>
      </c>
      <c r="L614" s="526" t="s">
        <v>315</v>
      </c>
      <c r="M614" s="527" t="s">
        <v>315</v>
      </c>
      <c r="N614" s="528" t="s">
        <v>315</v>
      </c>
      <c r="O614" s="663"/>
      <c r="P614" s="529"/>
      <c r="Q614" s="530" t="s">
        <v>315</v>
      </c>
      <c r="R614" s="530"/>
      <c r="S614" s="530"/>
      <c r="T614" s="667"/>
    </row>
    <row r="615" spans="1:20" s="508" customFormat="1" ht="150" hidden="1">
      <c r="A615" s="668"/>
      <c r="B615" s="519" t="s">
        <v>1158</v>
      </c>
      <c r="C615" s="534" t="s">
        <v>4297</v>
      </c>
      <c r="D615" s="507" t="s">
        <v>1177</v>
      </c>
      <c r="E615" s="519" t="str">
        <f>IF('GPS Anthro Tool'!$B$5=1,"ECE R129","")</f>
        <v/>
      </c>
      <c r="F615" s="507" t="s">
        <v>4243</v>
      </c>
      <c r="G615" s="536" t="s">
        <v>1178</v>
      </c>
      <c r="H615" s="536" t="s">
        <v>1180</v>
      </c>
      <c r="I615" s="506"/>
      <c r="J615" s="519" t="s">
        <v>3960</v>
      </c>
      <c r="K615" s="521" t="s">
        <v>605</v>
      </c>
      <c r="L615" s="526" t="s">
        <v>315</v>
      </c>
      <c r="M615" s="527" t="s">
        <v>315</v>
      </c>
      <c r="N615" s="528" t="s">
        <v>315</v>
      </c>
      <c r="O615" s="663"/>
      <c r="P615" s="666"/>
      <c r="Q615" s="530" t="s">
        <v>315</v>
      </c>
      <c r="R615" s="530"/>
      <c r="S615" s="530"/>
      <c r="T615" s="667"/>
    </row>
    <row r="616" spans="1:20" s="508" customFormat="1" ht="45" hidden="1">
      <c r="A616" s="668"/>
      <c r="B616" s="507" t="s">
        <v>1163</v>
      </c>
      <c r="C616" s="534" t="s">
        <v>4297</v>
      </c>
      <c r="D616" s="534" t="s">
        <v>1185</v>
      </c>
      <c r="E616" s="519" t="str">
        <f>IF('GPS Anthro Tool'!$B$5=1,"ECE R129","")</f>
        <v/>
      </c>
      <c r="F616" s="507" t="s">
        <v>4243</v>
      </c>
      <c r="G616" s="507" t="s">
        <v>1184</v>
      </c>
      <c r="H616" s="507" t="s">
        <v>1186</v>
      </c>
      <c r="I616" s="507"/>
      <c r="J616" s="519" t="s">
        <v>3960</v>
      </c>
      <c r="K616" s="521" t="s">
        <v>605</v>
      </c>
      <c r="L616" s="526" t="s">
        <v>315</v>
      </c>
      <c r="M616" s="527" t="s">
        <v>315</v>
      </c>
      <c r="N616" s="528" t="s">
        <v>315</v>
      </c>
      <c r="O616" s="663"/>
      <c r="P616" s="529"/>
      <c r="Q616" s="530" t="s">
        <v>315</v>
      </c>
      <c r="R616" s="530"/>
      <c r="S616" s="530"/>
      <c r="T616" s="667"/>
    </row>
    <row r="617" spans="1:20" s="508" customFormat="1" ht="150" hidden="1">
      <c r="A617" s="668"/>
      <c r="B617" s="507" t="s">
        <v>1163</v>
      </c>
      <c r="C617" s="534" t="s">
        <v>4297</v>
      </c>
      <c r="D617" s="534" t="s">
        <v>1189</v>
      </c>
      <c r="E617" s="519" t="str">
        <f>IF('GPS Anthro Tool'!$B$5=1,"ECE R129","")</f>
        <v/>
      </c>
      <c r="F617" s="507" t="s">
        <v>4243</v>
      </c>
      <c r="G617" s="534" t="s">
        <v>1164</v>
      </c>
      <c r="H617" s="507" t="s">
        <v>1190</v>
      </c>
      <c r="I617" s="507"/>
      <c r="J617" s="519" t="s">
        <v>3960</v>
      </c>
      <c r="K617" s="521" t="s">
        <v>605</v>
      </c>
      <c r="L617" s="526" t="s">
        <v>315</v>
      </c>
      <c r="M617" s="527" t="s">
        <v>315</v>
      </c>
      <c r="N617" s="528" t="s">
        <v>315</v>
      </c>
      <c r="O617" s="663"/>
      <c r="P617" s="529"/>
      <c r="Q617" s="530" t="s">
        <v>315</v>
      </c>
      <c r="R617" s="530"/>
      <c r="S617" s="530"/>
      <c r="T617" s="667"/>
    </row>
    <row r="618" spans="1:20" s="508" customFormat="1" ht="150" hidden="1">
      <c r="A618" s="668"/>
      <c r="B618" s="507" t="s">
        <v>1163</v>
      </c>
      <c r="C618" s="534" t="s">
        <v>4297</v>
      </c>
      <c r="D618" s="534" t="s">
        <v>1192</v>
      </c>
      <c r="E618" s="519" t="str">
        <f>IF('GPS Anthro Tool'!$B$5=1,"ECE R129","")</f>
        <v/>
      </c>
      <c r="F618" s="507" t="s">
        <v>4243</v>
      </c>
      <c r="G618" s="534" t="s">
        <v>1191</v>
      </c>
      <c r="H618" s="507" t="s">
        <v>1193</v>
      </c>
      <c r="I618" s="507"/>
      <c r="J618" s="519" t="s">
        <v>3960</v>
      </c>
      <c r="K618" s="521" t="s">
        <v>605</v>
      </c>
      <c r="L618" s="526" t="s">
        <v>315</v>
      </c>
      <c r="M618" s="527" t="s">
        <v>315</v>
      </c>
      <c r="N618" s="528" t="s">
        <v>315</v>
      </c>
      <c r="O618" s="663"/>
      <c r="P618" s="529"/>
      <c r="Q618" s="530" t="s">
        <v>315</v>
      </c>
      <c r="R618" s="530"/>
      <c r="S618" s="530"/>
      <c r="T618" s="667"/>
    </row>
    <row r="619" spans="1:20" s="508" customFormat="1" ht="105" hidden="1">
      <c r="A619" s="668"/>
      <c r="B619" s="507" t="s">
        <v>1163</v>
      </c>
      <c r="C619" s="534" t="s">
        <v>4297</v>
      </c>
      <c r="D619" s="534" t="s">
        <v>1194</v>
      </c>
      <c r="E619" s="519" t="str">
        <f>IF('GPS Anthro Tool'!$B$5=1,"ECE R129","")</f>
        <v/>
      </c>
      <c r="F619" s="507" t="s">
        <v>4243</v>
      </c>
      <c r="G619" s="534" t="s">
        <v>1191</v>
      </c>
      <c r="H619" s="507" t="s">
        <v>1195</v>
      </c>
      <c r="I619" s="507"/>
      <c r="J619" s="519" t="s">
        <v>3960</v>
      </c>
      <c r="K619" s="521" t="s">
        <v>605</v>
      </c>
      <c r="L619" s="526" t="s">
        <v>315</v>
      </c>
      <c r="M619" s="527" t="s">
        <v>315</v>
      </c>
      <c r="N619" s="528" t="s">
        <v>315</v>
      </c>
      <c r="O619" s="663"/>
      <c r="P619" s="529"/>
      <c r="Q619" s="530" t="s">
        <v>315</v>
      </c>
      <c r="R619" s="530"/>
      <c r="S619" s="530"/>
      <c r="T619" s="667"/>
    </row>
    <row r="620" spans="1:20" s="508" customFormat="1" ht="30" hidden="1">
      <c r="A620" s="668"/>
      <c r="B620" s="507" t="s">
        <v>1163</v>
      </c>
      <c r="C620" s="534" t="s">
        <v>4297</v>
      </c>
      <c r="D620" s="534" t="s">
        <v>1196</v>
      </c>
      <c r="E620" s="519" t="str">
        <f>IF('GPS Anthro Tool'!$B$5=1,"ECE R129","")</f>
        <v/>
      </c>
      <c r="F620" s="507" t="s">
        <v>4243</v>
      </c>
      <c r="G620" s="534" t="s">
        <v>1191</v>
      </c>
      <c r="H620" s="507" t="s">
        <v>1197</v>
      </c>
      <c r="I620" s="507"/>
      <c r="J620" s="519" t="s">
        <v>3960</v>
      </c>
      <c r="K620" s="521" t="s">
        <v>605</v>
      </c>
      <c r="L620" s="526" t="s">
        <v>315</v>
      </c>
      <c r="M620" s="527" t="s">
        <v>315</v>
      </c>
      <c r="N620" s="528" t="s">
        <v>315</v>
      </c>
      <c r="O620" s="663"/>
      <c r="P620" s="529"/>
      <c r="Q620" s="530" t="s">
        <v>315</v>
      </c>
      <c r="R620" s="530"/>
      <c r="S620" s="530"/>
      <c r="T620" s="667"/>
    </row>
    <row r="621" spans="1:20" s="508" customFormat="1" ht="90" hidden="1">
      <c r="A621" s="668"/>
      <c r="B621" s="507" t="s">
        <v>1163</v>
      </c>
      <c r="C621" s="534" t="s">
        <v>4297</v>
      </c>
      <c r="D621" s="534" t="s">
        <v>1202</v>
      </c>
      <c r="E621" s="519" t="str">
        <f>IF('GPS Anthro Tool'!$B$5=1,"ECE R129","")</f>
        <v/>
      </c>
      <c r="F621" s="507" t="s">
        <v>4243</v>
      </c>
      <c r="G621" s="534" t="s">
        <v>1164</v>
      </c>
      <c r="H621" s="507" t="s">
        <v>1203</v>
      </c>
      <c r="I621" s="507"/>
      <c r="J621" s="519" t="s">
        <v>3960</v>
      </c>
      <c r="K621" s="521" t="s">
        <v>605</v>
      </c>
      <c r="L621" s="526" t="s">
        <v>315</v>
      </c>
      <c r="M621" s="527" t="s">
        <v>315</v>
      </c>
      <c r="N621" s="528" t="s">
        <v>315</v>
      </c>
      <c r="O621" s="663"/>
      <c r="P621" s="529"/>
      <c r="Q621" s="530" t="s">
        <v>315</v>
      </c>
      <c r="R621" s="530"/>
      <c r="S621" s="530"/>
      <c r="T621" s="667"/>
    </row>
    <row r="622" spans="1:20" s="508" customFormat="1" ht="120" hidden="1">
      <c r="A622" s="668"/>
      <c r="B622" s="507" t="s">
        <v>1163</v>
      </c>
      <c r="C622" s="534" t="s">
        <v>4297</v>
      </c>
      <c r="D622" s="534" t="s">
        <v>1207</v>
      </c>
      <c r="E622" s="519" t="str">
        <f>IF('GPS Anthro Tool'!$B$5=1,"ECE R129","")</f>
        <v/>
      </c>
      <c r="F622" s="507" t="s">
        <v>4243</v>
      </c>
      <c r="G622" s="507" t="s">
        <v>1204</v>
      </c>
      <c r="H622" s="506" t="s">
        <v>959</v>
      </c>
      <c r="I622" s="507" t="s">
        <v>1208</v>
      </c>
      <c r="J622" s="519" t="s">
        <v>3960</v>
      </c>
      <c r="K622" s="521" t="s">
        <v>605</v>
      </c>
      <c r="L622" s="526" t="s">
        <v>315</v>
      </c>
      <c r="M622" s="527" t="s">
        <v>315</v>
      </c>
      <c r="N622" s="528" t="s">
        <v>315</v>
      </c>
      <c r="O622" s="663"/>
      <c r="P622" s="529"/>
      <c r="Q622" s="530" t="s">
        <v>315</v>
      </c>
      <c r="R622" s="530"/>
      <c r="S622" s="530"/>
      <c r="T622" s="667"/>
    </row>
    <row r="623" spans="1:20" s="508" customFormat="1" ht="60" hidden="1">
      <c r="A623" s="668"/>
      <c r="B623" s="507" t="s">
        <v>1163</v>
      </c>
      <c r="C623" s="534" t="s">
        <v>4297</v>
      </c>
      <c r="D623" s="534" t="s">
        <v>1213</v>
      </c>
      <c r="E623" s="519" t="str">
        <f>IF('GPS Anthro Tool'!$B$5=1,"ECE R129","")</f>
        <v/>
      </c>
      <c r="F623" s="507" t="s">
        <v>4243</v>
      </c>
      <c r="G623" s="507" t="s">
        <v>1209</v>
      </c>
      <c r="H623" s="507" t="s">
        <v>1214</v>
      </c>
      <c r="I623" s="507" t="s">
        <v>1215</v>
      </c>
      <c r="J623" s="519" t="s">
        <v>3960</v>
      </c>
      <c r="K623" s="521" t="s">
        <v>605</v>
      </c>
      <c r="L623" s="526" t="s">
        <v>315</v>
      </c>
      <c r="M623" s="527" t="s">
        <v>315</v>
      </c>
      <c r="N623" s="528" t="s">
        <v>315</v>
      </c>
      <c r="O623" s="663"/>
      <c r="P623" s="529"/>
      <c r="Q623" s="530" t="s">
        <v>315</v>
      </c>
      <c r="R623" s="530"/>
      <c r="S623" s="530"/>
      <c r="T623" s="667"/>
    </row>
    <row r="624" spans="1:20" s="508" customFormat="1" ht="60" hidden="1">
      <c r="A624" s="668"/>
      <c r="B624" s="507" t="s">
        <v>1163</v>
      </c>
      <c r="C624" s="534" t="s">
        <v>4297</v>
      </c>
      <c r="D624" s="534" t="s">
        <v>1224</v>
      </c>
      <c r="E624" s="519" t="str">
        <f>IF('GPS Anthro Tool'!$B$5=1,"ECE R129","")</f>
        <v/>
      </c>
      <c r="F624" s="507" t="s">
        <v>4243</v>
      </c>
      <c r="G624" s="507" t="s">
        <v>1216</v>
      </c>
      <c r="H624" s="506" t="s">
        <v>959</v>
      </c>
      <c r="I624" s="507" t="s">
        <v>1225</v>
      </c>
      <c r="J624" s="519" t="s">
        <v>3960</v>
      </c>
      <c r="K624" s="521" t="s">
        <v>605</v>
      </c>
      <c r="L624" s="526" t="s">
        <v>315</v>
      </c>
      <c r="M624" s="527" t="s">
        <v>315</v>
      </c>
      <c r="N624" s="528" t="s">
        <v>315</v>
      </c>
      <c r="O624" s="663"/>
      <c r="P624" s="529"/>
      <c r="Q624" s="530" t="s">
        <v>315</v>
      </c>
      <c r="R624" s="530"/>
      <c r="S624" s="530"/>
      <c r="T624" s="667"/>
    </row>
    <row r="625" spans="1:20" s="508" customFormat="1" ht="45" hidden="1">
      <c r="A625" s="668"/>
      <c r="B625" s="507" t="s">
        <v>1163</v>
      </c>
      <c r="C625" s="534" t="s">
        <v>4297</v>
      </c>
      <c r="D625" s="534" t="s">
        <v>1226</v>
      </c>
      <c r="E625" s="519" t="str">
        <f>IF('GPS Anthro Tool'!$B$5=1,"ECE R129","")</f>
        <v/>
      </c>
      <c r="F625" s="507" t="s">
        <v>4243</v>
      </c>
      <c r="G625" s="507" t="s">
        <v>1216</v>
      </c>
      <c r="H625" s="506" t="s">
        <v>959</v>
      </c>
      <c r="I625" s="507" t="s">
        <v>1227</v>
      </c>
      <c r="J625" s="519" t="s">
        <v>3960</v>
      </c>
      <c r="K625" s="521" t="s">
        <v>605</v>
      </c>
      <c r="L625" s="526" t="s">
        <v>315</v>
      </c>
      <c r="M625" s="527" t="s">
        <v>315</v>
      </c>
      <c r="N625" s="528" t="s">
        <v>315</v>
      </c>
      <c r="O625" s="663"/>
      <c r="P625" s="529"/>
      <c r="Q625" s="530" t="s">
        <v>315</v>
      </c>
      <c r="R625" s="530"/>
      <c r="S625" s="530"/>
      <c r="T625" s="667"/>
    </row>
    <row r="626" spans="1:20" s="508" customFormat="1" ht="30" hidden="1">
      <c r="A626" s="668"/>
      <c r="B626" s="507" t="s">
        <v>1163</v>
      </c>
      <c r="C626" s="534" t="s">
        <v>4297</v>
      </c>
      <c r="D626" s="534" t="s">
        <v>1228</v>
      </c>
      <c r="E626" s="519" t="str">
        <f>IF('GPS Anthro Tool'!$B$5=1,"ECE R129","")</f>
        <v/>
      </c>
      <c r="F626" s="507" t="s">
        <v>4243</v>
      </c>
      <c r="G626" s="507" t="s">
        <v>1216</v>
      </c>
      <c r="H626" s="506" t="s">
        <v>959</v>
      </c>
      <c r="I626" s="507" t="s">
        <v>1229</v>
      </c>
      <c r="J626" s="519" t="s">
        <v>3960</v>
      </c>
      <c r="K626" s="521" t="s">
        <v>605</v>
      </c>
      <c r="L626" s="526" t="s">
        <v>315</v>
      </c>
      <c r="M626" s="527" t="s">
        <v>315</v>
      </c>
      <c r="N626" s="528" t="s">
        <v>315</v>
      </c>
      <c r="O626" s="663"/>
      <c r="P626" s="529"/>
      <c r="Q626" s="530" t="s">
        <v>315</v>
      </c>
      <c r="R626" s="530"/>
      <c r="S626" s="530"/>
      <c r="T626" s="667"/>
    </row>
    <row r="627" spans="1:20" s="508" customFormat="1" ht="30" hidden="1">
      <c r="A627" s="668"/>
      <c r="B627" s="507" t="s">
        <v>1163</v>
      </c>
      <c r="C627" s="534" t="s">
        <v>4297</v>
      </c>
      <c r="D627" s="534" t="s">
        <v>1230</v>
      </c>
      <c r="E627" s="519" t="str">
        <f>IF('GPS Anthro Tool'!$B$5=1,"ECE R129","")</f>
        <v/>
      </c>
      <c r="F627" s="507" t="s">
        <v>4243</v>
      </c>
      <c r="G627" s="507" t="s">
        <v>1216</v>
      </c>
      <c r="H627" s="506" t="s">
        <v>959</v>
      </c>
      <c r="I627" s="507" t="s">
        <v>1231</v>
      </c>
      <c r="J627" s="519" t="s">
        <v>3960</v>
      </c>
      <c r="K627" s="521" t="s">
        <v>605</v>
      </c>
      <c r="L627" s="526" t="s">
        <v>315</v>
      </c>
      <c r="M627" s="527" t="s">
        <v>315</v>
      </c>
      <c r="N627" s="528" t="s">
        <v>315</v>
      </c>
      <c r="O627" s="663"/>
      <c r="P627" s="529"/>
      <c r="Q627" s="530" t="s">
        <v>315</v>
      </c>
      <c r="R627" s="530"/>
      <c r="S627" s="530"/>
      <c r="T627" s="667"/>
    </row>
    <row r="628" spans="1:20" s="508" customFormat="1" ht="60" hidden="1">
      <c r="A628" s="668"/>
      <c r="B628" s="507" t="s">
        <v>1163</v>
      </c>
      <c r="C628" s="534" t="s">
        <v>4297</v>
      </c>
      <c r="D628" s="534" t="s">
        <v>1232</v>
      </c>
      <c r="E628" s="519" t="str">
        <f>IF('GPS Anthro Tool'!$B$5=1,"ECE R129","")</f>
        <v/>
      </c>
      <c r="F628" s="507" t="s">
        <v>4243</v>
      </c>
      <c r="G628" s="507" t="s">
        <v>1216</v>
      </c>
      <c r="H628" s="507" t="s">
        <v>1233</v>
      </c>
      <c r="I628" s="507"/>
      <c r="J628" s="519" t="s">
        <v>3960</v>
      </c>
      <c r="K628" s="521" t="s">
        <v>605</v>
      </c>
      <c r="L628" s="526" t="s">
        <v>315</v>
      </c>
      <c r="M628" s="527" t="s">
        <v>315</v>
      </c>
      <c r="N628" s="528" t="s">
        <v>315</v>
      </c>
      <c r="O628" s="663"/>
      <c r="P628" s="529"/>
      <c r="Q628" s="530" t="s">
        <v>315</v>
      </c>
      <c r="R628" s="530"/>
      <c r="S628" s="530"/>
      <c r="T628" s="667"/>
    </row>
    <row r="629" spans="1:20" s="508" customFormat="1" ht="90" hidden="1">
      <c r="A629" s="668"/>
      <c r="B629" s="507" t="s">
        <v>1163</v>
      </c>
      <c r="C629" s="536" t="s">
        <v>4296</v>
      </c>
      <c r="D629" s="534" t="s">
        <v>1243</v>
      </c>
      <c r="E629" s="519" t="str">
        <f>IF('GPS Anthro Tool'!$B$5=1,"ECE R129","")</f>
        <v/>
      </c>
      <c r="F629" s="507" t="s">
        <v>4243</v>
      </c>
      <c r="G629" s="536" t="s">
        <v>1240</v>
      </c>
      <c r="H629" s="507" t="s">
        <v>1244</v>
      </c>
      <c r="I629" s="507"/>
      <c r="J629" s="519" t="s">
        <v>3960</v>
      </c>
      <c r="K629" s="521" t="s">
        <v>605</v>
      </c>
      <c r="L629" s="526" t="s">
        <v>315</v>
      </c>
      <c r="M629" s="527" t="s">
        <v>315</v>
      </c>
      <c r="N629" s="528" t="s">
        <v>315</v>
      </c>
      <c r="O629" s="663"/>
      <c r="P629" s="529"/>
      <c r="Q629" s="530" t="s">
        <v>315</v>
      </c>
      <c r="R629" s="530"/>
      <c r="S629" s="530"/>
      <c r="T629" s="667"/>
    </row>
    <row r="630" spans="1:20" s="508" customFormat="1" ht="30" hidden="1">
      <c r="A630" s="668"/>
      <c r="B630" s="507" t="s">
        <v>1163</v>
      </c>
      <c r="C630" s="536" t="s">
        <v>4296</v>
      </c>
      <c r="D630" s="534" t="s">
        <v>1247</v>
      </c>
      <c r="E630" s="519" t="str">
        <f>IF('GPS Anthro Tool'!$B$5=1,"ECE R129","")</f>
        <v/>
      </c>
      <c r="F630" s="507" t="s">
        <v>4243</v>
      </c>
      <c r="G630" s="536" t="s">
        <v>1240</v>
      </c>
      <c r="H630" s="507" t="s">
        <v>1248</v>
      </c>
      <c r="I630" s="507"/>
      <c r="J630" s="519" t="s">
        <v>3960</v>
      </c>
      <c r="K630" s="521" t="s">
        <v>605</v>
      </c>
      <c r="L630" s="526" t="s">
        <v>315</v>
      </c>
      <c r="M630" s="527" t="s">
        <v>315</v>
      </c>
      <c r="N630" s="528" t="s">
        <v>315</v>
      </c>
      <c r="O630" s="663"/>
      <c r="P630" s="529"/>
      <c r="Q630" s="530" t="s">
        <v>315</v>
      </c>
      <c r="R630" s="530"/>
      <c r="S630" s="530"/>
      <c r="T630" s="667"/>
    </row>
    <row r="631" spans="1:20" s="508" customFormat="1" ht="75" hidden="1">
      <c r="A631" s="668"/>
      <c r="B631" s="507" t="s">
        <v>1163</v>
      </c>
      <c r="C631" s="536" t="s">
        <v>4296</v>
      </c>
      <c r="D631" s="534" t="s">
        <v>1251</v>
      </c>
      <c r="E631" s="519" t="str">
        <f>IF('GPS Anthro Tool'!$B$5=1,"ECE R129","")</f>
        <v/>
      </c>
      <c r="F631" s="507" t="s">
        <v>4243</v>
      </c>
      <c r="G631" s="536" t="s">
        <v>1240</v>
      </c>
      <c r="H631" s="507" t="s">
        <v>1252</v>
      </c>
      <c r="I631" s="507"/>
      <c r="J631" s="519" t="s">
        <v>3960</v>
      </c>
      <c r="K631" s="521" t="s">
        <v>605</v>
      </c>
      <c r="L631" s="526" t="s">
        <v>315</v>
      </c>
      <c r="M631" s="527" t="s">
        <v>315</v>
      </c>
      <c r="N631" s="528" t="s">
        <v>315</v>
      </c>
      <c r="O631" s="663"/>
      <c r="P631" s="529"/>
      <c r="Q631" s="530" t="s">
        <v>315</v>
      </c>
      <c r="R631" s="530"/>
      <c r="S631" s="530"/>
      <c r="T631" s="667"/>
    </row>
    <row r="632" spans="1:20" s="508" customFormat="1" ht="135" hidden="1">
      <c r="A632" s="668"/>
      <c r="B632" s="507" t="s">
        <v>1163</v>
      </c>
      <c r="C632" s="536" t="s">
        <v>4296</v>
      </c>
      <c r="D632" s="534" t="s">
        <v>1256</v>
      </c>
      <c r="E632" s="519" t="str">
        <f>IF('GPS Anthro Tool'!$B$5=1,"ECE R129","")</f>
        <v/>
      </c>
      <c r="F632" s="507" t="s">
        <v>4243</v>
      </c>
      <c r="G632" s="536" t="s">
        <v>1253</v>
      </c>
      <c r="H632" s="507" t="s">
        <v>1257</v>
      </c>
      <c r="I632" s="507"/>
      <c r="J632" s="519" t="s">
        <v>3960</v>
      </c>
      <c r="K632" s="521" t="s">
        <v>605</v>
      </c>
      <c r="L632" s="526" t="s">
        <v>315</v>
      </c>
      <c r="M632" s="527" t="s">
        <v>315</v>
      </c>
      <c r="N632" s="528" t="s">
        <v>315</v>
      </c>
      <c r="O632" s="663"/>
      <c r="P632" s="529"/>
      <c r="Q632" s="530" t="s">
        <v>315</v>
      </c>
      <c r="R632" s="530"/>
      <c r="S632" s="530"/>
      <c r="T632" s="667"/>
    </row>
    <row r="633" spans="1:20" s="508" customFormat="1" ht="90" hidden="1">
      <c r="A633" s="668"/>
      <c r="B633" s="507" t="s">
        <v>1163</v>
      </c>
      <c r="C633" s="536" t="s">
        <v>4296</v>
      </c>
      <c r="D633" s="534" t="s">
        <v>1262</v>
      </c>
      <c r="E633" s="519" t="str">
        <f>IF('GPS Anthro Tool'!$B$5=1,"ECE R129","")</f>
        <v/>
      </c>
      <c r="F633" s="507" t="s">
        <v>4243</v>
      </c>
      <c r="G633" s="536" t="s">
        <v>1261</v>
      </c>
      <c r="H633" s="507" t="s">
        <v>1263</v>
      </c>
      <c r="I633" s="507"/>
      <c r="J633" s="519" t="s">
        <v>3960</v>
      </c>
      <c r="K633" s="521" t="s">
        <v>605</v>
      </c>
      <c r="L633" s="526" t="s">
        <v>315</v>
      </c>
      <c r="M633" s="527" t="s">
        <v>315</v>
      </c>
      <c r="N633" s="528" t="s">
        <v>315</v>
      </c>
      <c r="O633" s="663"/>
      <c r="P633" s="529"/>
      <c r="Q633" s="530" t="s">
        <v>315</v>
      </c>
      <c r="R633" s="530"/>
      <c r="S633" s="530"/>
      <c r="T633" s="667"/>
    </row>
    <row r="634" spans="1:20" s="508" customFormat="1" ht="60" hidden="1">
      <c r="A634" s="668"/>
      <c r="B634" s="507" t="s">
        <v>1163</v>
      </c>
      <c r="C634" s="536" t="s">
        <v>4296</v>
      </c>
      <c r="D634" s="534" t="s">
        <v>1265</v>
      </c>
      <c r="E634" s="519" t="str">
        <f>IF('GPS Anthro Tool'!$B$5=1,"ECE R129","")</f>
        <v/>
      </c>
      <c r="F634" s="507" t="s">
        <v>4243</v>
      </c>
      <c r="G634" s="536" t="s">
        <v>1264</v>
      </c>
      <c r="H634" s="506" t="s">
        <v>959</v>
      </c>
      <c r="I634" s="507" t="s">
        <v>1266</v>
      </c>
      <c r="J634" s="519" t="s">
        <v>3960</v>
      </c>
      <c r="K634" s="521" t="s">
        <v>605</v>
      </c>
      <c r="L634" s="526" t="s">
        <v>315</v>
      </c>
      <c r="M634" s="527" t="s">
        <v>315</v>
      </c>
      <c r="N634" s="528" t="s">
        <v>315</v>
      </c>
      <c r="O634" s="663"/>
      <c r="P634" s="529"/>
      <c r="Q634" s="530" t="s">
        <v>315</v>
      </c>
      <c r="R634" s="530"/>
      <c r="S634" s="530"/>
      <c r="T634" s="667"/>
    </row>
    <row r="635" spans="1:20" s="508" customFormat="1" ht="45" hidden="1">
      <c r="A635" s="668"/>
      <c r="B635" s="507" t="s">
        <v>1163</v>
      </c>
      <c r="C635" s="536" t="s">
        <v>4296</v>
      </c>
      <c r="D635" s="534" t="s">
        <v>1267</v>
      </c>
      <c r="E635" s="519" t="str">
        <f>IF('GPS Anthro Tool'!$B$5=1,"ECE R129","")</f>
        <v/>
      </c>
      <c r="F635" s="507" t="s">
        <v>4243</v>
      </c>
      <c r="G635" s="536" t="s">
        <v>1264</v>
      </c>
      <c r="H635" s="506" t="s">
        <v>959</v>
      </c>
      <c r="I635" s="507" t="s">
        <v>1268</v>
      </c>
      <c r="J635" s="519" t="s">
        <v>3960</v>
      </c>
      <c r="K635" s="521" t="s">
        <v>605</v>
      </c>
      <c r="L635" s="526" t="s">
        <v>315</v>
      </c>
      <c r="M635" s="527" t="s">
        <v>315</v>
      </c>
      <c r="N635" s="528" t="s">
        <v>315</v>
      </c>
      <c r="O635" s="663"/>
      <c r="P635" s="529"/>
      <c r="Q635" s="530" t="s">
        <v>315</v>
      </c>
      <c r="R635" s="530"/>
      <c r="S635" s="530"/>
      <c r="T635" s="667"/>
    </row>
    <row r="636" spans="1:20" s="508" customFormat="1" ht="105" hidden="1">
      <c r="A636" s="668"/>
      <c r="B636" s="507" t="s">
        <v>1163</v>
      </c>
      <c r="C636" s="536" t="s">
        <v>4296</v>
      </c>
      <c r="D636" s="534" t="s">
        <v>1272</v>
      </c>
      <c r="E636" s="519" t="str">
        <f>IF('GPS Anthro Tool'!$B$5=1,"ECE R129","")</f>
        <v/>
      </c>
      <c r="F636" s="507" t="s">
        <v>4243</v>
      </c>
      <c r="G636" s="507" t="s">
        <v>1269</v>
      </c>
      <c r="H636" s="507" t="s">
        <v>1273</v>
      </c>
      <c r="I636" s="507"/>
      <c r="J636" s="519" t="s">
        <v>3960</v>
      </c>
      <c r="K636" s="521" t="s">
        <v>605</v>
      </c>
      <c r="L636" s="526" t="s">
        <v>315</v>
      </c>
      <c r="M636" s="527" t="s">
        <v>315</v>
      </c>
      <c r="N636" s="528" t="s">
        <v>315</v>
      </c>
      <c r="O636" s="663"/>
      <c r="P636" s="529"/>
      <c r="Q636" s="530" t="s">
        <v>315</v>
      </c>
      <c r="R636" s="530"/>
      <c r="S636" s="530"/>
      <c r="T636" s="667"/>
    </row>
    <row r="637" spans="1:20" s="508" customFormat="1" ht="135" hidden="1">
      <c r="A637" s="668"/>
      <c r="B637" s="507" t="s">
        <v>1163</v>
      </c>
      <c r="C637" s="534" t="s">
        <v>4298</v>
      </c>
      <c r="D637" s="534" t="s">
        <v>1278</v>
      </c>
      <c r="E637" s="519" t="str">
        <f>IF('GPS Anthro Tool'!$B$5=1,"ECE R129","")</f>
        <v/>
      </c>
      <c r="F637" s="507" t="s">
        <v>4243</v>
      </c>
      <c r="G637" s="534" t="s">
        <v>1277</v>
      </c>
      <c r="H637" s="507" t="s">
        <v>1279</v>
      </c>
      <c r="I637" s="507"/>
      <c r="J637" s="519" t="s">
        <v>3960</v>
      </c>
      <c r="K637" s="521" t="s">
        <v>605</v>
      </c>
      <c r="L637" s="526" t="s">
        <v>315</v>
      </c>
      <c r="M637" s="527" t="s">
        <v>315</v>
      </c>
      <c r="N637" s="528" t="s">
        <v>315</v>
      </c>
      <c r="O637" s="663"/>
      <c r="P637" s="529"/>
      <c r="Q637" s="530" t="s">
        <v>315</v>
      </c>
      <c r="R637" s="530"/>
      <c r="S637" s="530"/>
      <c r="T637" s="667"/>
    </row>
    <row r="638" spans="1:20" s="508" customFormat="1" ht="270" hidden="1">
      <c r="A638" s="668"/>
      <c r="B638" s="507" t="s">
        <v>1163</v>
      </c>
      <c r="C638" s="534" t="s">
        <v>4298</v>
      </c>
      <c r="D638" s="534" t="s">
        <v>1282</v>
      </c>
      <c r="E638" s="519" t="str">
        <f>IF('GPS Anthro Tool'!$B$5=1,"ECE R129","")</f>
        <v/>
      </c>
      <c r="F638" s="507" t="s">
        <v>4243</v>
      </c>
      <c r="G638" s="534" t="s">
        <v>1277</v>
      </c>
      <c r="H638" s="507" t="s">
        <v>1283</v>
      </c>
      <c r="I638" s="507"/>
      <c r="J638" s="519" t="s">
        <v>3960</v>
      </c>
      <c r="K638" s="521" t="s">
        <v>605</v>
      </c>
      <c r="L638" s="526" t="s">
        <v>315</v>
      </c>
      <c r="M638" s="527" t="s">
        <v>315</v>
      </c>
      <c r="N638" s="528" t="s">
        <v>315</v>
      </c>
      <c r="O638" s="663"/>
      <c r="P638" s="529"/>
      <c r="Q638" s="530" t="s">
        <v>315</v>
      </c>
      <c r="R638" s="530"/>
      <c r="S638" s="530"/>
      <c r="T638" s="667"/>
    </row>
    <row r="639" spans="1:20" s="508" customFormat="1" ht="255" hidden="1">
      <c r="A639" s="668"/>
      <c r="B639" s="507" t="s">
        <v>1163</v>
      </c>
      <c r="C639" s="534" t="s">
        <v>1277</v>
      </c>
      <c r="D639" s="507" t="s">
        <v>1286</v>
      </c>
      <c r="E639" s="519" t="str">
        <f>IF('GPS Anthro Tool'!$B$5=1,"ECE R129","")</f>
        <v/>
      </c>
      <c r="F639" s="507" t="s">
        <v>4243</v>
      </c>
      <c r="G639" s="534" t="s">
        <v>1277</v>
      </c>
      <c r="H639" s="507" t="s">
        <v>1287</v>
      </c>
      <c r="I639" s="507"/>
      <c r="J639" s="519" t="s">
        <v>3960</v>
      </c>
      <c r="K639" s="521" t="s">
        <v>605</v>
      </c>
      <c r="L639" s="526" t="s">
        <v>315</v>
      </c>
      <c r="M639" s="527" t="s">
        <v>315</v>
      </c>
      <c r="N639" s="528" t="s">
        <v>315</v>
      </c>
      <c r="O639" s="663"/>
      <c r="P639" s="529"/>
      <c r="Q639" s="530" t="s">
        <v>315</v>
      </c>
      <c r="R639" s="530"/>
      <c r="S639" s="530"/>
      <c r="T639" s="667"/>
    </row>
    <row r="640" spans="1:20" s="508" customFormat="1" ht="60" hidden="1">
      <c r="A640" s="668"/>
      <c r="B640" s="507" t="s">
        <v>1163</v>
      </c>
      <c r="C640" s="534" t="s">
        <v>4299</v>
      </c>
      <c r="D640" s="534" t="s">
        <v>1292</v>
      </c>
      <c r="E640" s="519" t="str">
        <f>IF('GPS Anthro Tool'!$B$5=1,"ECE R129","")</f>
        <v/>
      </c>
      <c r="F640" s="507" t="s">
        <v>4243</v>
      </c>
      <c r="G640" s="534" t="s">
        <v>1291</v>
      </c>
      <c r="H640" s="507" t="s">
        <v>1293</v>
      </c>
      <c r="I640" s="507"/>
      <c r="J640" s="519" t="s">
        <v>3960</v>
      </c>
      <c r="K640" s="521" t="s">
        <v>605</v>
      </c>
      <c r="L640" s="526" t="s">
        <v>315</v>
      </c>
      <c r="M640" s="527" t="s">
        <v>315</v>
      </c>
      <c r="N640" s="528" t="s">
        <v>315</v>
      </c>
      <c r="O640" s="663"/>
      <c r="P640" s="529"/>
      <c r="Q640" s="530" t="s">
        <v>315</v>
      </c>
      <c r="R640" s="530"/>
      <c r="S640" s="530"/>
      <c r="T640" s="667"/>
    </row>
    <row r="641" spans="1:20" s="508" customFormat="1" ht="30" hidden="1">
      <c r="A641" s="668"/>
      <c r="B641" s="507" t="s">
        <v>1163</v>
      </c>
      <c r="C641" s="534" t="s">
        <v>4299</v>
      </c>
      <c r="D641" s="534" t="s">
        <v>1296</v>
      </c>
      <c r="E641" s="519" t="str">
        <f>IF('GPS Anthro Tool'!$B$5=1,"ECE R129","")</f>
        <v/>
      </c>
      <c r="F641" s="507" t="s">
        <v>4243</v>
      </c>
      <c r="G641" s="534" t="s">
        <v>1291</v>
      </c>
      <c r="H641" s="507" t="s">
        <v>1297</v>
      </c>
      <c r="I641" s="507"/>
      <c r="J641" s="519" t="s">
        <v>3960</v>
      </c>
      <c r="K641" s="521" t="s">
        <v>605</v>
      </c>
      <c r="L641" s="526" t="s">
        <v>315</v>
      </c>
      <c r="M641" s="527" t="s">
        <v>315</v>
      </c>
      <c r="N641" s="528" t="s">
        <v>315</v>
      </c>
      <c r="O641" s="663"/>
      <c r="P641" s="529"/>
      <c r="Q641" s="530" t="s">
        <v>315</v>
      </c>
      <c r="R641" s="530"/>
      <c r="S641" s="530"/>
      <c r="T641" s="667"/>
    </row>
    <row r="642" spans="1:20" s="508" customFormat="1" ht="45" hidden="1">
      <c r="A642" s="518"/>
      <c r="B642" s="507" t="s">
        <v>1163</v>
      </c>
      <c r="C642" s="534" t="s">
        <v>4299</v>
      </c>
      <c r="D642" s="534" t="s">
        <v>1300</v>
      </c>
      <c r="E642" s="519" t="str">
        <f>IF('GPS Anthro Tool'!$B$5=1,"ECE R129","")</f>
        <v/>
      </c>
      <c r="F642" s="507" t="s">
        <v>4243</v>
      </c>
      <c r="G642" s="534" t="s">
        <v>1291</v>
      </c>
      <c r="H642" s="507" t="s">
        <v>1301</v>
      </c>
      <c r="I642" s="507"/>
      <c r="J642" s="519" t="s">
        <v>3960</v>
      </c>
      <c r="K642" s="521" t="s">
        <v>605</v>
      </c>
      <c r="L642" s="526" t="s">
        <v>315</v>
      </c>
      <c r="M642" s="527" t="s">
        <v>315</v>
      </c>
      <c r="N642" s="528" t="s">
        <v>315</v>
      </c>
      <c r="O642" s="663"/>
      <c r="P642" s="529"/>
      <c r="Q642" s="530" t="s">
        <v>315</v>
      </c>
      <c r="R642" s="530"/>
      <c r="S642" s="530"/>
      <c r="T642" s="667"/>
    </row>
    <row r="643" spans="1:20" s="508" customFormat="1" ht="60" hidden="1">
      <c r="A643" s="518"/>
      <c r="B643" s="507" t="s">
        <v>1163</v>
      </c>
      <c r="C643" s="534" t="s">
        <v>4299</v>
      </c>
      <c r="D643" s="534" t="s">
        <v>1304</v>
      </c>
      <c r="E643" s="519" t="str">
        <f>IF('GPS Anthro Tool'!$B$5=1,"ECE R129","")</f>
        <v/>
      </c>
      <c r="F643" s="507" t="s">
        <v>4243</v>
      </c>
      <c r="G643" s="534" t="s">
        <v>1291</v>
      </c>
      <c r="H643" s="507" t="s">
        <v>1305</v>
      </c>
      <c r="I643" s="507"/>
      <c r="J643" s="519" t="s">
        <v>3960</v>
      </c>
      <c r="K643" s="521" t="s">
        <v>605</v>
      </c>
      <c r="L643" s="526" t="s">
        <v>315</v>
      </c>
      <c r="M643" s="527" t="s">
        <v>315</v>
      </c>
      <c r="N643" s="528" t="s">
        <v>315</v>
      </c>
      <c r="O643" s="663"/>
      <c r="P643" s="529"/>
      <c r="Q643" s="530" t="s">
        <v>315</v>
      </c>
      <c r="R643" s="530"/>
      <c r="S643" s="530"/>
      <c r="T643" s="667"/>
    </row>
    <row r="644" spans="1:20" s="508" customFormat="1" ht="60" hidden="1">
      <c r="A644" s="518"/>
      <c r="B644" s="507" t="s">
        <v>1163</v>
      </c>
      <c r="C644" s="534" t="s">
        <v>4299</v>
      </c>
      <c r="D644" s="534" t="s">
        <v>1308</v>
      </c>
      <c r="E644" s="519" t="str">
        <f>IF('GPS Anthro Tool'!$B$5=1,"ECE R129","")</f>
        <v/>
      </c>
      <c r="F644" s="507" t="s">
        <v>4243</v>
      </c>
      <c r="G644" s="534" t="s">
        <v>1291</v>
      </c>
      <c r="H644" s="507" t="s">
        <v>1309</v>
      </c>
      <c r="I644" s="507"/>
      <c r="J644" s="519" t="s">
        <v>3960</v>
      </c>
      <c r="K644" s="521" t="s">
        <v>605</v>
      </c>
      <c r="L644" s="526" t="s">
        <v>315</v>
      </c>
      <c r="M644" s="527" t="s">
        <v>315</v>
      </c>
      <c r="N644" s="528" t="s">
        <v>315</v>
      </c>
      <c r="O644" s="663"/>
      <c r="P644" s="529"/>
      <c r="Q644" s="530" t="s">
        <v>315</v>
      </c>
      <c r="R644" s="530"/>
      <c r="S644" s="530"/>
      <c r="T644" s="667"/>
    </row>
    <row r="645" spans="1:20" s="508" customFormat="1" ht="90" hidden="1">
      <c r="A645" s="668"/>
      <c r="B645" s="507" t="s">
        <v>1163</v>
      </c>
      <c r="C645" s="534" t="s">
        <v>4299</v>
      </c>
      <c r="D645" s="534" t="s">
        <v>1312</v>
      </c>
      <c r="E645" s="519" t="str">
        <f>IF('GPS Anthro Tool'!$B$5=1,"ECE R129","")</f>
        <v/>
      </c>
      <c r="F645" s="507" t="s">
        <v>4243</v>
      </c>
      <c r="G645" s="534" t="s">
        <v>1291</v>
      </c>
      <c r="H645" s="507" t="s">
        <v>1313</v>
      </c>
      <c r="I645" s="507"/>
      <c r="J645" s="519" t="s">
        <v>3960</v>
      </c>
      <c r="K645" s="521" t="s">
        <v>605</v>
      </c>
      <c r="L645" s="526" t="s">
        <v>315</v>
      </c>
      <c r="M645" s="527" t="s">
        <v>315</v>
      </c>
      <c r="N645" s="528" t="s">
        <v>315</v>
      </c>
      <c r="O645" s="663"/>
      <c r="P645" s="529"/>
      <c r="Q645" s="530" t="s">
        <v>315</v>
      </c>
      <c r="R645" s="530"/>
      <c r="S645" s="530"/>
      <c r="T645" s="667"/>
    </row>
    <row r="646" spans="1:20" s="508" customFormat="1" ht="105" hidden="1">
      <c r="A646" s="518"/>
      <c r="B646" s="507" t="s">
        <v>1163</v>
      </c>
      <c r="C646" s="534" t="s">
        <v>4299</v>
      </c>
      <c r="D646" s="534" t="s">
        <v>1316</v>
      </c>
      <c r="E646" s="519" t="str">
        <f>IF('GPS Anthro Tool'!$B$5=1,"ECE R129","")</f>
        <v/>
      </c>
      <c r="F646" s="507" t="s">
        <v>4243</v>
      </c>
      <c r="G646" s="534" t="s">
        <v>1291</v>
      </c>
      <c r="H646" s="507" t="s">
        <v>1317</v>
      </c>
      <c r="I646" s="507"/>
      <c r="J646" s="519" t="s">
        <v>3960</v>
      </c>
      <c r="K646" s="521" t="s">
        <v>605</v>
      </c>
      <c r="L646" s="526" t="s">
        <v>315</v>
      </c>
      <c r="M646" s="527" t="s">
        <v>315</v>
      </c>
      <c r="N646" s="528" t="s">
        <v>315</v>
      </c>
      <c r="O646" s="663"/>
      <c r="P646" s="529"/>
      <c r="Q646" s="530" t="s">
        <v>315</v>
      </c>
      <c r="R646" s="530"/>
      <c r="S646" s="530"/>
      <c r="T646" s="667"/>
    </row>
    <row r="647" spans="1:20" s="508" customFormat="1" ht="180" hidden="1">
      <c r="A647" s="518"/>
      <c r="B647" s="507" t="s">
        <v>1163</v>
      </c>
      <c r="C647" s="534" t="s">
        <v>4299</v>
      </c>
      <c r="D647" s="534" t="s">
        <v>1320</v>
      </c>
      <c r="E647" s="519" t="str">
        <f>IF('GPS Anthro Tool'!$B$5=1,"ECE R129","")</f>
        <v/>
      </c>
      <c r="F647" s="507" t="s">
        <v>4243</v>
      </c>
      <c r="G647" s="534" t="s">
        <v>1291</v>
      </c>
      <c r="H647" s="507" t="s">
        <v>1321</v>
      </c>
      <c r="I647" s="507"/>
      <c r="J647" s="519" t="s">
        <v>3960</v>
      </c>
      <c r="K647" s="521" t="s">
        <v>605</v>
      </c>
      <c r="L647" s="526" t="s">
        <v>315</v>
      </c>
      <c r="M647" s="527" t="s">
        <v>315</v>
      </c>
      <c r="N647" s="528" t="s">
        <v>315</v>
      </c>
      <c r="O647" s="663"/>
      <c r="P647" s="529"/>
      <c r="Q647" s="530" t="s">
        <v>315</v>
      </c>
      <c r="R647" s="530"/>
      <c r="S647" s="530"/>
      <c r="T647" s="667"/>
    </row>
    <row r="648" spans="1:20" s="508" customFormat="1" ht="270" hidden="1">
      <c r="A648" s="518"/>
      <c r="B648" s="507" t="s">
        <v>1163</v>
      </c>
      <c r="C648" s="534" t="s">
        <v>4299</v>
      </c>
      <c r="D648" s="534" t="s">
        <v>1324</v>
      </c>
      <c r="E648" s="519" t="str">
        <f>IF('GPS Anthro Tool'!$B$5=1,"ECE R129","")</f>
        <v/>
      </c>
      <c r="F648" s="507" t="s">
        <v>4243</v>
      </c>
      <c r="G648" s="534" t="s">
        <v>1291</v>
      </c>
      <c r="H648" s="507" t="s">
        <v>1325</v>
      </c>
      <c r="I648" s="507"/>
      <c r="J648" s="519" t="s">
        <v>3960</v>
      </c>
      <c r="K648" s="521" t="s">
        <v>605</v>
      </c>
      <c r="L648" s="526" t="s">
        <v>315</v>
      </c>
      <c r="M648" s="527" t="s">
        <v>315</v>
      </c>
      <c r="N648" s="528" t="s">
        <v>315</v>
      </c>
      <c r="O648" s="663"/>
      <c r="P648" s="529"/>
      <c r="Q648" s="530" t="s">
        <v>315</v>
      </c>
      <c r="R648" s="530"/>
      <c r="S648" s="530"/>
      <c r="T648" s="667"/>
    </row>
    <row r="649" spans="1:20" s="508" customFormat="1" ht="165" hidden="1">
      <c r="A649" s="518"/>
      <c r="B649" s="507" t="s">
        <v>1163</v>
      </c>
      <c r="C649" s="534" t="s">
        <v>4299</v>
      </c>
      <c r="D649" s="534" t="s">
        <v>1328</v>
      </c>
      <c r="E649" s="519" t="str">
        <f>IF('GPS Anthro Tool'!$B$5=1,"ECE R129","")</f>
        <v/>
      </c>
      <c r="F649" s="507" t="s">
        <v>4243</v>
      </c>
      <c r="G649" s="534" t="s">
        <v>1291</v>
      </c>
      <c r="H649" s="507" t="s">
        <v>1329</v>
      </c>
      <c r="I649" s="507"/>
      <c r="J649" s="519" t="s">
        <v>3960</v>
      </c>
      <c r="K649" s="521" t="s">
        <v>605</v>
      </c>
      <c r="L649" s="526" t="s">
        <v>315</v>
      </c>
      <c r="M649" s="527" t="s">
        <v>315</v>
      </c>
      <c r="N649" s="528" t="s">
        <v>315</v>
      </c>
      <c r="O649" s="663"/>
      <c r="P649" s="529"/>
      <c r="Q649" s="530" t="s">
        <v>315</v>
      </c>
      <c r="R649" s="530"/>
      <c r="S649" s="530"/>
      <c r="T649" s="667"/>
    </row>
    <row r="650" spans="1:20" s="508" customFormat="1" ht="120" hidden="1">
      <c r="A650" s="518"/>
      <c r="B650" s="507" t="s">
        <v>1163</v>
      </c>
      <c r="C650" s="507" t="s">
        <v>4300</v>
      </c>
      <c r="D650" s="534" t="s">
        <v>1333</v>
      </c>
      <c r="E650" s="519" t="str">
        <f>IF('GPS Anthro Tool'!$B$5=1,"ECE R129","")</f>
        <v/>
      </c>
      <c r="F650" s="507" t="s">
        <v>4243</v>
      </c>
      <c r="G650" s="507" t="s">
        <v>1330</v>
      </c>
      <c r="H650" s="507" t="s">
        <v>1334</v>
      </c>
      <c r="I650" s="507"/>
      <c r="J650" s="519" t="s">
        <v>3960</v>
      </c>
      <c r="K650" s="521" t="s">
        <v>605</v>
      </c>
      <c r="L650" s="526" t="s">
        <v>315</v>
      </c>
      <c r="M650" s="527" t="s">
        <v>315</v>
      </c>
      <c r="N650" s="528" t="s">
        <v>315</v>
      </c>
      <c r="O650" s="663"/>
      <c r="P650" s="529"/>
      <c r="Q650" s="530" t="s">
        <v>315</v>
      </c>
      <c r="R650" s="530"/>
      <c r="S650" s="530"/>
      <c r="T650" s="667"/>
    </row>
    <row r="651" spans="1:20" s="508" customFormat="1" ht="75" hidden="1">
      <c r="A651" s="668"/>
      <c r="B651" s="507" t="s">
        <v>1163</v>
      </c>
      <c r="C651" s="507" t="s">
        <v>4300</v>
      </c>
      <c r="D651" s="534" t="s">
        <v>1338</v>
      </c>
      <c r="E651" s="519" t="str">
        <f>IF('GPS Anthro Tool'!$B$5=1,"ECE R129","")</f>
        <v/>
      </c>
      <c r="F651" s="507" t="s">
        <v>4243</v>
      </c>
      <c r="G651" s="507" t="s">
        <v>1335</v>
      </c>
      <c r="H651" s="507" t="s">
        <v>1339</v>
      </c>
      <c r="I651" s="507"/>
      <c r="J651" s="519" t="s">
        <v>3960</v>
      </c>
      <c r="K651" s="521" t="s">
        <v>605</v>
      </c>
      <c r="L651" s="526" t="s">
        <v>315</v>
      </c>
      <c r="M651" s="527" t="s">
        <v>315</v>
      </c>
      <c r="N651" s="528" t="s">
        <v>315</v>
      </c>
      <c r="O651" s="663"/>
      <c r="P651" s="529"/>
      <c r="Q651" s="530" t="s">
        <v>315</v>
      </c>
      <c r="R651" s="530"/>
      <c r="S651" s="530"/>
      <c r="T651" s="667"/>
    </row>
    <row r="652" spans="1:20" s="508" customFormat="1" ht="60" hidden="1">
      <c r="A652" s="518"/>
      <c r="B652" s="507" t="s">
        <v>1163</v>
      </c>
      <c r="C652" s="507" t="s">
        <v>4300</v>
      </c>
      <c r="D652" s="534" t="s">
        <v>1342</v>
      </c>
      <c r="E652" s="519" t="str">
        <f>IF('GPS Anthro Tool'!$B$5=1,"ECE R129","")</f>
        <v/>
      </c>
      <c r="F652" s="507" t="s">
        <v>4243</v>
      </c>
      <c r="G652" s="507" t="s">
        <v>1335</v>
      </c>
      <c r="H652" s="507" t="s">
        <v>1343</v>
      </c>
      <c r="I652" s="507"/>
      <c r="J652" s="519" t="s">
        <v>3960</v>
      </c>
      <c r="K652" s="521" t="s">
        <v>605</v>
      </c>
      <c r="L652" s="526" t="s">
        <v>315</v>
      </c>
      <c r="M652" s="527" t="s">
        <v>315</v>
      </c>
      <c r="N652" s="528" t="s">
        <v>315</v>
      </c>
      <c r="O652" s="663"/>
      <c r="P652" s="529"/>
      <c r="Q652" s="530" t="s">
        <v>315</v>
      </c>
      <c r="R652" s="530"/>
      <c r="S652" s="530"/>
      <c r="T652" s="667"/>
    </row>
    <row r="653" spans="1:20" s="508" customFormat="1" ht="45" hidden="1">
      <c r="A653" s="668"/>
      <c r="B653" s="671" t="s">
        <v>3968</v>
      </c>
      <c r="C653" s="659" t="s">
        <v>3977</v>
      </c>
      <c r="D653" s="660" t="s">
        <v>3984</v>
      </c>
      <c r="E653" s="509" t="str">
        <f>IF('GPS Anthro Tool'!$B$4=1,IF('GPS Anthro Tool'!$B$2=1,"North America CPSC",IF('GPS Anthro Tool'!$B$2=2,"North America CPSC","")),"")</f>
        <v>North America CPSC</v>
      </c>
      <c r="F653" s="506" t="s">
        <v>4316</v>
      </c>
      <c r="G653" s="506"/>
      <c r="H653" s="659" t="s">
        <v>3999</v>
      </c>
      <c r="I653" s="639"/>
      <c r="J653" s="513"/>
      <c r="K653" s="643"/>
      <c r="L653" s="526" t="s">
        <v>315</v>
      </c>
      <c r="M653" s="527" t="s">
        <v>315</v>
      </c>
      <c r="N653" s="528" t="s">
        <v>315</v>
      </c>
      <c r="O653" s="663"/>
      <c r="P653" s="529"/>
      <c r="Q653" s="531"/>
      <c r="R653" s="530"/>
      <c r="S653" s="530" t="s">
        <v>315</v>
      </c>
      <c r="T653" s="667"/>
    </row>
    <row r="654" spans="1:20" s="508" customFormat="1" ht="225" hidden="1">
      <c r="A654" s="668"/>
      <c r="B654" s="670" t="s">
        <v>3066</v>
      </c>
      <c r="C654" s="660" t="s">
        <v>2985</v>
      </c>
      <c r="D654" s="660" t="s">
        <v>3981</v>
      </c>
      <c r="E654" s="509" t="str">
        <f>IF('GPS Anthro Tool'!$B$4=1,IF('GPS Anthro Tool'!$B$2=1,"North America CPSC",IF('GPS Anthro Tool'!$B$2=2,"North America CPSC","")),"")</f>
        <v>North America CPSC</v>
      </c>
      <c r="F654" s="506" t="s">
        <v>4316</v>
      </c>
      <c r="G654" s="506"/>
      <c r="H654" s="660" t="s">
        <v>3989</v>
      </c>
      <c r="I654" s="639"/>
      <c r="J654" s="513"/>
      <c r="K654" s="643"/>
      <c r="L654" s="526" t="s">
        <v>315</v>
      </c>
      <c r="M654" s="527" t="s">
        <v>315</v>
      </c>
      <c r="N654" s="528" t="s">
        <v>315</v>
      </c>
      <c r="O654" s="663"/>
      <c r="P654" s="529"/>
      <c r="Q654" s="531"/>
      <c r="R654" s="530"/>
      <c r="S654" s="530" t="s">
        <v>315</v>
      </c>
      <c r="T654" s="667"/>
    </row>
    <row r="655" spans="1:20" s="508" customFormat="1" ht="120" hidden="1">
      <c r="A655" s="668"/>
      <c r="B655" s="507" t="s">
        <v>1163</v>
      </c>
      <c r="C655" s="507" t="s">
        <v>4300</v>
      </c>
      <c r="D655" s="534" t="s">
        <v>1347</v>
      </c>
      <c r="E655" s="519" t="str">
        <f>IF('GPS Anthro Tool'!$B$5=1,"ECE R129","")</f>
        <v/>
      </c>
      <c r="F655" s="507" t="s">
        <v>4243</v>
      </c>
      <c r="G655" s="507" t="s">
        <v>1344</v>
      </c>
      <c r="H655" s="506" t="s">
        <v>959</v>
      </c>
      <c r="I655" s="507" t="s">
        <v>1348</v>
      </c>
      <c r="J655" s="519" t="s">
        <v>3960</v>
      </c>
      <c r="K655" s="521" t="s">
        <v>605</v>
      </c>
      <c r="L655" s="526" t="s">
        <v>315</v>
      </c>
      <c r="M655" s="527" t="s">
        <v>315</v>
      </c>
      <c r="N655" s="528" t="s">
        <v>315</v>
      </c>
      <c r="O655" s="663"/>
      <c r="P655" s="529"/>
      <c r="Q655" s="530" t="s">
        <v>315</v>
      </c>
      <c r="R655" s="530"/>
      <c r="S655" s="530"/>
      <c r="T655" s="667"/>
    </row>
    <row r="656" spans="1:20" s="508" customFormat="1" ht="60" hidden="1">
      <c r="A656" s="668"/>
      <c r="B656" s="507" t="s">
        <v>1163</v>
      </c>
      <c r="C656" s="507" t="s">
        <v>4300</v>
      </c>
      <c r="D656" s="534" t="s">
        <v>1351</v>
      </c>
      <c r="E656" s="519" t="str">
        <f>IF('GPS Anthro Tool'!$B$5=1,"ECE R129","")</f>
        <v/>
      </c>
      <c r="F656" s="507" t="s">
        <v>4243</v>
      </c>
      <c r="G656" s="507" t="s">
        <v>1344</v>
      </c>
      <c r="H656" s="506" t="s">
        <v>959</v>
      </c>
      <c r="I656" s="507" t="s">
        <v>1352</v>
      </c>
      <c r="J656" s="519" t="s">
        <v>3960</v>
      </c>
      <c r="K656" s="521" t="s">
        <v>605</v>
      </c>
      <c r="L656" s="526" t="s">
        <v>315</v>
      </c>
      <c r="M656" s="527" t="s">
        <v>315</v>
      </c>
      <c r="N656" s="528" t="s">
        <v>315</v>
      </c>
      <c r="O656" s="663"/>
      <c r="P656" s="529"/>
      <c r="Q656" s="530" t="s">
        <v>315</v>
      </c>
      <c r="R656" s="530"/>
      <c r="S656" s="530"/>
      <c r="T656" s="667"/>
    </row>
    <row r="657" spans="1:20" s="508" customFormat="1" ht="75" hidden="1">
      <c r="A657" s="668"/>
      <c r="B657" s="507" t="s">
        <v>1163</v>
      </c>
      <c r="C657" s="507" t="s">
        <v>4300</v>
      </c>
      <c r="D657" s="534" t="s">
        <v>1353</v>
      </c>
      <c r="E657" s="519" t="str">
        <f>IF('GPS Anthro Tool'!$B$5=1,"ECE R129","")</f>
        <v/>
      </c>
      <c r="F657" s="507" t="s">
        <v>4243</v>
      </c>
      <c r="G657" s="507" t="s">
        <v>1344</v>
      </c>
      <c r="H657" s="507" t="s">
        <v>1354</v>
      </c>
      <c r="I657" s="507"/>
      <c r="J657" s="519" t="s">
        <v>3960</v>
      </c>
      <c r="K657" s="521" t="s">
        <v>605</v>
      </c>
      <c r="L657" s="526" t="s">
        <v>315</v>
      </c>
      <c r="M657" s="527" t="s">
        <v>315</v>
      </c>
      <c r="N657" s="528" t="s">
        <v>315</v>
      </c>
      <c r="O657" s="663"/>
      <c r="P657" s="529"/>
      <c r="Q657" s="530" t="s">
        <v>315</v>
      </c>
      <c r="R657" s="530"/>
      <c r="S657" s="530"/>
      <c r="T657" s="667"/>
    </row>
    <row r="658" spans="1:20" s="537" customFormat="1" ht="105" hidden="1">
      <c r="A658" s="668"/>
      <c r="B658" s="507" t="s">
        <v>1163</v>
      </c>
      <c r="C658" s="507" t="s">
        <v>4300</v>
      </c>
      <c r="D658" s="534" t="s">
        <v>1355</v>
      </c>
      <c r="E658" s="519" t="str">
        <f>IF('GPS Anthro Tool'!$B$5=1,"ECE R129","")</f>
        <v/>
      </c>
      <c r="F658" s="507" t="s">
        <v>4243</v>
      </c>
      <c r="G658" s="507" t="s">
        <v>1344</v>
      </c>
      <c r="H658" s="507" t="s">
        <v>1356</v>
      </c>
      <c r="I658" s="506" t="s">
        <v>959</v>
      </c>
      <c r="J658" s="519" t="s">
        <v>3960</v>
      </c>
      <c r="K658" s="521" t="s">
        <v>605</v>
      </c>
      <c r="L658" s="526" t="s">
        <v>315</v>
      </c>
      <c r="M658" s="527" t="s">
        <v>315</v>
      </c>
      <c r="N658" s="528" t="s">
        <v>315</v>
      </c>
      <c r="O658" s="663"/>
      <c r="P658" s="529"/>
      <c r="Q658" s="530" t="s">
        <v>315</v>
      </c>
      <c r="R658" s="530"/>
      <c r="S658" s="530"/>
      <c r="T658" s="566"/>
    </row>
    <row r="659" spans="1:20" s="537" customFormat="1" ht="45" hidden="1">
      <c r="A659" s="668"/>
      <c r="B659" s="507" t="s">
        <v>1163</v>
      </c>
      <c r="C659" s="507" t="s">
        <v>4300</v>
      </c>
      <c r="D659" s="534" t="s">
        <v>1360</v>
      </c>
      <c r="E659" s="519" t="str">
        <f>IF('GPS Anthro Tool'!$B$5=1,"ECE R129","")</f>
        <v/>
      </c>
      <c r="F659" s="507" t="s">
        <v>4243</v>
      </c>
      <c r="G659" s="507" t="s">
        <v>1357</v>
      </c>
      <c r="H659" s="507" t="s">
        <v>1361</v>
      </c>
      <c r="I659" s="507"/>
      <c r="J659" s="519" t="s">
        <v>3960</v>
      </c>
      <c r="K659" s="521" t="s">
        <v>605</v>
      </c>
      <c r="L659" s="526" t="s">
        <v>315</v>
      </c>
      <c r="M659" s="527" t="s">
        <v>315</v>
      </c>
      <c r="N659" s="528" t="s">
        <v>315</v>
      </c>
      <c r="O659" s="663"/>
      <c r="P659" s="529"/>
      <c r="Q659" s="530" t="s">
        <v>315</v>
      </c>
      <c r="R659" s="530"/>
      <c r="S659" s="530"/>
      <c r="T659" s="566"/>
    </row>
    <row r="660" spans="1:20" s="537" customFormat="1" ht="120" hidden="1">
      <c r="A660" s="668"/>
      <c r="B660" s="507" t="s">
        <v>1163</v>
      </c>
      <c r="C660" s="534" t="s">
        <v>4301</v>
      </c>
      <c r="D660" s="534" t="s">
        <v>1445</v>
      </c>
      <c r="E660" s="519" t="str">
        <f>IF('GPS Anthro Tool'!$B$5=1,"ECE R129","")</f>
        <v/>
      </c>
      <c r="F660" s="507" t="s">
        <v>4243</v>
      </c>
      <c r="G660" s="534" t="s">
        <v>1444</v>
      </c>
      <c r="H660" s="507" t="s">
        <v>1446</v>
      </c>
      <c r="I660" s="507"/>
      <c r="J660" s="519" t="s">
        <v>3960</v>
      </c>
      <c r="K660" s="521" t="s">
        <v>605</v>
      </c>
      <c r="L660" s="526" t="s">
        <v>315</v>
      </c>
      <c r="M660" s="527" t="s">
        <v>315</v>
      </c>
      <c r="N660" s="528" t="s">
        <v>315</v>
      </c>
      <c r="O660" s="663"/>
      <c r="P660" s="529"/>
      <c r="Q660" s="530" t="s">
        <v>315</v>
      </c>
      <c r="R660" s="530"/>
      <c r="S660" s="530"/>
      <c r="T660" s="566"/>
    </row>
    <row r="661" spans="1:20" s="537" customFormat="1" ht="135" hidden="1">
      <c r="A661" s="668"/>
      <c r="B661" s="671" t="s">
        <v>3968</v>
      </c>
      <c r="C661" s="661" t="s">
        <v>3973</v>
      </c>
      <c r="D661" s="660" t="s">
        <v>4248</v>
      </c>
      <c r="E661" s="509" t="str">
        <f>IF('GPS Anthro Tool'!$B$4=1,IF('GPS Anthro Tool'!$B$2=1,"North America CPSC",IF('GPS Anthro Tool'!$B$2=2,"North America CPSC","")),"")</f>
        <v>North America CPSC</v>
      </c>
      <c r="F661" s="506" t="s">
        <v>4316</v>
      </c>
      <c r="G661" s="506"/>
      <c r="H661" s="661" t="s">
        <v>3995</v>
      </c>
      <c r="I661" s="639"/>
      <c r="J661" s="513"/>
      <c r="K661" s="643"/>
      <c r="L661" s="526" t="s">
        <v>315</v>
      </c>
      <c r="M661" s="527" t="s">
        <v>315</v>
      </c>
      <c r="N661" s="528" t="s">
        <v>315</v>
      </c>
      <c r="O661" s="663"/>
      <c r="P661" s="529"/>
      <c r="Q661" s="531"/>
      <c r="R661" s="530"/>
      <c r="S661" s="530" t="s">
        <v>315</v>
      </c>
      <c r="T661" s="566"/>
    </row>
    <row r="662" spans="1:20" s="537" customFormat="1" ht="45" hidden="1">
      <c r="A662" s="668"/>
      <c r="B662" s="671" t="s">
        <v>3968</v>
      </c>
      <c r="C662" s="661" t="s">
        <v>3974</v>
      </c>
      <c r="D662" s="660" t="s">
        <v>4249</v>
      </c>
      <c r="E662" s="509" t="str">
        <f>IF('GPS Anthro Tool'!$B$4=1,IF('GPS Anthro Tool'!$B$2=1,"North America CPSC",IF('GPS Anthro Tool'!$B$2=2,"North America CPSC","")),"")</f>
        <v>North America CPSC</v>
      </c>
      <c r="F662" s="506" t="s">
        <v>4316</v>
      </c>
      <c r="G662" s="506"/>
      <c r="H662" s="661" t="s">
        <v>3996</v>
      </c>
      <c r="I662" s="639"/>
      <c r="J662" s="513"/>
      <c r="K662" s="643"/>
      <c r="L662" s="526" t="s">
        <v>315</v>
      </c>
      <c r="M662" s="527" t="s">
        <v>315</v>
      </c>
      <c r="N662" s="528" t="s">
        <v>315</v>
      </c>
      <c r="O662" s="663"/>
      <c r="P662" s="529"/>
      <c r="Q662" s="531"/>
      <c r="R662" s="530"/>
      <c r="S662" s="530" t="s">
        <v>315</v>
      </c>
      <c r="T662" s="566"/>
    </row>
    <row r="663" spans="1:20" s="537" customFormat="1" ht="135" hidden="1">
      <c r="A663" s="668"/>
      <c r="B663" s="671" t="s">
        <v>3968</v>
      </c>
      <c r="C663" s="659" t="s">
        <v>3975</v>
      </c>
      <c r="D663" s="660" t="s">
        <v>4250</v>
      </c>
      <c r="E663" s="509" t="str">
        <f>IF('GPS Anthro Tool'!$B$4=1,IF('GPS Anthro Tool'!$B$2=1,"North America CPSC",IF('GPS Anthro Tool'!$B$2=2,"North America CPSC","")),"")</f>
        <v>North America CPSC</v>
      </c>
      <c r="F663" s="506" t="s">
        <v>4316</v>
      </c>
      <c r="G663" s="506"/>
      <c r="H663" s="659" t="s">
        <v>3997</v>
      </c>
      <c r="I663" s="639"/>
      <c r="J663" s="513"/>
      <c r="K663" s="643"/>
      <c r="L663" s="526" t="s">
        <v>315</v>
      </c>
      <c r="M663" s="527" t="s">
        <v>315</v>
      </c>
      <c r="N663" s="528" t="s">
        <v>315</v>
      </c>
      <c r="O663" s="663"/>
      <c r="P663" s="529"/>
      <c r="Q663" s="531"/>
      <c r="R663" s="530"/>
      <c r="S663" s="530" t="s">
        <v>315</v>
      </c>
      <c r="T663" s="566"/>
    </row>
    <row r="664" spans="1:20" s="537" customFormat="1" ht="135" hidden="1">
      <c r="A664" s="668"/>
      <c r="B664" s="671" t="s">
        <v>3968</v>
      </c>
      <c r="C664" s="659" t="s">
        <v>3976</v>
      </c>
      <c r="D664" s="660" t="s">
        <v>4247</v>
      </c>
      <c r="E664" s="509" t="str">
        <f>IF('GPS Anthro Tool'!$B$4=1,IF('GPS Anthro Tool'!$B$2=1,"North America CPSC",IF('GPS Anthro Tool'!$B$2=2,"North America CPSC","")),"")</f>
        <v>North America CPSC</v>
      </c>
      <c r="F664" s="506" t="s">
        <v>4316</v>
      </c>
      <c r="G664" s="506"/>
      <c r="H664" s="659" t="s">
        <v>3998</v>
      </c>
      <c r="I664" s="639"/>
      <c r="J664" s="513"/>
      <c r="K664" s="643"/>
      <c r="L664" s="526" t="s">
        <v>315</v>
      </c>
      <c r="M664" s="527" t="s">
        <v>315</v>
      </c>
      <c r="N664" s="528" t="s">
        <v>315</v>
      </c>
      <c r="O664" s="663"/>
      <c r="P664" s="529"/>
      <c r="Q664" s="531"/>
      <c r="R664" s="530"/>
      <c r="S664" s="530" t="s">
        <v>315</v>
      </c>
      <c r="T664" s="566"/>
    </row>
    <row r="665" spans="1:20" s="537" customFormat="1" ht="60" hidden="1">
      <c r="A665" s="668"/>
      <c r="B665" s="507" t="s">
        <v>1163</v>
      </c>
      <c r="C665" s="534" t="s">
        <v>4301</v>
      </c>
      <c r="D665" s="534" t="s">
        <v>1448</v>
      </c>
      <c r="E665" s="519" t="str">
        <f>IF('GPS Anthro Tool'!$B$5=1,"ECE R129","")</f>
        <v/>
      </c>
      <c r="F665" s="507" t="s">
        <v>4243</v>
      </c>
      <c r="G665" s="534" t="s">
        <v>1447</v>
      </c>
      <c r="H665" s="507" t="s">
        <v>1449</v>
      </c>
      <c r="I665" s="507"/>
      <c r="J665" s="519" t="s">
        <v>3960</v>
      </c>
      <c r="K665" s="521" t="s">
        <v>605</v>
      </c>
      <c r="L665" s="526" t="s">
        <v>315</v>
      </c>
      <c r="M665" s="527" t="s">
        <v>315</v>
      </c>
      <c r="N665" s="528" t="s">
        <v>315</v>
      </c>
      <c r="O665" s="663"/>
      <c r="P665" s="529"/>
      <c r="Q665" s="530" t="s">
        <v>315</v>
      </c>
      <c r="R665" s="530"/>
      <c r="S665" s="530"/>
      <c r="T665" s="566"/>
    </row>
    <row r="666" spans="1:20" s="537" customFormat="1" ht="75" hidden="1">
      <c r="A666" s="668"/>
      <c r="B666" s="507" t="s">
        <v>1163</v>
      </c>
      <c r="C666" s="534" t="s">
        <v>4301</v>
      </c>
      <c r="D666" s="534" t="s">
        <v>1450</v>
      </c>
      <c r="E666" s="519" t="str">
        <f>IF('GPS Anthro Tool'!$B$5=1,"ECE R129","")</f>
        <v/>
      </c>
      <c r="F666" s="507" t="s">
        <v>4243</v>
      </c>
      <c r="G666" s="534" t="s">
        <v>1447</v>
      </c>
      <c r="H666" s="507" t="s">
        <v>1451</v>
      </c>
      <c r="I666" s="507"/>
      <c r="J666" s="519" t="s">
        <v>3960</v>
      </c>
      <c r="K666" s="521" t="s">
        <v>605</v>
      </c>
      <c r="L666" s="526" t="s">
        <v>315</v>
      </c>
      <c r="M666" s="527" t="s">
        <v>315</v>
      </c>
      <c r="N666" s="528" t="s">
        <v>315</v>
      </c>
      <c r="O666" s="663"/>
      <c r="P666" s="529"/>
      <c r="Q666" s="530" t="s">
        <v>315</v>
      </c>
      <c r="R666" s="530"/>
      <c r="S666" s="530"/>
      <c r="T666" s="566"/>
    </row>
    <row r="667" spans="1:20" s="537" customFormat="1" ht="45" hidden="1">
      <c r="A667" s="668"/>
      <c r="B667" s="507" t="s">
        <v>1163</v>
      </c>
      <c r="C667" s="534" t="s">
        <v>4301</v>
      </c>
      <c r="D667" s="534" t="s">
        <v>1452</v>
      </c>
      <c r="E667" s="519" t="str">
        <f>IF('GPS Anthro Tool'!$B$5=1,"ECE R129","")</f>
        <v/>
      </c>
      <c r="F667" s="507" t="s">
        <v>4243</v>
      </c>
      <c r="G667" s="534" t="s">
        <v>1447</v>
      </c>
      <c r="H667" s="507" t="s">
        <v>1453</v>
      </c>
      <c r="I667" s="507"/>
      <c r="J667" s="519" t="s">
        <v>3960</v>
      </c>
      <c r="K667" s="521" t="s">
        <v>605</v>
      </c>
      <c r="L667" s="526" t="s">
        <v>315</v>
      </c>
      <c r="M667" s="527" t="s">
        <v>315</v>
      </c>
      <c r="N667" s="528" t="s">
        <v>315</v>
      </c>
      <c r="O667" s="663"/>
      <c r="P667" s="529"/>
      <c r="Q667" s="530" t="s">
        <v>315</v>
      </c>
      <c r="R667" s="530"/>
      <c r="S667" s="530"/>
      <c r="T667" s="566"/>
    </row>
    <row r="668" spans="1:20" s="537" customFormat="1" ht="30" hidden="1">
      <c r="A668" s="668"/>
      <c r="B668" s="519" t="s">
        <v>606</v>
      </c>
      <c r="C668" s="520" t="s">
        <v>3958</v>
      </c>
      <c r="D668" s="536" t="s">
        <v>672</v>
      </c>
      <c r="E668" s="519" t="str">
        <f>IF('GPS Anthro Tool'!$B$5=1,"ECE R129","")</f>
        <v/>
      </c>
      <c r="F668" s="507" t="s">
        <v>4243</v>
      </c>
      <c r="G668" s="509" t="s">
        <v>671</v>
      </c>
      <c r="H668" s="507" t="s">
        <v>673</v>
      </c>
      <c r="I668" s="520"/>
      <c r="J668" s="519" t="s">
        <v>3960</v>
      </c>
      <c r="K668" s="521" t="s">
        <v>605</v>
      </c>
      <c r="L668" s="526" t="s">
        <v>315</v>
      </c>
      <c r="M668" s="527" t="s">
        <v>315</v>
      </c>
      <c r="N668" s="528" t="s">
        <v>315</v>
      </c>
      <c r="O668" s="663"/>
      <c r="P668" s="529"/>
      <c r="Q668" s="530" t="s">
        <v>315</v>
      </c>
      <c r="R668" s="530"/>
      <c r="S668" s="530"/>
      <c r="T668" s="566"/>
    </row>
    <row r="669" spans="1:20" s="537" customFormat="1" ht="60" hidden="1">
      <c r="A669" s="668"/>
      <c r="B669" s="519" t="s">
        <v>606</v>
      </c>
      <c r="C669" s="520" t="s">
        <v>3958</v>
      </c>
      <c r="D669" s="536" t="s">
        <v>674</v>
      </c>
      <c r="E669" s="519" t="str">
        <f>IF('GPS Anthro Tool'!$B$5=1,"ECE R129","")</f>
        <v/>
      </c>
      <c r="F669" s="507" t="s">
        <v>4243</v>
      </c>
      <c r="G669" s="509" t="s">
        <v>671</v>
      </c>
      <c r="H669" s="507" t="s">
        <v>675</v>
      </c>
      <c r="I669" s="520"/>
      <c r="J669" s="519" t="s">
        <v>3960</v>
      </c>
      <c r="K669" s="521" t="s">
        <v>605</v>
      </c>
      <c r="L669" s="526" t="s">
        <v>315</v>
      </c>
      <c r="M669" s="527" t="s">
        <v>315</v>
      </c>
      <c r="N669" s="528" t="s">
        <v>315</v>
      </c>
      <c r="O669" s="663"/>
      <c r="P669" s="529"/>
      <c r="Q669" s="530" t="s">
        <v>315</v>
      </c>
      <c r="R669" s="530"/>
      <c r="S669" s="530"/>
      <c r="T669" s="566"/>
    </row>
    <row r="670" spans="1:20" s="537" customFormat="1" ht="30" hidden="1">
      <c r="A670" s="668"/>
      <c r="B670" s="519" t="s">
        <v>606</v>
      </c>
      <c r="C670" s="520" t="s">
        <v>3958</v>
      </c>
      <c r="D670" s="536" t="s">
        <v>677</v>
      </c>
      <c r="E670" s="519" t="str">
        <f>IF('GPS Anthro Tool'!$B$5=1,"ECE R129","")</f>
        <v/>
      </c>
      <c r="F670" s="507" t="s">
        <v>4243</v>
      </c>
      <c r="G670" s="509" t="s">
        <v>676</v>
      </c>
      <c r="H670" s="507" t="s">
        <v>678</v>
      </c>
      <c r="I670" s="520"/>
      <c r="J670" s="519" t="s">
        <v>3960</v>
      </c>
      <c r="K670" s="521" t="s">
        <v>605</v>
      </c>
      <c r="L670" s="526" t="s">
        <v>315</v>
      </c>
      <c r="M670" s="527" t="s">
        <v>315</v>
      </c>
      <c r="N670" s="528" t="s">
        <v>315</v>
      </c>
      <c r="O670" s="663"/>
      <c r="P670" s="529"/>
      <c r="Q670" s="530" t="s">
        <v>315</v>
      </c>
      <c r="R670" s="530"/>
      <c r="S670" s="530"/>
      <c r="T670" s="566"/>
    </row>
    <row r="671" spans="1:20" s="537" customFormat="1" ht="90" hidden="1">
      <c r="A671" s="668"/>
      <c r="B671" s="519" t="s">
        <v>606</v>
      </c>
      <c r="C671" s="520" t="s">
        <v>3958</v>
      </c>
      <c r="D671" s="536" t="s">
        <v>679</v>
      </c>
      <c r="E671" s="519" t="str">
        <f>IF('GPS Anthro Tool'!$B$5=1,"ECE R129","")</f>
        <v/>
      </c>
      <c r="F671" s="507" t="s">
        <v>4243</v>
      </c>
      <c r="G671" s="509" t="s">
        <v>676</v>
      </c>
      <c r="H671" s="507" t="s">
        <v>680</v>
      </c>
      <c r="I671" s="520"/>
      <c r="J671" s="519" t="s">
        <v>3960</v>
      </c>
      <c r="K671" s="521" t="s">
        <v>605</v>
      </c>
      <c r="L671" s="526" t="s">
        <v>315</v>
      </c>
      <c r="M671" s="527" t="s">
        <v>315</v>
      </c>
      <c r="N671" s="528" t="s">
        <v>315</v>
      </c>
      <c r="O671" s="663"/>
      <c r="P671" s="529"/>
      <c r="Q671" s="530" t="s">
        <v>315</v>
      </c>
      <c r="R671" s="530"/>
      <c r="S671" s="530"/>
      <c r="T671" s="566"/>
    </row>
    <row r="672" spans="1:20" s="537" customFormat="1" ht="91.5" hidden="1">
      <c r="A672" s="668"/>
      <c r="B672" s="519" t="s">
        <v>606</v>
      </c>
      <c r="C672" s="520" t="s">
        <v>3958</v>
      </c>
      <c r="D672" s="536" t="s">
        <v>679</v>
      </c>
      <c r="E672" s="519" t="str">
        <f>IF('GPS Anthro Tool'!$B$5=1,"ECE R129","")</f>
        <v/>
      </c>
      <c r="F672" s="507" t="s">
        <v>4243</v>
      </c>
      <c r="G672" s="509" t="s">
        <v>676</v>
      </c>
      <c r="H672" s="509" t="s">
        <v>3491</v>
      </c>
      <c r="I672" s="520"/>
      <c r="J672" s="519" t="s">
        <v>3960</v>
      </c>
      <c r="K672" s="521" t="s">
        <v>605</v>
      </c>
      <c r="L672" s="526" t="s">
        <v>315</v>
      </c>
      <c r="M672" s="527" t="s">
        <v>315</v>
      </c>
      <c r="N672" s="528" t="s">
        <v>315</v>
      </c>
      <c r="O672" s="663"/>
      <c r="P672" s="529"/>
      <c r="Q672" s="530" t="s">
        <v>315</v>
      </c>
      <c r="R672" s="530"/>
      <c r="S672" s="530"/>
      <c r="T672" s="566"/>
    </row>
    <row r="673" spans="1:20" s="537" customFormat="1" ht="120" hidden="1">
      <c r="A673" s="668"/>
      <c r="B673" s="519" t="s">
        <v>606</v>
      </c>
      <c r="C673" s="520" t="s">
        <v>3958</v>
      </c>
      <c r="D673" s="536" t="s">
        <v>677</v>
      </c>
      <c r="E673" s="519" t="str">
        <f>IF('GPS Anthro Tool'!$B$5=1,"ECE R129","")</f>
        <v/>
      </c>
      <c r="F673" s="507" t="s">
        <v>4243</v>
      </c>
      <c r="G673" s="509" t="s">
        <v>658</v>
      </c>
      <c r="H673" s="507" t="s">
        <v>681</v>
      </c>
      <c r="I673" s="520"/>
      <c r="J673" s="519" t="s">
        <v>3960</v>
      </c>
      <c r="K673" s="521" t="s">
        <v>605</v>
      </c>
      <c r="L673" s="526" t="s">
        <v>315</v>
      </c>
      <c r="M673" s="527" t="s">
        <v>315</v>
      </c>
      <c r="N673" s="528" t="s">
        <v>315</v>
      </c>
      <c r="O673" s="663"/>
      <c r="P673" s="529"/>
      <c r="Q673" s="530" t="s">
        <v>315</v>
      </c>
      <c r="R673" s="530"/>
      <c r="S673" s="530"/>
      <c r="T673" s="566"/>
    </row>
    <row r="674" spans="1:20" s="537" customFormat="1" ht="195" hidden="1">
      <c r="A674" s="668"/>
      <c r="B674" s="519" t="s">
        <v>606</v>
      </c>
      <c r="C674" s="520" t="s">
        <v>3958</v>
      </c>
      <c r="D674" s="536" t="s">
        <v>682</v>
      </c>
      <c r="E674" s="519" t="str">
        <f>IF('GPS Anthro Tool'!$B$5=1,"ECE R129","")</f>
        <v/>
      </c>
      <c r="F674" s="507" t="s">
        <v>4243</v>
      </c>
      <c r="G674" s="509" t="s">
        <v>658</v>
      </c>
      <c r="H674" s="507" t="s">
        <v>683</v>
      </c>
      <c r="I674" s="520"/>
      <c r="J674" s="519" t="s">
        <v>3960</v>
      </c>
      <c r="K674" s="521" t="s">
        <v>605</v>
      </c>
      <c r="L674" s="526" t="s">
        <v>315</v>
      </c>
      <c r="M674" s="527" t="s">
        <v>315</v>
      </c>
      <c r="N674" s="528" t="s">
        <v>315</v>
      </c>
      <c r="O674" s="663"/>
      <c r="P674" s="529"/>
      <c r="Q674" s="530" t="s">
        <v>315</v>
      </c>
      <c r="R674" s="530"/>
      <c r="S674" s="530"/>
      <c r="T674" s="566"/>
    </row>
    <row r="675" spans="1:20" s="537" customFormat="1" ht="195" hidden="1">
      <c r="A675" s="668"/>
      <c r="B675" s="519" t="s">
        <v>606</v>
      </c>
      <c r="C675" s="520" t="s">
        <v>3958</v>
      </c>
      <c r="D675" s="536" t="s">
        <v>684</v>
      </c>
      <c r="E675" s="519" t="str">
        <f>IF('GPS Anthro Tool'!$B$5=1,"ECE R129","")</f>
        <v/>
      </c>
      <c r="F675" s="507" t="s">
        <v>4243</v>
      </c>
      <c r="G675" s="509" t="s">
        <v>658</v>
      </c>
      <c r="H675" s="507" t="s">
        <v>685</v>
      </c>
      <c r="I675" s="520"/>
      <c r="J675" s="519" t="s">
        <v>3960</v>
      </c>
      <c r="K675" s="521" t="s">
        <v>605</v>
      </c>
      <c r="L675" s="526" t="s">
        <v>315</v>
      </c>
      <c r="M675" s="527" t="s">
        <v>315</v>
      </c>
      <c r="N675" s="528" t="s">
        <v>315</v>
      </c>
      <c r="O675" s="663"/>
      <c r="P675" s="529"/>
      <c r="Q675" s="530" t="s">
        <v>315</v>
      </c>
      <c r="R675" s="530"/>
      <c r="S675" s="530"/>
      <c r="T675" s="566"/>
    </row>
    <row r="676" spans="1:20" s="537" customFormat="1" ht="75" hidden="1">
      <c r="A676" s="668"/>
      <c r="B676" s="519" t="s">
        <v>606</v>
      </c>
      <c r="C676" s="520" t="s">
        <v>3958</v>
      </c>
      <c r="D676" s="536" t="s">
        <v>686</v>
      </c>
      <c r="E676" s="519" t="str">
        <f>IF('GPS Anthro Tool'!$B$5=1,"ECE R129","")</f>
        <v/>
      </c>
      <c r="F676" s="507" t="s">
        <v>4243</v>
      </c>
      <c r="G676" s="509" t="s">
        <v>658</v>
      </c>
      <c r="H676" s="507" t="s">
        <v>687</v>
      </c>
      <c r="I676" s="520"/>
      <c r="J676" s="519" t="s">
        <v>3960</v>
      </c>
      <c r="K676" s="521" t="s">
        <v>605</v>
      </c>
      <c r="L676" s="526" t="s">
        <v>315</v>
      </c>
      <c r="M676" s="527" t="s">
        <v>315</v>
      </c>
      <c r="N676" s="528" t="s">
        <v>315</v>
      </c>
      <c r="O676" s="663"/>
      <c r="P676" s="529"/>
      <c r="Q676" s="530" t="s">
        <v>315</v>
      </c>
      <c r="R676" s="530"/>
      <c r="S676" s="530"/>
      <c r="T676" s="566"/>
    </row>
    <row r="677" spans="1:20" s="537" customFormat="1" ht="165" hidden="1">
      <c r="A677" s="668"/>
      <c r="B677" s="519" t="s">
        <v>606</v>
      </c>
      <c r="C677" s="520" t="s">
        <v>3958</v>
      </c>
      <c r="D677" s="536" t="s">
        <v>688</v>
      </c>
      <c r="E677" s="519" t="str">
        <f>IF('GPS Anthro Tool'!$B$5=1,"ECE R129","")</f>
        <v/>
      </c>
      <c r="F677" s="507" t="s">
        <v>4243</v>
      </c>
      <c r="G677" s="509" t="s">
        <v>658</v>
      </c>
      <c r="H677" s="507" t="s">
        <v>689</v>
      </c>
      <c r="I677" s="520"/>
      <c r="J677" s="519" t="s">
        <v>3960</v>
      </c>
      <c r="K677" s="521" t="s">
        <v>605</v>
      </c>
      <c r="L677" s="526" t="s">
        <v>315</v>
      </c>
      <c r="M677" s="527" t="s">
        <v>315</v>
      </c>
      <c r="N677" s="528" t="s">
        <v>315</v>
      </c>
      <c r="O677" s="663"/>
      <c r="P677" s="529"/>
      <c r="Q677" s="530" t="s">
        <v>315</v>
      </c>
      <c r="R677" s="530"/>
      <c r="S677" s="530"/>
      <c r="T677" s="566"/>
    </row>
    <row r="678" spans="1:20" s="537" customFormat="1" ht="60" hidden="1">
      <c r="A678" s="668"/>
      <c r="B678" s="519" t="s">
        <v>606</v>
      </c>
      <c r="C678" s="520" t="s">
        <v>3958</v>
      </c>
      <c r="D678" s="536" t="s">
        <v>690</v>
      </c>
      <c r="E678" s="519" t="str">
        <f>IF('GPS Anthro Tool'!$B$5=1,"ECE R129","")</f>
        <v/>
      </c>
      <c r="F678" s="507" t="s">
        <v>4243</v>
      </c>
      <c r="G678" s="509" t="s">
        <v>658</v>
      </c>
      <c r="H678" s="507" t="s">
        <v>691</v>
      </c>
      <c r="I678" s="520"/>
      <c r="J678" s="519" t="s">
        <v>3960</v>
      </c>
      <c r="K678" s="521" t="s">
        <v>605</v>
      </c>
      <c r="L678" s="526" t="s">
        <v>315</v>
      </c>
      <c r="M678" s="527" t="s">
        <v>315</v>
      </c>
      <c r="N678" s="528" t="s">
        <v>315</v>
      </c>
      <c r="O678" s="663"/>
      <c r="P678" s="529"/>
      <c r="Q678" s="530" t="s">
        <v>315</v>
      </c>
      <c r="R678" s="530"/>
      <c r="S678" s="530"/>
      <c r="T678" s="566"/>
    </row>
    <row r="679" spans="1:20" s="537" customFormat="1" ht="60" hidden="1">
      <c r="A679" s="668"/>
      <c r="B679" s="519" t="s">
        <v>606</v>
      </c>
      <c r="C679" s="520" t="s">
        <v>3958</v>
      </c>
      <c r="D679" s="536" t="s">
        <v>692</v>
      </c>
      <c r="E679" s="519" t="str">
        <f>IF('GPS Anthro Tool'!$B$5=1,"ECE R129","")</f>
        <v/>
      </c>
      <c r="F679" s="507" t="s">
        <v>4243</v>
      </c>
      <c r="G679" s="509" t="s">
        <v>658</v>
      </c>
      <c r="H679" s="507" t="s">
        <v>693</v>
      </c>
      <c r="I679" s="520"/>
      <c r="J679" s="519" t="s">
        <v>3960</v>
      </c>
      <c r="K679" s="521" t="s">
        <v>605</v>
      </c>
      <c r="L679" s="526" t="s">
        <v>315</v>
      </c>
      <c r="M679" s="527" t="s">
        <v>315</v>
      </c>
      <c r="N679" s="528" t="s">
        <v>315</v>
      </c>
      <c r="O679" s="663"/>
      <c r="P679" s="529"/>
      <c r="Q679" s="530" t="s">
        <v>315</v>
      </c>
      <c r="R679" s="530"/>
      <c r="S679" s="530"/>
      <c r="T679" s="566"/>
    </row>
    <row r="680" spans="1:20" s="537" customFormat="1" ht="105" hidden="1">
      <c r="A680" s="668"/>
      <c r="B680" s="519" t="s">
        <v>606</v>
      </c>
      <c r="C680" s="520" t="s">
        <v>3958</v>
      </c>
      <c r="D680" s="536" t="s">
        <v>694</v>
      </c>
      <c r="E680" s="519" t="str">
        <f>IF('GPS Anthro Tool'!$B$5=1,"ECE R129","")</f>
        <v/>
      </c>
      <c r="F680" s="507" t="s">
        <v>4243</v>
      </c>
      <c r="G680" s="509" t="s">
        <v>658</v>
      </c>
      <c r="H680" s="507" t="s">
        <v>695</v>
      </c>
      <c r="I680" s="520"/>
      <c r="J680" s="519" t="s">
        <v>3960</v>
      </c>
      <c r="K680" s="521" t="s">
        <v>605</v>
      </c>
      <c r="L680" s="526" t="s">
        <v>315</v>
      </c>
      <c r="M680" s="527" t="s">
        <v>315</v>
      </c>
      <c r="N680" s="528" t="s">
        <v>315</v>
      </c>
      <c r="O680" s="663"/>
      <c r="P680" s="529"/>
      <c r="Q680" s="530" t="s">
        <v>315</v>
      </c>
      <c r="R680" s="530"/>
      <c r="S680" s="530"/>
      <c r="T680" s="566"/>
    </row>
    <row r="681" spans="1:20" s="537" customFormat="1" ht="60" hidden="1">
      <c r="A681" s="668"/>
      <c r="B681" s="519" t="s">
        <v>606</v>
      </c>
      <c r="C681" s="520" t="s">
        <v>3959</v>
      </c>
      <c r="D681" s="536" t="s">
        <v>696</v>
      </c>
      <c r="E681" s="519" t="str">
        <f>IF('GPS Anthro Tool'!$B$5=1,"ECE R129","")</f>
        <v/>
      </c>
      <c r="F681" s="507" t="s">
        <v>4243</v>
      </c>
      <c r="G681" s="509" t="s">
        <v>658</v>
      </c>
      <c r="H681" s="507" t="s">
        <v>697</v>
      </c>
      <c r="I681" s="520"/>
      <c r="J681" s="519" t="s">
        <v>3960</v>
      </c>
      <c r="K681" s="521" t="s">
        <v>605</v>
      </c>
      <c r="L681" s="526" t="s">
        <v>315</v>
      </c>
      <c r="M681" s="527" t="s">
        <v>315</v>
      </c>
      <c r="N681" s="528" t="s">
        <v>315</v>
      </c>
      <c r="O681" s="663"/>
      <c r="P681" s="529"/>
      <c r="Q681" s="530" t="s">
        <v>315</v>
      </c>
      <c r="R681" s="530"/>
      <c r="S681" s="530"/>
      <c r="T681" s="566"/>
    </row>
    <row r="682" spans="1:20" s="537" customFormat="1" ht="75" hidden="1">
      <c r="A682" s="668"/>
      <c r="B682" s="519" t="s">
        <v>1970</v>
      </c>
      <c r="C682" s="536" t="s">
        <v>1971</v>
      </c>
      <c r="D682" s="536"/>
      <c r="E682" s="519" t="str">
        <f>IF('GPS Anthro Tool'!$B$5=1,"ECE R129 TMC","")</f>
        <v/>
      </c>
      <c r="F682" s="519" t="s">
        <v>4245</v>
      </c>
      <c r="G682" s="506"/>
      <c r="H682" s="519" t="s">
        <v>1972</v>
      </c>
      <c r="I682" s="506"/>
      <c r="J682" s="506"/>
      <c r="K682" s="521"/>
      <c r="L682" s="526"/>
      <c r="M682" s="527"/>
      <c r="N682" s="528"/>
      <c r="O682" s="663"/>
      <c r="P682" s="666"/>
      <c r="Q682" s="566" t="s">
        <v>1818</v>
      </c>
      <c r="R682" s="535" t="s">
        <v>1819</v>
      </c>
      <c r="S682" s="527"/>
      <c r="T682" s="566"/>
    </row>
    <row r="683" spans="1:20" s="537" customFormat="1" ht="75" hidden="1">
      <c r="A683" s="668"/>
      <c r="B683" s="519" t="s">
        <v>1970</v>
      </c>
      <c r="C683" s="536" t="s">
        <v>1973</v>
      </c>
      <c r="D683" s="536"/>
      <c r="E683" s="519" t="str">
        <f>IF('GPS Anthro Tool'!$B$5=1,"ECE R129 TMC","")</f>
        <v/>
      </c>
      <c r="F683" s="519" t="s">
        <v>4245</v>
      </c>
      <c r="G683" s="506"/>
      <c r="H683" s="519" t="s">
        <v>1974</v>
      </c>
      <c r="I683" s="506"/>
      <c r="J683" s="506"/>
      <c r="K683" s="521"/>
      <c r="L683" s="526"/>
      <c r="M683" s="527"/>
      <c r="N683" s="528"/>
      <c r="O683" s="663"/>
      <c r="P683" s="666"/>
      <c r="Q683" s="566" t="s">
        <v>1818</v>
      </c>
      <c r="R683" s="535" t="s">
        <v>1819</v>
      </c>
      <c r="S683" s="527"/>
      <c r="T683" s="566"/>
    </row>
    <row r="684" spans="1:20" s="537" customFormat="1" ht="60" hidden="1">
      <c r="A684" s="668"/>
      <c r="B684" s="519" t="s">
        <v>1970</v>
      </c>
      <c r="C684" s="536" t="s">
        <v>1975</v>
      </c>
      <c r="D684" s="536"/>
      <c r="E684" s="519" t="str">
        <f>IF('GPS Anthro Tool'!$B$5=1,"ECE R129 TMC","")</f>
        <v/>
      </c>
      <c r="F684" s="519" t="s">
        <v>4245</v>
      </c>
      <c r="G684" s="506"/>
      <c r="H684" s="519" t="s">
        <v>1976</v>
      </c>
      <c r="I684" s="506"/>
      <c r="J684" s="506"/>
      <c r="K684" s="521"/>
      <c r="L684" s="526"/>
      <c r="M684" s="527"/>
      <c r="N684" s="528"/>
      <c r="O684" s="663"/>
      <c r="P684" s="666"/>
      <c r="Q684" s="566" t="s">
        <v>1818</v>
      </c>
      <c r="R684" s="535" t="s">
        <v>1819</v>
      </c>
      <c r="S684" s="527"/>
      <c r="T684" s="566"/>
    </row>
    <row r="685" spans="1:20" s="537" customFormat="1" ht="60" hidden="1">
      <c r="A685" s="668"/>
      <c r="B685" s="519" t="s">
        <v>1970</v>
      </c>
      <c r="C685" s="536" t="s">
        <v>1977</v>
      </c>
      <c r="D685" s="536"/>
      <c r="E685" s="519" t="str">
        <f>IF('GPS Anthro Tool'!$B$5=1,"ECE R129 TMC","")</f>
        <v/>
      </c>
      <c r="F685" s="519" t="s">
        <v>4245</v>
      </c>
      <c r="G685" s="506"/>
      <c r="H685" s="519" t="s">
        <v>1978</v>
      </c>
      <c r="I685" s="506"/>
      <c r="J685" s="506"/>
      <c r="K685" s="521"/>
      <c r="L685" s="526"/>
      <c r="M685" s="527"/>
      <c r="N685" s="528"/>
      <c r="O685" s="663"/>
      <c r="P685" s="666"/>
      <c r="Q685" s="566" t="s">
        <v>1818</v>
      </c>
      <c r="R685" s="535" t="s">
        <v>1819</v>
      </c>
      <c r="S685" s="527"/>
      <c r="T685" s="566"/>
    </row>
    <row r="686" spans="1:20" s="537" customFormat="1" ht="60" hidden="1">
      <c r="A686" s="668"/>
      <c r="B686" s="519" t="s">
        <v>1970</v>
      </c>
      <c r="C686" s="536" t="s">
        <v>1979</v>
      </c>
      <c r="D686" s="536"/>
      <c r="E686" s="519" t="str">
        <f>IF('GPS Anthro Tool'!$B$5=1,"ECE R129 TMC","")</f>
        <v/>
      </c>
      <c r="F686" s="519" t="s">
        <v>4245</v>
      </c>
      <c r="G686" s="506"/>
      <c r="H686" s="519" t="s">
        <v>1980</v>
      </c>
      <c r="I686" s="506"/>
      <c r="J686" s="506"/>
      <c r="K686" s="521"/>
      <c r="L686" s="526"/>
      <c r="M686" s="527"/>
      <c r="N686" s="528"/>
      <c r="O686" s="663"/>
      <c r="P686" s="666"/>
      <c r="Q686" s="566" t="s">
        <v>1818</v>
      </c>
      <c r="R686" s="535" t="s">
        <v>1819</v>
      </c>
      <c r="S686" s="527"/>
      <c r="T686" s="566"/>
    </row>
    <row r="687" spans="1:20" s="537" customFormat="1" ht="45" hidden="1">
      <c r="A687" s="668"/>
      <c r="B687" s="519" t="s">
        <v>1970</v>
      </c>
      <c r="C687" s="536" t="s">
        <v>1981</v>
      </c>
      <c r="D687" s="536"/>
      <c r="E687" s="519" t="str">
        <f>IF('GPS Anthro Tool'!$B$5=1,"ECE R129 TMC","")</f>
        <v/>
      </c>
      <c r="F687" s="519" t="s">
        <v>4245</v>
      </c>
      <c r="G687" s="506"/>
      <c r="H687" s="519" t="s">
        <v>1982</v>
      </c>
      <c r="I687" s="506"/>
      <c r="J687" s="506"/>
      <c r="K687" s="521"/>
      <c r="L687" s="526"/>
      <c r="M687" s="527"/>
      <c r="N687" s="528"/>
      <c r="O687" s="663"/>
      <c r="P687" s="666"/>
      <c r="Q687" s="566" t="s">
        <v>1818</v>
      </c>
      <c r="R687" s="535" t="s">
        <v>1819</v>
      </c>
      <c r="S687" s="527"/>
      <c r="T687" s="566"/>
    </row>
    <row r="688" spans="1:20" s="537" customFormat="1" ht="30" hidden="1">
      <c r="A688" s="518"/>
      <c r="B688" s="519" t="s">
        <v>1814</v>
      </c>
      <c r="C688" s="534" t="s">
        <v>1815</v>
      </c>
      <c r="D688" s="534"/>
      <c r="E688" s="519" t="str">
        <f>IF('GPS Anthro Tool'!$B$5=1,"ECE R129 TMC","")</f>
        <v/>
      </c>
      <c r="F688" s="519" t="s">
        <v>4245</v>
      </c>
      <c r="G688" s="506"/>
      <c r="H688" s="519" t="s">
        <v>1817</v>
      </c>
      <c r="I688" s="506"/>
      <c r="J688" s="506"/>
      <c r="K688" s="521"/>
      <c r="L688" s="526"/>
      <c r="M688" s="527"/>
      <c r="N688" s="528"/>
      <c r="O688" s="663"/>
      <c r="P688" s="666"/>
      <c r="Q688" s="566" t="s">
        <v>1818</v>
      </c>
      <c r="R688" s="535" t="s">
        <v>1819</v>
      </c>
      <c r="S688" s="530"/>
      <c r="T688" s="566"/>
    </row>
    <row r="689" spans="1:20" s="537" customFormat="1" ht="45" hidden="1">
      <c r="A689" s="518"/>
      <c r="B689" s="519" t="s">
        <v>1814</v>
      </c>
      <c r="C689" s="534" t="s">
        <v>1820</v>
      </c>
      <c r="D689" s="534"/>
      <c r="E689" s="519" t="str">
        <f>IF('GPS Anthro Tool'!$B$5=1,"ECE R129 TMC","")</f>
        <v/>
      </c>
      <c r="F689" s="519" t="s">
        <v>4245</v>
      </c>
      <c r="G689" s="506"/>
      <c r="H689" s="519" t="s">
        <v>1821</v>
      </c>
      <c r="I689" s="506"/>
      <c r="J689" s="506"/>
      <c r="K689" s="521"/>
      <c r="L689" s="526"/>
      <c r="M689" s="527"/>
      <c r="N689" s="528"/>
      <c r="O689" s="663"/>
      <c r="P689" s="666"/>
      <c r="Q689" s="566" t="s">
        <v>1818</v>
      </c>
      <c r="R689" s="535" t="s">
        <v>1819</v>
      </c>
      <c r="S689" s="530"/>
      <c r="T689" s="566"/>
    </row>
    <row r="690" spans="1:20" s="537" customFormat="1" ht="45" hidden="1">
      <c r="A690" s="668"/>
      <c r="B690" s="519" t="s">
        <v>1814</v>
      </c>
      <c r="C690" s="534" t="s">
        <v>1822</v>
      </c>
      <c r="D690" s="534"/>
      <c r="E690" s="519" t="str">
        <f>IF('GPS Anthro Tool'!$B$5=1,"ECE R129 TMC","")</f>
        <v/>
      </c>
      <c r="F690" s="519" t="s">
        <v>4245</v>
      </c>
      <c r="G690" s="506"/>
      <c r="H690" s="519" t="s">
        <v>1823</v>
      </c>
      <c r="I690" s="506"/>
      <c r="J690" s="506"/>
      <c r="K690" s="521"/>
      <c r="L690" s="526"/>
      <c r="M690" s="527"/>
      <c r="N690" s="528"/>
      <c r="O690" s="663"/>
      <c r="P690" s="666"/>
      <c r="Q690" s="566" t="s">
        <v>1818</v>
      </c>
      <c r="R690" s="535" t="s">
        <v>1819</v>
      </c>
      <c r="S690" s="530"/>
      <c r="T690" s="566"/>
    </row>
    <row r="691" spans="1:20" s="508" customFormat="1" ht="45" hidden="1">
      <c r="A691" s="518"/>
      <c r="B691" s="519" t="s">
        <v>1814</v>
      </c>
      <c r="C691" s="534" t="s">
        <v>1824</v>
      </c>
      <c r="D691" s="534"/>
      <c r="E691" s="519" t="str">
        <f>IF('GPS Anthro Tool'!$B$5=1,"ECE R129 TMC","")</f>
        <v/>
      </c>
      <c r="F691" s="519" t="s">
        <v>4245</v>
      </c>
      <c r="G691" s="506"/>
      <c r="H691" s="519" t="s">
        <v>1825</v>
      </c>
      <c r="I691" s="506"/>
      <c r="J691" s="506"/>
      <c r="K691" s="521"/>
      <c r="L691" s="526"/>
      <c r="M691" s="527"/>
      <c r="N691" s="528"/>
      <c r="O691" s="663"/>
      <c r="P691" s="666"/>
      <c r="Q691" s="566" t="s">
        <v>1818</v>
      </c>
      <c r="R691" s="535" t="s">
        <v>1819</v>
      </c>
      <c r="S691" s="530"/>
      <c r="T691" s="566"/>
    </row>
    <row r="692" spans="1:20" s="508" customFormat="1" ht="30" hidden="1">
      <c r="A692" s="518"/>
      <c r="B692" s="519" t="s">
        <v>1814</v>
      </c>
      <c r="C692" s="534" t="s">
        <v>1826</v>
      </c>
      <c r="D692" s="534"/>
      <c r="E692" s="519" t="str">
        <f>IF('GPS Anthro Tool'!$B$5=1,"ECE R129 TMC","")</f>
        <v/>
      </c>
      <c r="F692" s="519" t="s">
        <v>4245</v>
      </c>
      <c r="G692" s="506"/>
      <c r="H692" s="519" t="s">
        <v>1827</v>
      </c>
      <c r="I692" s="506"/>
      <c r="J692" s="506"/>
      <c r="K692" s="521"/>
      <c r="L692" s="526"/>
      <c r="M692" s="527"/>
      <c r="N692" s="528"/>
      <c r="O692" s="663"/>
      <c r="P692" s="666"/>
      <c r="Q692" s="566" t="s">
        <v>1828</v>
      </c>
      <c r="R692" s="535" t="s">
        <v>1819</v>
      </c>
      <c r="S692" s="530"/>
      <c r="T692" s="566"/>
    </row>
    <row r="693" spans="1:20" s="508" customFormat="1" ht="75" hidden="1">
      <c r="A693" s="518"/>
      <c r="B693" s="519" t="s">
        <v>1814</v>
      </c>
      <c r="C693" s="534" t="s">
        <v>1829</v>
      </c>
      <c r="D693" s="534"/>
      <c r="E693" s="519" t="str">
        <f>IF('GPS Anthro Tool'!$B$5=1,"ECE R129 TMC","")</f>
        <v/>
      </c>
      <c r="F693" s="519" t="s">
        <v>4245</v>
      </c>
      <c r="G693" s="506"/>
      <c r="H693" s="519" t="s">
        <v>1830</v>
      </c>
      <c r="I693" s="506"/>
      <c r="J693" s="506"/>
      <c r="K693" s="521"/>
      <c r="L693" s="526"/>
      <c r="M693" s="527"/>
      <c r="N693" s="528"/>
      <c r="O693" s="663"/>
      <c r="P693" s="666"/>
      <c r="Q693" s="566" t="s">
        <v>1828</v>
      </c>
      <c r="R693" s="535" t="s">
        <v>1819</v>
      </c>
      <c r="S693" s="530"/>
      <c r="T693" s="566"/>
    </row>
    <row r="694" spans="1:20" s="508" customFormat="1" ht="75" hidden="1">
      <c r="A694" s="518"/>
      <c r="B694" s="519" t="s">
        <v>1814</v>
      </c>
      <c r="C694" s="534" t="s">
        <v>1831</v>
      </c>
      <c r="D694" s="534"/>
      <c r="E694" s="519" t="str">
        <f>IF('GPS Anthro Tool'!$B$5=1,"ECE R129 TMC","")</f>
        <v/>
      </c>
      <c r="F694" s="519" t="s">
        <v>4245</v>
      </c>
      <c r="G694" s="506"/>
      <c r="H694" s="519" t="s">
        <v>1832</v>
      </c>
      <c r="I694" s="506"/>
      <c r="J694" s="506"/>
      <c r="K694" s="521"/>
      <c r="L694" s="526"/>
      <c r="M694" s="527"/>
      <c r="N694" s="528"/>
      <c r="O694" s="663"/>
      <c r="P694" s="666"/>
      <c r="Q694" s="566" t="s">
        <v>1818</v>
      </c>
      <c r="R694" s="535" t="s">
        <v>1819</v>
      </c>
      <c r="S694" s="530"/>
      <c r="T694" s="566"/>
    </row>
    <row r="695" spans="1:20" s="508" customFormat="1" ht="45" hidden="1">
      <c r="A695" s="518"/>
      <c r="B695" s="519" t="s">
        <v>1833</v>
      </c>
      <c r="C695" s="534" t="s">
        <v>1834</v>
      </c>
      <c r="D695" s="534"/>
      <c r="E695" s="519" t="str">
        <f>IF('GPS Anthro Tool'!$B$5=1,"ECE R129 TMC","")</f>
        <v/>
      </c>
      <c r="F695" s="519" t="s">
        <v>4245</v>
      </c>
      <c r="G695" s="506"/>
      <c r="H695" s="519" t="s">
        <v>1835</v>
      </c>
      <c r="I695" s="506"/>
      <c r="J695" s="506"/>
      <c r="K695" s="521"/>
      <c r="L695" s="526"/>
      <c r="M695" s="527"/>
      <c r="N695" s="528"/>
      <c r="O695" s="663"/>
      <c r="P695" s="666"/>
      <c r="Q695" s="566" t="s">
        <v>1828</v>
      </c>
      <c r="R695" s="535" t="s">
        <v>1819</v>
      </c>
      <c r="S695" s="530"/>
      <c r="T695" s="566"/>
    </row>
    <row r="696" spans="1:20" s="508" customFormat="1" ht="30" hidden="1">
      <c r="A696" s="518"/>
      <c r="B696" s="519" t="s">
        <v>1833</v>
      </c>
      <c r="C696" s="534" t="s">
        <v>1836</v>
      </c>
      <c r="D696" s="534"/>
      <c r="E696" s="519" t="str">
        <f>IF('GPS Anthro Tool'!$B$5=1,"ECE R129 TMC","")</f>
        <v/>
      </c>
      <c r="F696" s="519" t="s">
        <v>4245</v>
      </c>
      <c r="G696" s="506"/>
      <c r="H696" s="519" t="s">
        <v>1837</v>
      </c>
      <c r="I696" s="506"/>
      <c r="J696" s="506"/>
      <c r="K696" s="521"/>
      <c r="L696" s="526"/>
      <c r="M696" s="527"/>
      <c r="N696" s="528"/>
      <c r="O696" s="663"/>
      <c r="P696" s="666"/>
      <c r="Q696" s="566" t="s">
        <v>1818</v>
      </c>
      <c r="R696" s="535" t="s">
        <v>1819</v>
      </c>
      <c r="S696" s="530"/>
      <c r="T696" s="566"/>
    </row>
    <row r="697" spans="1:20" s="508" customFormat="1" ht="45" hidden="1">
      <c r="A697" s="518"/>
      <c r="B697" s="519" t="s">
        <v>1833</v>
      </c>
      <c r="C697" s="534" t="s">
        <v>1838</v>
      </c>
      <c r="D697" s="534"/>
      <c r="E697" s="519" t="str">
        <f>IF('GPS Anthro Tool'!$B$5=1,"ECE R129 TMC","")</f>
        <v/>
      </c>
      <c r="F697" s="519" t="s">
        <v>4245</v>
      </c>
      <c r="G697" s="506"/>
      <c r="H697" s="519" t="s">
        <v>1839</v>
      </c>
      <c r="I697" s="506"/>
      <c r="J697" s="506"/>
      <c r="K697" s="521"/>
      <c r="L697" s="526"/>
      <c r="M697" s="527"/>
      <c r="N697" s="528"/>
      <c r="O697" s="663"/>
      <c r="P697" s="666"/>
      <c r="Q697" s="566" t="s">
        <v>1828</v>
      </c>
      <c r="R697" s="535" t="s">
        <v>1819</v>
      </c>
      <c r="S697" s="530"/>
      <c r="T697" s="566"/>
    </row>
    <row r="698" spans="1:20" s="508" customFormat="1" ht="45" hidden="1">
      <c r="A698" s="518"/>
      <c r="B698" s="519" t="s">
        <v>1833</v>
      </c>
      <c r="C698" s="534" t="s">
        <v>1840</v>
      </c>
      <c r="D698" s="534"/>
      <c r="E698" s="519" t="str">
        <f>IF('GPS Anthro Tool'!$B$5=1,"ECE R129 TMC","")</f>
        <v/>
      </c>
      <c r="F698" s="519" t="s">
        <v>4245</v>
      </c>
      <c r="G698" s="506"/>
      <c r="H698" s="519" t="s">
        <v>1841</v>
      </c>
      <c r="I698" s="506"/>
      <c r="J698" s="506"/>
      <c r="K698" s="521"/>
      <c r="L698" s="526"/>
      <c r="M698" s="527"/>
      <c r="N698" s="528"/>
      <c r="O698" s="663"/>
      <c r="P698" s="666"/>
      <c r="Q698" s="566" t="s">
        <v>1828</v>
      </c>
      <c r="R698" s="535" t="s">
        <v>1819</v>
      </c>
      <c r="S698" s="530"/>
      <c r="T698" s="566"/>
    </row>
    <row r="699" spans="1:20" s="508" customFormat="1" ht="45" hidden="1">
      <c r="A699" s="518"/>
      <c r="B699" s="519" t="s">
        <v>1833</v>
      </c>
      <c r="C699" s="534" t="s">
        <v>1842</v>
      </c>
      <c r="D699" s="534"/>
      <c r="E699" s="519" t="str">
        <f>IF('GPS Anthro Tool'!$B$5=1,"ECE R129 TMC","")</f>
        <v/>
      </c>
      <c r="F699" s="519" t="s">
        <v>4245</v>
      </c>
      <c r="G699" s="506"/>
      <c r="H699" s="519" t="s">
        <v>1843</v>
      </c>
      <c r="I699" s="506"/>
      <c r="J699" s="506"/>
      <c r="K699" s="521"/>
      <c r="L699" s="526"/>
      <c r="M699" s="527"/>
      <c r="N699" s="528"/>
      <c r="O699" s="663"/>
      <c r="P699" s="666"/>
      <c r="Q699" s="566" t="s">
        <v>1828</v>
      </c>
      <c r="R699" s="535" t="s">
        <v>1819</v>
      </c>
      <c r="S699" s="530"/>
      <c r="T699" s="566"/>
    </row>
    <row r="700" spans="1:20" s="508" customFormat="1" ht="60" hidden="1">
      <c r="A700" s="518"/>
      <c r="B700" s="519" t="s">
        <v>1833</v>
      </c>
      <c r="C700" s="534" t="s">
        <v>1844</v>
      </c>
      <c r="D700" s="534"/>
      <c r="E700" s="519" t="str">
        <f>IF('GPS Anthro Tool'!$B$5=1,"ECE R129 TMC","")</f>
        <v/>
      </c>
      <c r="F700" s="519" t="s">
        <v>4245</v>
      </c>
      <c r="G700" s="506"/>
      <c r="H700" s="519" t="s">
        <v>1845</v>
      </c>
      <c r="I700" s="506"/>
      <c r="J700" s="506"/>
      <c r="K700" s="521"/>
      <c r="L700" s="526"/>
      <c r="M700" s="527"/>
      <c r="N700" s="528"/>
      <c r="O700" s="663"/>
      <c r="P700" s="666"/>
      <c r="Q700" s="566" t="s">
        <v>1828</v>
      </c>
      <c r="R700" s="535" t="s">
        <v>1819</v>
      </c>
      <c r="S700" s="530"/>
      <c r="T700" s="566"/>
    </row>
    <row r="701" spans="1:20" s="508" customFormat="1" ht="45" hidden="1">
      <c r="A701" s="518"/>
      <c r="B701" s="519" t="s">
        <v>1983</v>
      </c>
      <c r="C701" s="536" t="s">
        <v>3527</v>
      </c>
      <c r="D701" s="536"/>
      <c r="E701" s="519" t="str">
        <f>IF('GPS Anthro Tool'!$B$5=1,"ECE R129 TMC","")</f>
        <v/>
      </c>
      <c r="F701" s="519" t="s">
        <v>4245</v>
      </c>
      <c r="G701" s="506"/>
      <c r="H701" s="519" t="s">
        <v>1984</v>
      </c>
      <c r="I701" s="506"/>
      <c r="J701" s="506"/>
      <c r="K701" s="521"/>
      <c r="L701" s="526"/>
      <c r="M701" s="527"/>
      <c r="N701" s="528"/>
      <c r="O701" s="663"/>
      <c r="P701" s="666"/>
      <c r="Q701" s="566" t="s">
        <v>1818</v>
      </c>
      <c r="R701" s="535" t="s">
        <v>1819</v>
      </c>
      <c r="S701" s="527"/>
      <c r="T701" s="566"/>
    </row>
    <row r="702" spans="1:20" s="508" customFormat="1" ht="45" hidden="1">
      <c r="A702" s="518"/>
      <c r="B702" s="519" t="s">
        <v>1858</v>
      </c>
      <c r="C702" s="534" t="s">
        <v>1859</v>
      </c>
      <c r="D702" s="534"/>
      <c r="E702" s="519" t="str">
        <f>IF('GPS Anthro Tool'!$B$5=1,"ECE R129 TMC","")</f>
        <v/>
      </c>
      <c r="F702" s="519" t="s">
        <v>4245</v>
      </c>
      <c r="G702" s="506"/>
      <c r="H702" s="519" t="s">
        <v>1860</v>
      </c>
      <c r="I702" s="506"/>
      <c r="J702" s="506"/>
      <c r="K702" s="521"/>
      <c r="L702" s="526"/>
      <c r="M702" s="527"/>
      <c r="N702" s="528"/>
      <c r="O702" s="663"/>
      <c r="P702" s="666"/>
      <c r="Q702" s="566" t="s">
        <v>1818</v>
      </c>
      <c r="R702" s="535" t="s">
        <v>1819</v>
      </c>
      <c r="S702" s="530"/>
      <c r="T702" s="566"/>
    </row>
    <row r="703" spans="1:20" s="508" customFormat="1" ht="45" hidden="1">
      <c r="A703" s="518"/>
      <c r="B703" s="519" t="s">
        <v>1858</v>
      </c>
      <c r="C703" s="534" t="s">
        <v>3519</v>
      </c>
      <c r="D703" s="534"/>
      <c r="E703" s="519" t="str">
        <f>IF('GPS Anthro Tool'!$B$5=1,"ECE R129 TMC","")</f>
        <v/>
      </c>
      <c r="F703" s="519" t="s">
        <v>4245</v>
      </c>
      <c r="G703" s="506"/>
      <c r="H703" s="519" t="s">
        <v>1861</v>
      </c>
      <c r="I703" s="506"/>
      <c r="J703" s="506"/>
      <c r="K703" s="521"/>
      <c r="L703" s="526"/>
      <c r="M703" s="527"/>
      <c r="N703" s="528"/>
      <c r="O703" s="663"/>
      <c r="P703" s="666"/>
      <c r="Q703" s="566" t="s">
        <v>1818</v>
      </c>
      <c r="R703" s="535" t="s">
        <v>1819</v>
      </c>
      <c r="S703" s="530"/>
      <c r="T703" s="566"/>
    </row>
    <row r="704" spans="1:20" s="508" customFormat="1" ht="45" hidden="1">
      <c r="A704" s="518"/>
      <c r="B704" s="519" t="s">
        <v>1858</v>
      </c>
      <c r="C704" s="534" t="s">
        <v>3520</v>
      </c>
      <c r="D704" s="534"/>
      <c r="E704" s="519" t="str">
        <f>IF('GPS Anthro Tool'!$B$5=1,"ECE R129 TMC","")</f>
        <v/>
      </c>
      <c r="F704" s="519" t="s">
        <v>4245</v>
      </c>
      <c r="G704" s="506"/>
      <c r="H704" s="519" t="s">
        <v>1861</v>
      </c>
      <c r="I704" s="506"/>
      <c r="J704" s="506"/>
      <c r="K704" s="521"/>
      <c r="L704" s="526"/>
      <c r="M704" s="527"/>
      <c r="N704" s="528"/>
      <c r="O704" s="663"/>
      <c r="P704" s="666"/>
      <c r="Q704" s="566" t="s">
        <v>1828</v>
      </c>
      <c r="R704" s="535" t="s">
        <v>1819</v>
      </c>
      <c r="S704" s="530"/>
      <c r="T704" s="566"/>
    </row>
    <row r="705" spans="1:20" s="508" customFormat="1" ht="45" hidden="1">
      <c r="A705" s="518"/>
      <c r="B705" s="519" t="s">
        <v>1858</v>
      </c>
      <c r="C705" s="534" t="s">
        <v>1862</v>
      </c>
      <c r="D705" s="534"/>
      <c r="E705" s="519" t="str">
        <f>IF('GPS Anthro Tool'!$B$5=1,"ECE R129 TMC","")</f>
        <v/>
      </c>
      <c r="F705" s="519" t="s">
        <v>4245</v>
      </c>
      <c r="G705" s="506"/>
      <c r="H705" s="519" t="s">
        <v>1843</v>
      </c>
      <c r="I705" s="506"/>
      <c r="J705" s="506"/>
      <c r="K705" s="521"/>
      <c r="L705" s="526"/>
      <c r="M705" s="527"/>
      <c r="N705" s="528"/>
      <c r="O705" s="663"/>
      <c r="P705" s="666"/>
      <c r="Q705" s="566" t="s">
        <v>1828</v>
      </c>
      <c r="R705" s="535" t="s">
        <v>1819</v>
      </c>
      <c r="S705" s="530"/>
      <c r="T705" s="566"/>
    </row>
    <row r="706" spans="1:20" s="508" customFormat="1" ht="60" hidden="1">
      <c r="A706" s="668"/>
      <c r="B706" s="519" t="s">
        <v>1858</v>
      </c>
      <c r="C706" s="534" t="s">
        <v>1863</v>
      </c>
      <c r="D706" s="534"/>
      <c r="E706" s="519" t="str">
        <f>IF('GPS Anthro Tool'!$B$5=1,"ECE R129 TMC","")</f>
        <v/>
      </c>
      <c r="F706" s="519" t="s">
        <v>4245</v>
      </c>
      <c r="G706" s="506"/>
      <c r="H706" s="519" t="s">
        <v>1864</v>
      </c>
      <c r="I706" s="506"/>
      <c r="J706" s="506"/>
      <c r="K706" s="521"/>
      <c r="L706" s="526"/>
      <c r="M706" s="527"/>
      <c r="N706" s="528"/>
      <c r="O706" s="663"/>
      <c r="P706" s="666"/>
      <c r="Q706" s="566" t="s">
        <v>1828</v>
      </c>
      <c r="R706" s="535" t="s">
        <v>1819</v>
      </c>
      <c r="S706" s="530"/>
      <c r="T706" s="566"/>
    </row>
    <row r="707" spans="1:20" s="508" customFormat="1" ht="60" hidden="1">
      <c r="A707" s="668"/>
      <c r="B707" s="519" t="s">
        <v>1858</v>
      </c>
      <c r="C707" s="534" t="s">
        <v>3521</v>
      </c>
      <c r="D707" s="534"/>
      <c r="E707" s="519" t="str">
        <f>IF('GPS Anthro Tool'!$B$5=1,"ECE R129 TMC","")</f>
        <v/>
      </c>
      <c r="F707" s="519" t="s">
        <v>4245</v>
      </c>
      <c r="G707" s="506"/>
      <c r="H707" s="519" t="s">
        <v>1864</v>
      </c>
      <c r="I707" s="506"/>
      <c r="J707" s="506"/>
      <c r="K707" s="521"/>
      <c r="L707" s="526"/>
      <c r="M707" s="527"/>
      <c r="N707" s="528"/>
      <c r="O707" s="663"/>
      <c r="P707" s="666"/>
      <c r="Q707" s="566" t="s">
        <v>1828</v>
      </c>
      <c r="R707" s="535" t="s">
        <v>1819</v>
      </c>
      <c r="S707" s="530"/>
      <c r="T707" s="566"/>
    </row>
    <row r="708" spans="1:20" s="508" customFormat="1" ht="60" hidden="1">
      <c r="A708" s="668"/>
      <c r="B708" s="519" t="s">
        <v>1858</v>
      </c>
      <c r="C708" s="534" t="s">
        <v>1865</v>
      </c>
      <c r="D708" s="534"/>
      <c r="E708" s="519" t="str">
        <f>IF('GPS Anthro Tool'!$B$5=1,"ECE R129 TMC","")</f>
        <v/>
      </c>
      <c r="F708" s="519" t="s">
        <v>4245</v>
      </c>
      <c r="G708" s="506"/>
      <c r="H708" s="519" t="s">
        <v>1866</v>
      </c>
      <c r="I708" s="506"/>
      <c r="J708" s="506"/>
      <c r="K708" s="521"/>
      <c r="L708" s="526"/>
      <c r="M708" s="527"/>
      <c r="N708" s="528"/>
      <c r="O708" s="663"/>
      <c r="P708" s="666"/>
      <c r="Q708" s="566" t="s">
        <v>1818</v>
      </c>
      <c r="R708" s="535" t="s">
        <v>1819</v>
      </c>
      <c r="S708" s="530"/>
      <c r="T708" s="566"/>
    </row>
    <row r="709" spans="1:20" s="508" customFormat="1" ht="30" hidden="1">
      <c r="A709" s="668"/>
      <c r="B709" s="519" t="s">
        <v>1858</v>
      </c>
      <c r="C709" s="534" t="s">
        <v>1867</v>
      </c>
      <c r="D709" s="534"/>
      <c r="E709" s="519" t="str">
        <f>IF('GPS Anthro Tool'!$B$5=1,"ECE R129 TMC","")</f>
        <v/>
      </c>
      <c r="F709" s="519" t="s">
        <v>4245</v>
      </c>
      <c r="G709" s="506"/>
      <c r="H709" s="519" t="s">
        <v>1868</v>
      </c>
      <c r="I709" s="506"/>
      <c r="J709" s="506"/>
      <c r="K709" s="521"/>
      <c r="L709" s="526"/>
      <c r="M709" s="527"/>
      <c r="N709" s="528"/>
      <c r="O709" s="663"/>
      <c r="P709" s="666"/>
      <c r="Q709" s="566" t="s">
        <v>1818</v>
      </c>
      <c r="R709" s="535" t="s">
        <v>1819</v>
      </c>
      <c r="S709" s="530"/>
      <c r="T709" s="566"/>
    </row>
    <row r="710" spans="1:20" s="508" customFormat="1" ht="45" hidden="1">
      <c r="A710" s="668"/>
      <c r="B710" s="519" t="s">
        <v>1858</v>
      </c>
      <c r="C710" s="534" t="s">
        <v>1869</v>
      </c>
      <c r="D710" s="534"/>
      <c r="E710" s="519" t="str">
        <f>IF('GPS Anthro Tool'!$B$5=1,"ECE R129 TMC","")</f>
        <v/>
      </c>
      <c r="F710" s="519" t="s">
        <v>4245</v>
      </c>
      <c r="G710" s="506"/>
      <c r="H710" s="519" t="s">
        <v>1870</v>
      </c>
      <c r="I710" s="506"/>
      <c r="J710" s="506"/>
      <c r="K710" s="521"/>
      <c r="L710" s="526"/>
      <c r="M710" s="527"/>
      <c r="N710" s="528"/>
      <c r="O710" s="663"/>
      <c r="P710" s="666"/>
      <c r="Q710" s="566" t="s">
        <v>1818</v>
      </c>
      <c r="R710" s="535" t="s">
        <v>1819</v>
      </c>
      <c r="S710" s="530"/>
      <c r="T710" s="566"/>
    </row>
    <row r="711" spans="1:20" s="508" customFormat="1" ht="45" hidden="1">
      <c r="A711" s="668"/>
      <c r="B711" s="519" t="s">
        <v>1871</v>
      </c>
      <c r="C711" s="534" t="s">
        <v>1872</v>
      </c>
      <c r="D711" s="534"/>
      <c r="E711" s="519" t="str">
        <f>IF('GPS Anthro Tool'!$B$5=1,"ECE R129 TMC","")</f>
        <v/>
      </c>
      <c r="F711" s="519" t="s">
        <v>4245</v>
      </c>
      <c r="G711" s="506"/>
      <c r="H711" s="519" t="s">
        <v>1873</v>
      </c>
      <c r="I711" s="506"/>
      <c r="J711" s="506"/>
      <c r="K711" s="521"/>
      <c r="L711" s="526"/>
      <c r="M711" s="527"/>
      <c r="N711" s="528"/>
      <c r="O711" s="663"/>
      <c r="P711" s="666"/>
      <c r="Q711" s="566" t="s">
        <v>1818</v>
      </c>
      <c r="R711" s="535" t="s">
        <v>1819</v>
      </c>
      <c r="S711" s="530"/>
      <c r="T711" s="566"/>
    </row>
    <row r="712" spans="1:20" s="508" customFormat="1" ht="30" hidden="1">
      <c r="A712" s="518"/>
      <c r="B712" s="519" t="s">
        <v>1871</v>
      </c>
      <c r="C712" s="534" t="s">
        <v>1890</v>
      </c>
      <c r="D712" s="534"/>
      <c r="E712" s="519" t="str">
        <f>IF('GPS Anthro Tool'!$B$5=1,"ECE R129 TMC","")</f>
        <v/>
      </c>
      <c r="F712" s="519" t="s">
        <v>4245</v>
      </c>
      <c r="G712" s="506"/>
      <c r="H712" s="519" t="s">
        <v>1891</v>
      </c>
      <c r="I712" s="506"/>
      <c r="J712" s="506"/>
      <c r="K712" s="521"/>
      <c r="L712" s="526"/>
      <c r="M712" s="527"/>
      <c r="N712" s="528"/>
      <c r="O712" s="663"/>
      <c r="P712" s="666"/>
      <c r="Q712" s="566" t="s">
        <v>1828</v>
      </c>
      <c r="R712" s="535" t="s">
        <v>1819</v>
      </c>
      <c r="S712" s="530"/>
      <c r="T712" s="566"/>
    </row>
    <row r="713" spans="1:20" s="508" customFormat="1" ht="60" hidden="1">
      <c r="A713" s="518"/>
      <c r="B713" s="519" t="s">
        <v>1871</v>
      </c>
      <c r="C713" s="534" t="s">
        <v>1892</v>
      </c>
      <c r="D713" s="534"/>
      <c r="E713" s="519" t="str">
        <f>IF('GPS Anthro Tool'!$B$5=1,"ECE R129 TMC","")</f>
        <v/>
      </c>
      <c r="F713" s="519" t="s">
        <v>4245</v>
      </c>
      <c r="G713" s="506"/>
      <c r="H713" s="519" t="s">
        <v>1893</v>
      </c>
      <c r="I713" s="506"/>
      <c r="J713" s="506"/>
      <c r="K713" s="527"/>
      <c r="L713" s="526"/>
      <c r="M713" s="527"/>
      <c r="N713" s="528"/>
      <c r="O713" s="663"/>
      <c r="P713" s="666"/>
      <c r="Q713" s="566" t="s">
        <v>1818</v>
      </c>
      <c r="R713" s="535" t="s">
        <v>1819</v>
      </c>
      <c r="S713" s="530"/>
      <c r="T713" s="667"/>
    </row>
    <row r="714" spans="1:20" s="508" customFormat="1" ht="30" hidden="1">
      <c r="A714" s="518"/>
      <c r="B714" s="519" t="s">
        <v>1871</v>
      </c>
      <c r="C714" s="534" t="s">
        <v>1894</v>
      </c>
      <c r="D714" s="534"/>
      <c r="E714" s="519" t="str">
        <f>IF('GPS Anthro Tool'!$B$5=1,"ECE R129 TMC","")</f>
        <v/>
      </c>
      <c r="F714" s="519" t="s">
        <v>4245</v>
      </c>
      <c r="G714" s="506"/>
      <c r="H714" s="519" t="s">
        <v>1895</v>
      </c>
      <c r="I714" s="506"/>
      <c r="J714" s="506"/>
      <c r="K714" s="527"/>
      <c r="L714" s="526"/>
      <c r="M714" s="527"/>
      <c r="N714" s="528"/>
      <c r="O714" s="663"/>
      <c r="P714" s="666"/>
      <c r="Q714" s="566" t="s">
        <v>1818</v>
      </c>
      <c r="R714" s="535" t="s">
        <v>1819</v>
      </c>
      <c r="S714" s="530"/>
      <c r="T714" s="667"/>
    </row>
    <row r="715" spans="1:20" s="508" customFormat="1" ht="45" hidden="1">
      <c r="A715" s="518"/>
      <c r="B715" s="519" t="s">
        <v>1871</v>
      </c>
      <c r="C715" s="534" t="s">
        <v>1896</v>
      </c>
      <c r="D715" s="534"/>
      <c r="E715" s="519" t="str">
        <f>IF('GPS Anthro Tool'!$B$5=1,"ECE R129 TMC","")</f>
        <v/>
      </c>
      <c r="F715" s="519" t="s">
        <v>4245</v>
      </c>
      <c r="G715" s="506"/>
      <c r="H715" s="519" t="s">
        <v>3507</v>
      </c>
      <c r="I715" s="506"/>
      <c r="J715" s="506"/>
      <c r="K715" s="527"/>
      <c r="L715" s="526"/>
      <c r="M715" s="527"/>
      <c r="N715" s="528"/>
      <c r="O715" s="663"/>
      <c r="P715" s="666"/>
      <c r="Q715" s="566" t="s">
        <v>1818</v>
      </c>
      <c r="R715" s="535" t="s">
        <v>1819</v>
      </c>
      <c r="S715" s="530"/>
      <c r="T715" s="667"/>
    </row>
    <row r="716" spans="1:20" s="508" customFormat="1" ht="30" hidden="1">
      <c r="A716" s="518"/>
      <c r="B716" s="519" t="s">
        <v>1871</v>
      </c>
      <c r="C716" s="534" t="s">
        <v>1897</v>
      </c>
      <c r="D716" s="534"/>
      <c r="E716" s="519" t="str">
        <f>IF('GPS Anthro Tool'!$B$5=1,"ECE R129 TMC","")</f>
        <v/>
      </c>
      <c r="F716" s="519" t="s">
        <v>4245</v>
      </c>
      <c r="G716" s="506"/>
      <c r="H716" s="519" t="s">
        <v>3508</v>
      </c>
      <c r="I716" s="506"/>
      <c r="J716" s="506"/>
      <c r="K716" s="527"/>
      <c r="L716" s="526"/>
      <c r="M716" s="527"/>
      <c r="N716" s="528"/>
      <c r="O716" s="663"/>
      <c r="P716" s="666"/>
      <c r="Q716" s="566" t="s">
        <v>1818</v>
      </c>
      <c r="R716" s="535" t="s">
        <v>1819</v>
      </c>
      <c r="S716" s="530"/>
      <c r="T716" s="667"/>
    </row>
    <row r="717" spans="1:20" s="508" customFormat="1" ht="45" hidden="1">
      <c r="A717" s="668"/>
      <c r="B717" s="519" t="s">
        <v>1871</v>
      </c>
      <c r="C717" s="534" t="s">
        <v>1898</v>
      </c>
      <c r="D717" s="534"/>
      <c r="E717" s="519" t="str">
        <f>IF('GPS Anthro Tool'!$B$5=1,"ECE R129 TMC","")</f>
        <v/>
      </c>
      <c r="F717" s="519" t="s">
        <v>4245</v>
      </c>
      <c r="G717" s="506"/>
      <c r="H717" s="519" t="s">
        <v>1899</v>
      </c>
      <c r="I717" s="506"/>
      <c r="J717" s="506"/>
      <c r="K717" s="527"/>
      <c r="L717" s="526"/>
      <c r="M717" s="527"/>
      <c r="N717" s="528"/>
      <c r="O717" s="663"/>
      <c r="P717" s="666"/>
      <c r="Q717" s="566" t="s">
        <v>1818</v>
      </c>
      <c r="R717" s="535" t="s">
        <v>1819</v>
      </c>
      <c r="S717" s="530"/>
      <c r="T717" s="667"/>
    </row>
    <row r="718" spans="1:20" s="508" customFormat="1" ht="30" hidden="1">
      <c r="A718" s="668"/>
      <c r="B718" s="519" t="s">
        <v>1871</v>
      </c>
      <c r="C718" s="534" t="s">
        <v>1900</v>
      </c>
      <c r="D718" s="534"/>
      <c r="E718" s="519" t="str">
        <f>IF('GPS Anthro Tool'!$B$5=1,"ECE R129 TMC","")</f>
        <v/>
      </c>
      <c r="F718" s="519" t="s">
        <v>4245</v>
      </c>
      <c r="G718" s="506"/>
      <c r="H718" s="519" t="s">
        <v>1901</v>
      </c>
      <c r="I718" s="506"/>
      <c r="J718" s="506"/>
      <c r="K718" s="527"/>
      <c r="L718" s="526"/>
      <c r="M718" s="527"/>
      <c r="N718" s="528"/>
      <c r="O718" s="663"/>
      <c r="P718" s="666"/>
      <c r="Q718" s="566" t="s">
        <v>1818</v>
      </c>
      <c r="R718" s="535" t="s">
        <v>1819</v>
      </c>
      <c r="S718" s="530"/>
      <c r="T718" s="667"/>
    </row>
    <row r="719" spans="1:20" s="508" customFormat="1" ht="45" hidden="1">
      <c r="A719" s="668"/>
      <c r="B719" s="519" t="s">
        <v>1871</v>
      </c>
      <c r="C719" s="534" t="s">
        <v>1902</v>
      </c>
      <c r="D719" s="534"/>
      <c r="E719" s="519" t="str">
        <f>IF('GPS Anthro Tool'!$B$5=1,"ECE R129 TMC","")</f>
        <v/>
      </c>
      <c r="F719" s="519" t="s">
        <v>4245</v>
      </c>
      <c r="G719" s="506"/>
      <c r="H719" s="519" t="s">
        <v>1903</v>
      </c>
      <c r="I719" s="506"/>
      <c r="J719" s="506"/>
      <c r="K719" s="527"/>
      <c r="L719" s="526"/>
      <c r="M719" s="527"/>
      <c r="N719" s="528"/>
      <c r="O719" s="663"/>
      <c r="P719" s="666"/>
      <c r="Q719" s="566" t="s">
        <v>1818</v>
      </c>
      <c r="R719" s="535" t="s">
        <v>1819</v>
      </c>
      <c r="S719" s="530"/>
      <c r="T719" s="667"/>
    </row>
    <row r="720" spans="1:20" s="508" customFormat="1" ht="45" hidden="1">
      <c r="A720" s="668"/>
      <c r="B720" s="519" t="s">
        <v>1871</v>
      </c>
      <c r="C720" s="534" t="s">
        <v>1874</v>
      </c>
      <c r="D720" s="534"/>
      <c r="E720" s="519" t="str">
        <f>IF('GPS Anthro Tool'!$B$5=1,"ECE R129 TMC","")</f>
        <v/>
      </c>
      <c r="F720" s="519" t="s">
        <v>4245</v>
      </c>
      <c r="G720" s="506"/>
      <c r="H720" s="519" t="s">
        <v>1875</v>
      </c>
      <c r="I720" s="506"/>
      <c r="J720" s="506"/>
      <c r="K720" s="527"/>
      <c r="L720" s="526"/>
      <c r="M720" s="527"/>
      <c r="N720" s="528"/>
      <c r="O720" s="663"/>
      <c r="P720" s="666"/>
      <c r="Q720" s="566" t="s">
        <v>1828</v>
      </c>
      <c r="R720" s="535" t="s">
        <v>1819</v>
      </c>
      <c r="S720" s="530"/>
      <c r="T720" s="667"/>
    </row>
    <row r="721" spans="1:20" s="508" customFormat="1" ht="45" hidden="1">
      <c r="A721" s="668"/>
      <c r="B721" s="519" t="s">
        <v>1871</v>
      </c>
      <c r="C721" s="534" t="s">
        <v>1876</v>
      </c>
      <c r="D721" s="534"/>
      <c r="E721" s="519" t="str">
        <f>IF('GPS Anthro Tool'!$B$5=1,"ECE R129 TMC","")</f>
        <v/>
      </c>
      <c r="F721" s="519" t="s">
        <v>4245</v>
      </c>
      <c r="G721" s="506"/>
      <c r="H721" s="519" t="s">
        <v>1875</v>
      </c>
      <c r="I721" s="506"/>
      <c r="J721" s="506"/>
      <c r="K721" s="527"/>
      <c r="L721" s="526"/>
      <c r="M721" s="527"/>
      <c r="N721" s="528"/>
      <c r="O721" s="663"/>
      <c r="P721" s="666"/>
      <c r="Q721" s="566" t="s">
        <v>1818</v>
      </c>
      <c r="R721" s="535" t="s">
        <v>1819</v>
      </c>
      <c r="S721" s="530"/>
      <c r="T721" s="667"/>
    </row>
    <row r="722" spans="1:20" s="508" customFormat="1" ht="45" hidden="1">
      <c r="A722" s="668"/>
      <c r="B722" s="519" t="s">
        <v>1871</v>
      </c>
      <c r="C722" s="534" t="s">
        <v>1877</v>
      </c>
      <c r="D722" s="534"/>
      <c r="E722" s="519" t="str">
        <f>IF('GPS Anthro Tool'!$B$5=1,"ECE R129 TMC","")</f>
        <v/>
      </c>
      <c r="F722" s="519" t="s">
        <v>4245</v>
      </c>
      <c r="G722" s="506"/>
      <c r="H722" s="519" t="s">
        <v>1878</v>
      </c>
      <c r="I722" s="506"/>
      <c r="J722" s="506"/>
      <c r="K722" s="527"/>
      <c r="L722" s="526"/>
      <c r="M722" s="527"/>
      <c r="N722" s="528"/>
      <c r="O722" s="663"/>
      <c r="P722" s="666"/>
      <c r="Q722" s="566" t="s">
        <v>1818</v>
      </c>
      <c r="R722" s="535" t="s">
        <v>1819</v>
      </c>
      <c r="S722" s="530"/>
      <c r="T722" s="667"/>
    </row>
    <row r="723" spans="1:20" s="508" customFormat="1" ht="45" hidden="1">
      <c r="A723" s="668"/>
      <c r="B723" s="519" t="s">
        <v>1871</v>
      </c>
      <c r="C723" s="534" t="s">
        <v>1879</v>
      </c>
      <c r="D723" s="534"/>
      <c r="E723" s="519" t="str">
        <f>IF('GPS Anthro Tool'!$B$5=1,"ECE R129 TMC","")</f>
        <v/>
      </c>
      <c r="F723" s="519" t="s">
        <v>4245</v>
      </c>
      <c r="G723" s="506"/>
      <c r="H723" s="519" t="s">
        <v>1880</v>
      </c>
      <c r="I723" s="506"/>
      <c r="J723" s="506"/>
      <c r="K723" s="527"/>
      <c r="L723" s="526"/>
      <c r="M723" s="527"/>
      <c r="N723" s="528"/>
      <c r="O723" s="663"/>
      <c r="P723" s="666"/>
      <c r="Q723" s="566" t="s">
        <v>1881</v>
      </c>
      <c r="R723" s="535" t="s">
        <v>1819</v>
      </c>
      <c r="S723" s="530"/>
      <c r="T723" s="667"/>
    </row>
    <row r="724" spans="1:20" s="508" customFormat="1" ht="45" hidden="1">
      <c r="A724" s="668"/>
      <c r="B724" s="519" t="s">
        <v>1871</v>
      </c>
      <c r="C724" s="534" t="s">
        <v>1882</v>
      </c>
      <c r="D724" s="534"/>
      <c r="E724" s="519" t="str">
        <f>IF('GPS Anthro Tool'!$B$5=1,"ECE R129 TMC","")</f>
        <v/>
      </c>
      <c r="F724" s="519" t="s">
        <v>4245</v>
      </c>
      <c r="G724" s="506"/>
      <c r="H724" s="519" t="s">
        <v>1883</v>
      </c>
      <c r="I724" s="506"/>
      <c r="J724" s="506"/>
      <c r="K724" s="527"/>
      <c r="L724" s="526"/>
      <c r="M724" s="527"/>
      <c r="N724" s="528"/>
      <c r="O724" s="663"/>
      <c r="P724" s="666"/>
      <c r="Q724" s="566" t="s">
        <v>1828</v>
      </c>
      <c r="R724" s="535" t="s">
        <v>1819</v>
      </c>
      <c r="S724" s="530"/>
      <c r="T724" s="667"/>
    </row>
    <row r="725" spans="1:20" s="508" customFormat="1" ht="45" hidden="1">
      <c r="A725" s="518"/>
      <c r="B725" s="519" t="s">
        <v>1871</v>
      </c>
      <c r="C725" s="534" t="s">
        <v>1884</v>
      </c>
      <c r="D725" s="534"/>
      <c r="E725" s="519" t="str">
        <f>IF('GPS Anthro Tool'!$B$5=1,"ECE R129 TMC","")</f>
        <v/>
      </c>
      <c r="F725" s="519" t="s">
        <v>4245</v>
      </c>
      <c r="G725" s="506"/>
      <c r="H725" s="519" t="s">
        <v>1885</v>
      </c>
      <c r="I725" s="506"/>
      <c r="J725" s="506"/>
      <c r="K725" s="527"/>
      <c r="L725" s="526"/>
      <c r="M725" s="527"/>
      <c r="N725" s="528"/>
      <c r="O725" s="663"/>
      <c r="P725" s="666"/>
      <c r="Q725" s="566" t="s">
        <v>1881</v>
      </c>
      <c r="R725" s="535" t="s">
        <v>1819</v>
      </c>
      <c r="S725" s="530"/>
      <c r="T725" s="667"/>
    </row>
    <row r="726" spans="1:20" s="508" customFormat="1" ht="45" hidden="1">
      <c r="A726" s="668"/>
      <c r="B726" s="519" t="s">
        <v>1871</v>
      </c>
      <c r="C726" s="534" t="s">
        <v>1886</v>
      </c>
      <c r="D726" s="534"/>
      <c r="E726" s="519" t="str">
        <f>IF('GPS Anthro Tool'!$B$5=1,"ECE R129 TMC","")</f>
        <v/>
      </c>
      <c r="F726" s="519" t="s">
        <v>4245</v>
      </c>
      <c r="G726" s="506"/>
      <c r="H726" s="519" t="s">
        <v>1887</v>
      </c>
      <c r="I726" s="506"/>
      <c r="J726" s="506"/>
      <c r="K726" s="527"/>
      <c r="L726" s="526"/>
      <c r="M726" s="527"/>
      <c r="N726" s="528"/>
      <c r="O726" s="663"/>
      <c r="P726" s="666"/>
      <c r="Q726" s="566" t="s">
        <v>1818</v>
      </c>
      <c r="R726" s="535" t="s">
        <v>1819</v>
      </c>
      <c r="S726" s="530"/>
      <c r="T726" s="667"/>
    </row>
    <row r="727" spans="1:20" s="508" customFormat="1" ht="60" hidden="1">
      <c r="A727" s="668"/>
      <c r="B727" s="519" t="s">
        <v>1871</v>
      </c>
      <c r="C727" s="534" t="s">
        <v>1888</v>
      </c>
      <c r="D727" s="534"/>
      <c r="E727" s="519" t="str">
        <f>IF('GPS Anthro Tool'!$B$5=1,"ECE R129 TMC","")</f>
        <v/>
      </c>
      <c r="F727" s="519" t="s">
        <v>4245</v>
      </c>
      <c r="G727" s="506"/>
      <c r="H727" s="519" t="s">
        <v>1889</v>
      </c>
      <c r="I727" s="506"/>
      <c r="J727" s="506"/>
      <c r="K727" s="527"/>
      <c r="L727" s="526"/>
      <c r="M727" s="527"/>
      <c r="N727" s="528"/>
      <c r="O727" s="663"/>
      <c r="P727" s="666"/>
      <c r="Q727" s="566" t="s">
        <v>1881</v>
      </c>
      <c r="R727" s="535" t="s">
        <v>1819</v>
      </c>
      <c r="S727" s="530"/>
      <c r="T727" s="667"/>
    </row>
    <row r="728" spans="1:20" s="508" customFormat="1" ht="45" hidden="1">
      <c r="A728" s="668"/>
      <c r="B728" s="519" t="s">
        <v>1904</v>
      </c>
      <c r="C728" s="534" t="s">
        <v>1905</v>
      </c>
      <c r="D728" s="534"/>
      <c r="E728" s="519" t="str">
        <f>IF('GPS Anthro Tool'!$B$5=1,"ECE R129 TMC","")</f>
        <v/>
      </c>
      <c r="F728" s="519" t="s">
        <v>4245</v>
      </c>
      <c r="G728" s="506"/>
      <c r="H728" s="519" t="s">
        <v>1906</v>
      </c>
      <c r="I728" s="506"/>
      <c r="J728" s="506"/>
      <c r="K728" s="527"/>
      <c r="L728" s="526"/>
      <c r="M728" s="527"/>
      <c r="N728" s="528"/>
      <c r="O728" s="663"/>
      <c r="P728" s="666"/>
      <c r="Q728" s="566" t="s">
        <v>1828</v>
      </c>
      <c r="R728" s="535" t="s">
        <v>1819</v>
      </c>
      <c r="S728" s="530"/>
      <c r="T728" s="667"/>
    </row>
    <row r="729" spans="1:20" s="508" customFormat="1" ht="75" hidden="1">
      <c r="A729" s="668"/>
      <c r="B729" s="519" t="s">
        <v>1904</v>
      </c>
      <c r="C729" s="534" t="s">
        <v>1921</v>
      </c>
      <c r="D729" s="534"/>
      <c r="E729" s="519" t="str">
        <f>IF('GPS Anthro Tool'!$B$5=1,"ECE R129 TMC","")</f>
        <v/>
      </c>
      <c r="F729" s="519" t="s">
        <v>4245</v>
      </c>
      <c r="G729" s="506"/>
      <c r="H729" s="519" t="s">
        <v>1920</v>
      </c>
      <c r="I729" s="506"/>
      <c r="J729" s="506"/>
      <c r="K729" s="527"/>
      <c r="L729" s="526"/>
      <c r="M729" s="527"/>
      <c r="N729" s="528"/>
      <c r="O729" s="663"/>
      <c r="P729" s="666"/>
      <c r="Q729" s="566" t="s">
        <v>1828</v>
      </c>
      <c r="R729" s="535" t="s">
        <v>1819</v>
      </c>
      <c r="S729" s="530"/>
      <c r="T729" s="667"/>
    </row>
    <row r="730" spans="1:20" s="508" customFormat="1" ht="45" hidden="1">
      <c r="A730" s="518"/>
      <c r="B730" s="519" t="s">
        <v>1904</v>
      </c>
      <c r="C730" s="534" t="s">
        <v>1922</v>
      </c>
      <c r="D730" s="534"/>
      <c r="E730" s="519" t="str">
        <f>IF('GPS Anthro Tool'!$B$5=1,"ECE R129 TMC","")</f>
        <v/>
      </c>
      <c r="F730" s="519" t="s">
        <v>4245</v>
      </c>
      <c r="G730" s="506"/>
      <c r="H730" s="519" t="s">
        <v>1923</v>
      </c>
      <c r="I730" s="506"/>
      <c r="J730" s="506"/>
      <c r="K730" s="527"/>
      <c r="L730" s="526"/>
      <c r="M730" s="527"/>
      <c r="N730" s="528"/>
      <c r="O730" s="663"/>
      <c r="P730" s="666"/>
      <c r="Q730" s="566" t="s">
        <v>1881</v>
      </c>
      <c r="R730" s="535" t="s">
        <v>1819</v>
      </c>
      <c r="S730" s="530"/>
      <c r="T730" s="667"/>
    </row>
    <row r="731" spans="1:20" s="508" customFormat="1" ht="45" hidden="1">
      <c r="A731" s="518"/>
      <c r="B731" s="519" t="s">
        <v>1904</v>
      </c>
      <c r="C731" s="534" t="s">
        <v>1907</v>
      </c>
      <c r="D731" s="534"/>
      <c r="E731" s="519" t="str">
        <f>IF('GPS Anthro Tool'!$B$5=1,"ECE R129 TMC","")</f>
        <v/>
      </c>
      <c r="F731" s="519" t="s">
        <v>4245</v>
      </c>
      <c r="G731" s="506"/>
      <c r="H731" s="519" t="s">
        <v>1908</v>
      </c>
      <c r="I731" s="506"/>
      <c r="J731" s="506"/>
      <c r="K731" s="527"/>
      <c r="L731" s="526"/>
      <c r="M731" s="527"/>
      <c r="N731" s="528"/>
      <c r="O731" s="663"/>
      <c r="P731" s="666"/>
      <c r="Q731" s="566" t="s">
        <v>1818</v>
      </c>
      <c r="R731" s="535" t="s">
        <v>1819</v>
      </c>
      <c r="S731" s="530"/>
      <c r="T731" s="667"/>
    </row>
    <row r="732" spans="1:20" s="508" customFormat="1" ht="30" hidden="1">
      <c r="A732" s="518"/>
      <c r="B732" s="519" t="s">
        <v>1904</v>
      </c>
      <c r="C732" s="534" t="s">
        <v>1909</v>
      </c>
      <c r="D732" s="534"/>
      <c r="E732" s="519" t="str">
        <f>IF('GPS Anthro Tool'!$B$5=1,"ECE R129 TMC","")</f>
        <v/>
      </c>
      <c r="F732" s="519" t="s">
        <v>4245</v>
      </c>
      <c r="G732" s="506"/>
      <c r="H732" s="519" t="s">
        <v>1910</v>
      </c>
      <c r="I732" s="506"/>
      <c r="J732" s="506"/>
      <c r="K732" s="527"/>
      <c r="L732" s="526"/>
      <c r="M732" s="527"/>
      <c r="N732" s="528"/>
      <c r="O732" s="663"/>
      <c r="P732" s="666"/>
      <c r="Q732" s="566" t="s">
        <v>1818</v>
      </c>
      <c r="R732" s="535" t="s">
        <v>1819</v>
      </c>
      <c r="S732" s="530"/>
      <c r="T732" s="667"/>
    </row>
    <row r="733" spans="1:20" s="508" customFormat="1" ht="45" hidden="1">
      <c r="A733" s="518"/>
      <c r="B733" s="519" t="s">
        <v>1904</v>
      </c>
      <c r="C733" s="534" t="s">
        <v>1911</v>
      </c>
      <c r="D733" s="534"/>
      <c r="E733" s="519" t="str">
        <f>IF('GPS Anthro Tool'!$B$5=1,"ECE R129 TMC","")</f>
        <v/>
      </c>
      <c r="F733" s="519" t="s">
        <v>4245</v>
      </c>
      <c r="G733" s="506"/>
      <c r="H733" s="519" t="s">
        <v>1912</v>
      </c>
      <c r="I733" s="506"/>
      <c r="J733" s="506"/>
      <c r="K733" s="527"/>
      <c r="L733" s="526"/>
      <c r="M733" s="527"/>
      <c r="N733" s="528"/>
      <c r="O733" s="663"/>
      <c r="P733" s="666"/>
      <c r="Q733" s="566" t="s">
        <v>1818</v>
      </c>
      <c r="R733" s="535" t="s">
        <v>1819</v>
      </c>
      <c r="S733" s="530"/>
      <c r="T733" s="667"/>
    </row>
    <row r="734" spans="1:20" s="508" customFormat="1" ht="30" hidden="1">
      <c r="A734" s="518"/>
      <c r="B734" s="519" t="s">
        <v>1904</v>
      </c>
      <c r="C734" s="534" t="s">
        <v>1913</v>
      </c>
      <c r="D734" s="534"/>
      <c r="E734" s="519" t="str">
        <f>IF('GPS Anthro Tool'!$B$5=1,"ECE R129 TMC","")</f>
        <v/>
      </c>
      <c r="F734" s="519" t="s">
        <v>4245</v>
      </c>
      <c r="G734" s="506"/>
      <c r="H734" s="519" t="s">
        <v>1914</v>
      </c>
      <c r="I734" s="506"/>
      <c r="J734" s="506"/>
      <c r="K734" s="527"/>
      <c r="L734" s="526"/>
      <c r="M734" s="527"/>
      <c r="N734" s="528"/>
      <c r="O734" s="663"/>
      <c r="P734" s="666"/>
      <c r="Q734" s="566" t="s">
        <v>1818</v>
      </c>
      <c r="R734" s="535" t="s">
        <v>1819</v>
      </c>
      <c r="S734" s="530"/>
      <c r="T734" s="667"/>
    </row>
    <row r="735" spans="1:20" s="508" customFormat="1" ht="75" hidden="1">
      <c r="A735" s="518"/>
      <c r="B735" s="519" t="s">
        <v>1904</v>
      </c>
      <c r="C735" s="534" t="s">
        <v>1915</v>
      </c>
      <c r="D735" s="534"/>
      <c r="E735" s="519" t="str">
        <f>IF('GPS Anthro Tool'!$B$5=1,"ECE R129 TMC","")</f>
        <v/>
      </c>
      <c r="F735" s="519" t="s">
        <v>4245</v>
      </c>
      <c r="G735" s="506"/>
      <c r="H735" s="519" t="s">
        <v>1916</v>
      </c>
      <c r="I735" s="506"/>
      <c r="J735" s="506"/>
      <c r="K735" s="527"/>
      <c r="L735" s="526"/>
      <c r="M735" s="527"/>
      <c r="N735" s="528"/>
      <c r="O735" s="663"/>
      <c r="P735" s="666"/>
      <c r="Q735" s="566" t="s">
        <v>1818</v>
      </c>
      <c r="R735" s="535" t="s">
        <v>1819</v>
      </c>
      <c r="S735" s="530"/>
      <c r="T735" s="667"/>
    </row>
    <row r="736" spans="1:20" s="508" customFormat="1" ht="45" hidden="1">
      <c r="A736" s="518"/>
      <c r="B736" s="519" t="s">
        <v>1904</v>
      </c>
      <c r="C736" s="534" t="s">
        <v>1917</v>
      </c>
      <c r="D736" s="534"/>
      <c r="E736" s="519" t="str">
        <f>IF('GPS Anthro Tool'!$B$5=1,"ECE R129 TMC","")</f>
        <v/>
      </c>
      <c r="F736" s="519" t="s">
        <v>4245</v>
      </c>
      <c r="G736" s="506"/>
      <c r="H736" s="519" t="s">
        <v>1875</v>
      </c>
      <c r="I736" s="506"/>
      <c r="J736" s="506"/>
      <c r="K736" s="527"/>
      <c r="L736" s="526"/>
      <c r="M736" s="527"/>
      <c r="N736" s="528"/>
      <c r="O736" s="663"/>
      <c r="P736" s="666"/>
      <c r="Q736" s="566" t="s">
        <v>1818</v>
      </c>
      <c r="R736" s="535" t="s">
        <v>1819</v>
      </c>
      <c r="S736" s="530"/>
      <c r="T736" s="667"/>
    </row>
    <row r="737" spans="1:20" s="508" customFormat="1" ht="75" hidden="1">
      <c r="A737" s="518"/>
      <c r="B737" s="519" t="s">
        <v>1904</v>
      </c>
      <c r="C737" s="534" t="s">
        <v>1918</v>
      </c>
      <c r="D737" s="534"/>
      <c r="E737" s="519" t="str">
        <f>IF('GPS Anthro Tool'!$B$5=1,"ECE R129 TMC","")</f>
        <v/>
      </c>
      <c r="F737" s="519" t="s">
        <v>4245</v>
      </c>
      <c r="G737" s="506"/>
      <c r="H737" s="519" t="s">
        <v>1916</v>
      </c>
      <c r="I737" s="506"/>
      <c r="J737" s="506"/>
      <c r="K737" s="527"/>
      <c r="L737" s="526"/>
      <c r="M737" s="527"/>
      <c r="N737" s="528"/>
      <c r="O737" s="663"/>
      <c r="P737" s="666"/>
      <c r="Q737" s="566" t="s">
        <v>1818</v>
      </c>
      <c r="R737" s="535" t="s">
        <v>1819</v>
      </c>
      <c r="S737" s="530"/>
      <c r="T737" s="667"/>
    </row>
    <row r="738" spans="1:20" s="508" customFormat="1" ht="75" hidden="1">
      <c r="A738" s="518"/>
      <c r="B738" s="519" t="s">
        <v>1904</v>
      </c>
      <c r="C738" s="534" t="s">
        <v>1919</v>
      </c>
      <c r="D738" s="534"/>
      <c r="E738" s="519" t="str">
        <f>IF('GPS Anthro Tool'!$B$5=1,"ECE R129 TMC","")</f>
        <v/>
      </c>
      <c r="F738" s="519" t="s">
        <v>4245</v>
      </c>
      <c r="G738" s="506"/>
      <c r="H738" s="519" t="s">
        <v>1920</v>
      </c>
      <c r="I738" s="506"/>
      <c r="J738" s="506"/>
      <c r="K738" s="527"/>
      <c r="L738" s="526"/>
      <c r="M738" s="527"/>
      <c r="N738" s="528"/>
      <c r="O738" s="663"/>
      <c r="P738" s="666"/>
      <c r="Q738" s="566" t="s">
        <v>1828</v>
      </c>
      <c r="R738" s="535" t="s">
        <v>1819</v>
      </c>
      <c r="S738" s="530"/>
      <c r="T738" s="667"/>
    </row>
    <row r="739" spans="1:20" s="508" customFormat="1" ht="60" hidden="1">
      <c r="A739" s="518"/>
      <c r="B739" s="519" t="s">
        <v>1966</v>
      </c>
      <c r="C739" s="536" t="s">
        <v>3524</v>
      </c>
      <c r="D739" s="536"/>
      <c r="E739" s="519" t="str">
        <f>IF('GPS Anthro Tool'!$B$5=1,"ECE R129 TMC","")</f>
        <v/>
      </c>
      <c r="F739" s="519" t="s">
        <v>4245</v>
      </c>
      <c r="G739" s="506"/>
      <c r="H739" s="519" t="s">
        <v>1967</v>
      </c>
      <c r="I739" s="506"/>
      <c r="J739" s="506"/>
      <c r="K739" s="527"/>
      <c r="L739" s="526"/>
      <c r="M739" s="527"/>
      <c r="N739" s="528"/>
      <c r="O739" s="663"/>
      <c r="P739" s="666"/>
      <c r="Q739" s="566" t="s">
        <v>1828</v>
      </c>
      <c r="R739" s="535" t="s">
        <v>1819</v>
      </c>
      <c r="S739" s="527"/>
      <c r="T739" s="667"/>
    </row>
    <row r="740" spans="1:20" s="508" customFormat="1" ht="45" hidden="1">
      <c r="A740" s="518"/>
      <c r="B740" s="519" t="s">
        <v>1966</v>
      </c>
      <c r="C740" s="536" t="s">
        <v>3525</v>
      </c>
      <c r="D740" s="536"/>
      <c r="E740" s="519" t="str">
        <f>IF('GPS Anthro Tool'!$B$5=1,"ECE R129 TMC","")</f>
        <v/>
      </c>
      <c r="F740" s="519" t="s">
        <v>4245</v>
      </c>
      <c r="G740" s="506"/>
      <c r="H740" s="519" t="s">
        <v>1968</v>
      </c>
      <c r="I740" s="506"/>
      <c r="J740" s="506"/>
      <c r="K740" s="527"/>
      <c r="L740" s="526"/>
      <c r="M740" s="527"/>
      <c r="N740" s="528"/>
      <c r="O740" s="663"/>
      <c r="P740" s="666"/>
      <c r="Q740" s="566" t="s">
        <v>1818</v>
      </c>
      <c r="R740" s="535" t="s">
        <v>1819</v>
      </c>
      <c r="S740" s="527"/>
      <c r="T740" s="667"/>
    </row>
    <row r="741" spans="1:20" s="508" customFormat="1" ht="45" hidden="1">
      <c r="A741" s="518"/>
      <c r="B741" s="519" t="s">
        <v>1966</v>
      </c>
      <c r="C741" s="536" t="s">
        <v>3526</v>
      </c>
      <c r="D741" s="536"/>
      <c r="E741" s="519" t="str">
        <f>IF('GPS Anthro Tool'!$B$5=1,"ECE R129 TMC","")</f>
        <v/>
      </c>
      <c r="F741" s="519" t="s">
        <v>4245</v>
      </c>
      <c r="G741" s="506"/>
      <c r="H741" s="519" t="s">
        <v>1969</v>
      </c>
      <c r="I741" s="506"/>
      <c r="J741" s="506"/>
      <c r="K741" s="527"/>
      <c r="L741" s="526"/>
      <c r="M741" s="527"/>
      <c r="N741" s="528"/>
      <c r="O741" s="663"/>
      <c r="P741" s="666"/>
      <c r="Q741" s="566" t="s">
        <v>1818</v>
      </c>
      <c r="R741" s="535" t="s">
        <v>1819</v>
      </c>
      <c r="S741" s="527"/>
      <c r="T741" s="667"/>
    </row>
    <row r="742" spans="1:20" s="508" customFormat="1" ht="105" hidden="1">
      <c r="A742" s="518"/>
      <c r="B742" s="519" t="s">
        <v>1985</v>
      </c>
      <c r="C742" s="536" t="s">
        <v>1986</v>
      </c>
      <c r="D742" s="536"/>
      <c r="E742" s="519" t="str">
        <f>IF('GPS Anthro Tool'!$B$5=1,"ECE R129 TMC","")</f>
        <v/>
      </c>
      <c r="F742" s="519" t="s">
        <v>4245</v>
      </c>
      <c r="G742" s="506"/>
      <c r="H742" s="519" t="s">
        <v>1987</v>
      </c>
      <c r="I742" s="506"/>
      <c r="J742" s="506"/>
      <c r="K742" s="527"/>
      <c r="L742" s="526"/>
      <c r="M742" s="527"/>
      <c r="N742" s="528"/>
      <c r="O742" s="663"/>
      <c r="P742" s="666"/>
      <c r="Q742" s="566" t="s">
        <v>1818</v>
      </c>
      <c r="R742" s="535" t="s">
        <v>1819</v>
      </c>
      <c r="S742" s="527"/>
      <c r="T742" s="667"/>
    </row>
    <row r="743" spans="1:20" s="508" customFormat="1" ht="75" hidden="1">
      <c r="A743" s="518"/>
      <c r="B743" s="519" t="s">
        <v>1849</v>
      </c>
      <c r="C743" s="534" t="s">
        <v>1850</v>
      </c>
      <c r="D743" s="534"/>
      <c r="E743" s="519" t="str">
        <f>IF('GPS Anthro Tool'!$B$5=1,"ECE R129 TMC","")</f>
        <v/>
      </c>
      <c r="F743" s="519" t="s">
        <v>4245</v>
      </c>
      <c r="G743" s="506"/>
      <c r="H743" s="519" t="s">
        <v>1851</v>
      </c>
      <c r="I743" s="506"/>
      <c r="J743" s="506"/>
      <c r="K743" s="527"/>
      <c r="L743" s="526"/>
      <c r="M743" s="527"/>
      <c r="N743" s="528"/>
      <c r="O743" s="663"/>
      <c r="P743" s="666"/>
      <c r="Q743" s="566" t="s">
        <v>1818</v>
      </c>
      <c r="R743" s="535" t="s">
        <v>1819</v>
      </c>
      <c r="S743" s="530"/>
      <c r="T743" s="667"/>
    </row>
    <row r="744" spans="1:20" s="508" customFormat="1" ht="60" hidden="1">
      <c r="A744" s="518"/>
      <c r="B744" s="519" t="s">
        <v>1849</v>
      </c>
      <c r="C744" s="534" t="s">
        <v>1852</v>
      </c>
      <c r="D744" s="534"/>
      <c r="E744" s="519" t="str">
        <f>IF('GPS Anthro Tool'!$B$5=1,"ECE R129 TMC","")</f>
        <v/>
      </c>
      <c r="F744" s="519" t="s">
        <v>4245</v>
      </c>
      <c r="G744" s="506"/>
      <c r="H744" s="519" t="s">
        <v>1853</v>
      </c>
      <c r="I744" s="506"/>
      <c r="J744" s="506"/>
      <c r="K744" s="527"/>
      <c r="L744" s="526"/>
      <c r="M744" s="527"/>
      <c r="N744" s="528"/>
      <c r="O744" s="663"/>
      <c r="P744" s="666"/>
      <c r="Q744" s="566" t="s">
        <v>1818</v>
      </c>
      <c r="R744" s="535" t="s">
        <v>1819</v>
      </c>
      <c r="S744" s="530"/>
      <c r="T744" s="667"/>
    </row>
    <row r="745" spans="1:20" s="508" customFormat="1" ht="60" hidden="1">
      <c r="A745" s="518"/>
      <c r="B745" s="519" t="s">
        <v>1849</v>
      </c>
      <c r="C745" s="534" t="s">
        <v>1854</v>
      </c>
      <c r="D745" s="534"/>
      <c r="E745" s="519" t="str">
        <f>IF('GPS Anthro Tool'!$B$5=1,"ECE R129 TMC","")</f>
        <v/>
      </c>
      <c r="F745" s="519" t="s">
        <v>4245</v>
      </c>
      <c r="G745" s="506"/>
      <c r="H745" s="519" t="s">
        <v>1855</v>
      </c>
      <c r="I745" s="506"/>
      <c r="J745" s="506"/>
      <c r="K745" s="527"/>
      <c r="L745" s="526"/>
      <c r="M745" s="527"/>
      <c r="N745" s="528"/>
      <c r="O745" s="663"/>
      <c r="P745" s="666"/>
      <c r="Q745" s="566" t="s">
        <v>1818</v>
      </c>
      <c r="R745" s="535" t="s">
        <v>1819</v>
      </c>
      <c r="S745" s="530"/>
      <c r="T745" s="667"/>
    </row>
    <row r="746" spans="1:20" s="508" customFormat="1" ht="60" hidden="1">
      <c r="A746" s="518"/>
      <c r="B746" s="519" t="s">
        <v>1849</v>
      </c>
      <c r="C746" s="534" t="s">
        <v>1856</v>
      </c>
      <c r="D746" s="534"/>
      <c r="E746" s="519" t="str">
        <f>IF('GPS Anthro Tool'!$B$5=1,"ECE R129 TMC","")</f>
        <v/>
      </c>
      <c r="F746" s="519" t="s">
        <v>4245</v>
      </c>
      <c r="G746" s="506"/>
      <c r="H746" s="519" t="s">
        <v>1855</v>
      </c>
      <c r="I746" s="506"/>
      <c r="J746" s="506"/>
      <c r="K746" s="527"/>
      <c r="L746" s="526"/>
      <c r="M746" s="527"/>
      <c r="N746" s="528"/>
      <c r="O746" s="663"/>
      <c r="P746" s="666"/>
      <c r="Q746" s="566" t="s">
        <v>1818</v>
      </c>
      <c r="R746" s="535" t="s">
        <v>1819</v>
      </c>
      <c r="S746" s="530"/>
      <c r="T746" s="667"/>
    </row>
    <row r="747" spans="1:20" s="508" customFormat="1" ht="45" hidden="1">
      <c r="A747" s="518"/>
      <c r="B747" s="519" t="s">
        <v>1849</v>
      </c>
      <c r="C747" s="534" t="s">
        <v>1857</v>
      </c>
      <c r="D747" s="534"/>
      <c r="E747" s="519" t="str">
        <f>IF('GPS Anthro Tool'!$B$5=1,"ECE R129 TMC","")</f>
        <v/>
      </c>
      <c r="F747" s="519" t="s">
        <v>4245</v>
      </c>
      <c r="G747" s="506"/>
      <c r="H747" s="519" t="s">
        <v>1843</v>
      </c>
      <c r="I747" s="506"/>
      <c r="J747" s="506"/>
      <c r="K747" s="527"/>
      <c r="L747" s="526"/>
      <c r="M747" s="527"/>
      <c r="N747" s="528"/>
      <c r="O747" s="663"/>
      <c r="P747" s="666"/>
      <c r="Q747" s="566" t="s">
        <v>1828</v>
      </c>
      <c r="R747" s="535" t="s">
        <v>1819</v>
      </c>
      <c r="S747" s="530"/>
      <c r="T747" s="667"/>
    </row>
    <row r="748" spans="1:20" s="508" customFormat="1" ht="30" hidden="1">
      <c r="A748" s="518"/>
      <c r="B748" s="519" t="s">
        <v>1924</v>
      </c>
      <c r="C748" s="534" t="s">
        <v>1925</v>
      </c>
      <c r="D748" s="534"/>
      <c r="E748" s="519" t="str">
        <f>IF('GPS Anthro Tool'!$B$5=1,"ECE R129 TMC","")</f>
        <v/>
      </c>
      <c r="F748" s="519" t="s">
        <v>4245</v>
      </c>
      <c r="G748" s="506"/>
      <c r="H748" s="519" t="s">
        <v>1926</v>
      </c>
      <c r="I748" s="506"/>
      <c r="J748" s="506"/>
      <c r="K748" s="527"/>
      <c r="L748" s="526"/>
      <c r="M748" s="527"/>
      <c r="N748" s="528"/>
      <c r="O748" s="663"/>
      <c r="P748" s="666"/>
      <c r="Q748" s="566" t="s">
        <v>1828</v>
      </c>
      <c r="R748" s="535" t="s">
        <v>1819</v>
      </c>
      <c r="S748" s="530"/>
      <c r="T748" s="667"/>
    </row>
    <row r="749" spans="1:20" s="508" customFormat="1" ht="30" hidden="1">
      <c r="A749" s="518"/>
      <c r="B749" s="519" t="s">
        <v>1924</v>
      </c>
      <c r="C749" s="534" t="s">
        <v>1927</v>
      </c>
      <c r="D749" s="534"/>
      <c r="E749" s="519" t="str">
        <f>IF('GPS Anthro Tool'!$B$5=1,"ECE R129 TMC","")</f>
        <v/>
      </c>
      <c r="F749" s="519" t="s">
        <v>4245</v>
      </c>
      <c r="G749" s="506"/>
      <c r="H749" s="519" t="s">
        <v>1928</v>
      </c>
      <c r="I749" s="506"/>
      <c r="J749" s="506"/>
      <c r="K749" s="527"/>
      <c r="L749" s="526"/>
      <c r="M749" s="527"/>
      <c r="N749" s="528"/>
      <c r="O749" s="663"/>
      <c r="P749" s="666"/>
      <c r="Q749" s="566" t="s">
        <v>1818</v>
      </c>
      <c r="R749" s="535" t="s">
        <v>1819</v>
      </c>
      <c r="S749" s="530"/>
      <c r="T749" s="667"/>
    </row>
    <row r="750" spans="1:20" s="508" customFormat="1" ht="30" hidden="1">
      <c r="A750" s="518"/>
      <c r="B750" s="519" t="s">
        <v>1924</v>
      </c>
      <c r="C750" s="534" t="s">
        <v>1929</v>
      </c>
      <c r="D750" s="534"/>
      <c r="E750" s="519" t="str">
        <f>IF('GPS Anthro Tool'!$B$5=1,"ECE R129 TMC","")</f>
        <v/>
      </c>
      <c r="F750" s="519" t="s">
        <v>4245</v>
      </c>
      <c r="G750" s="506"/>
      <c r="H750" s="519" t="s">
        <v>1930</v>
      </c>
      <c r="I750" s="506"/>
      <c r="J750" s="506"/>
      <c r="K750" s="527"/>
      <c r="L750" s="526"/>
      <c r="M750" s="527"/>
      <c r="N750" s="528"/>
      <c r="O750" s="663"/>
      <c r="P750" s="666"/>
      <c r="Q750" s="566" t="s">
        <v>1818</v>
      </c>
      <c r="R750" s="535" t="s">
        <v>1819</v>
      </c>
      <c r="S750" s="530"/>
      <c r="T750" s="667"/>
    </row>
    <row r="751" spans="1:20" s="508" customFormat="1" ht="45" hidden="1">
      <c r="A751" s="518"/>
      <c r="B751" s="519" t="s">
        <v>1924</v>
      </c>
      <c r="C751" s="534" t="s">
        <v>1931</v>
      </c>
      <c r="D751" s="534"/>
      <c r="E751" s="519" t="str">
        <f>IF('GPS Anthro Tool'!$B$5=1,"ECE R129 TMC","")</f>
        <v/>
      </c>
      <c r="F751" s="519" t="s">
        <v>4245</v>
      </c>
      <c r="G751" s="506"/>
      <c r="H751" s="519" t="s">
        <v>1875</v>
      </c>
      <c r="I751" s="506"/>
      <c r="J751" s="506"/>
      <c r="K751" s="527"/>
      <c r="L751" s="526"/>
      <c r="M751" s="527"/>
      <c r="N751" s="528"/>
      <c r="O751" s="663"/>
      <c r="P751" s="666"/>
      <c r="Q751" s="566" t="s">
        <v>1818</v>
      </c>
      <c r="R751" s="535" t="s">
        <v>1819</v>
      </c>
      <c r="S751" s="530"/>
      <c r="T751" s="667"/>
    </row>
    <row r="752" spans="1:20" s="508" customFormat="1" ht="45" hidden="1">
      <c r="A752" s="518"/>
      <c r="B752" s="519" t="s">
        <v>1924</v>
      </c>
      <c r="C752" s="534" t="s">
        <v>1932</v>
      </c>
      <c r="D752" s="534"/>
      <c r="E752" s="519" t="str">
        <f>IF('GPS Anthro Tool'!$B$5=1,"ECE R129 TMC","")</f>
        <v/>
      </c>
      <c r="F752" s="519" t="s">
        <v>4245</v>
      </c>
      <c r="G752" s="506"/>
      <c r="H752" s="519" t="s">
        <v>1875</v>
      </c>
      <c r="I752" s="506"/>
      <c r="J752" s="506"/>
      <c r="K752" s="527"/>
      <c r="L752" s="526"/>
      <c r="M752" s="527"/>
      <c r="N752" s="528"/>
      <c r="O752" s="663"/>
      <c r="P752" s="666"/>
      <c r="Q752" s="566" t="s">
        <v>1818</v>
      </c>
      <c r="R752" s="535" t="s">
        <v>1819</v>
      </c>
      <c r="S752" s="530"/>
      <c r="T752" s="667"/>
    </row>
    <row r="753" spans="1:20" s="508" customFormat="1" ht="60" hidden="1">
      <c r="A753" s="518"/>
      <c r="B753" s="519" t="s">
        <v>1924</v>
      </c>
      <c r="C753" s="534" t="s">
        <v>1933</v>
      </c>
      <c r="D753" s="534"/>
      <c r="E753" s="519" t="str">
        <f>IF('GPS Anthro Tool'!$B$5=1,"ECE R129 TMC","")</f>
        <v/>
      </c>
      <c r="F753" s="519" t="s">
        <v>4245</v>
      </c>
      <c r="G753" s="506"/>
      <c r="H753" s="519" t="s">
        <v>1934</v>
      </c>
      <c r="I753" s="506"/>
      <c r="J753" s="506"/>
      <c r="K753" s="527"/>
      <c r="L753" s="526"/>
      <c r="M753" s="527"/>
      <c r="N753" s="528"/>
      <c r="O753" s="663"/>
      <c r="P753" s="666"/>
      <c r="Q753" s="566" t="s">
        <v>1828</v>
      </c>
      <c r="R753" s="535" t="s">
        <v>1819</v>
      </c>
      <c r="S753" s="530"/>
      <c r="T753" s="667"/>
    </row>
    <row r="754" spans="1:20" s="508" customFormat="1" ht="60" hidden="1">
      <c r="A754" s="518"/>
      <c r="B754" s="519" t="s">
        <v>1924</v>
      </c>
      <c r="C754" s="534" t="s">
        <v>3522</v>
      </c>
      <c r="D754" s="534"/>
      <c r="E754" s="519" t="str">
        <f>IF('GPS Anthro Tool'!$B$5=1,"ECE R129 TMC","")</f>
        <v/>
      </c>
      <c r="F754" s="519" t="s">
        <v>4245</v>
      </c>
      <c r="G754" s="506"/>
      <c r="H754" s="519" t="s">
        <v>1934</v>
      </c>
      <c r="I754" s="506"/>
      <c r="J754" s="506"/>
      <c r="K754" s="527"/>
      <c r="L754" s="526"/>
      <c r="M754" s="527"/>
      <c r="N754" s="528"/>
      <c r="O754" s="663"/>
      <c r="P754" s="666"/>
      <c r="Q754" s="566" t="s">
        <v>1818</v>
      </c>
      <c r="R754" s="535" t="s">
        <v>1819</v>
      </c>
      <c r="S754" s="530"/>
      <c r="T754" s="667"/>
    </row>
    <row r="755" spans="1:20" s="508" customFormat="1" ht="45" hidden="1">
      <c r="A755" s="518"/>
      <c r="B755" s="567" t="s">
        <v>1957</v>
      </c>
      <c r="C755" s="536" t="s">
        <v>1958</v>
      </c>
      <c r="D755" s="536"/>
      <c r="E755" s="519" t="str">
        <f>IF('GPS Anthro Tool'!$B$5=1,"ECE R129 TMC","")</f>
        <v/>
      </c>
      <c r="F755" s="519" t="s">
        <v>4245</v>
      </c>
      <c r="G755" s="506"/>
      <c r="H755" s="519" t="s">
        <v>1959</v>
      </c>
      <c r="I755" s="506"/>
      <c r="J755" s="506"/>
      <c r="K755" s="527"/>
      <c r="L755" s="526"/>
      <c r="M755" s="527"/>
      <c r="N755" s="528"/>
      <c r="O755" s="663"/>
      <c r="P755" s="666"/>
      <c r="Q755" s="566" t="s">
        <v>1818</v>
      </c>
      <c r="R755" s="535" t="s">
        <v>1819</v>
      </c>
      <c r="S755" s="527"/>
      <c r="T755" s="667"/>
    </row>
    <row r="756" spans="1:20" s="508" customFormat="1" ht="45" hidden="1">
      <c r="A756" s="518"/>
      <c r="B756" s="567" t="s">
        <v>1957</v>
      </c>
      <c r="C756" s="536" t="s">
        <v>1960</v>
      </c>
      <c r="D756" s="536"/>
      <c r="E756" s="519" t="str">
        <f>IF('GPS Anthro Tool'!$B$5=1,"ECE R129 TMC","")</f>
        <v/>
      </c>
      <c r="F756" s="519" t="s">
        <v>4245</v>
      </c>
      <c r="G756" s="506"/>
      <c r="H756" s="519" t="s">
        <v>1961</v>
      </c>
      <c r="I756" s="506"/>
      <c r="J756" s="506"/>
      <c r="K756" s="527"/>
      <c r="L756" s="526"/>
      <c r="M756" s="527"/>
      <c r="N756" s="528"/>
      <c r="O756" s="663"/>
      <c r="P756" s="666"/>
      <c r="Q756" s="566" t="s">
        <v>1828</v>
      </c>
      <c r="R756" s="535" t="s">
        <v>1819</v>
      </c>
      <c r="S756" s="527"/>
      <c r="T756" s="667"/>
    </row>
    <row r="757" spans="1:20" s="508" customFormat="1" ht="90" hidden="1">
      <c r="A757" s="518"/>
      <c r="B757" s="567" t="s">
        <v>1957</v>
      </c>
      <c r="C757" s="536" t="s">
        <v>1962</v>
      </c>
      <c r="D757" s="536"/>
      <c r="E757" s="519" t="str">
        <f>IF('GPS Anthro Tool'!$B$5=1,"ECE R129 TMC","")</f>
        <v/>
      </c>
      <c r="F757" s="519" t="s">
        <v>4245</v>
      </c>
      <c r="G757" s="506"/>
      <c r="H757" s="519" t="s">
        <v>1963</v>
      </c>
      <c r="I757" s="506"/>
      <c r="J757" s="506"/>
      <c r="K757" s="527"/>
      <c r="L757" s="526"/>
      <c r="M757" s="527"/>
      <c r="N757" s="528"/>
      <c r="O757" s="663"/>
      <c r="P757" s="666"/>
      <c r="Q757" s="566" t="s">
        <v>1818</v>
      </c>
      <c r="R757" s="535" t="s">
        <v>1819</v>
      </c>
      <c r="S757" s="527"/>
      <c r="T757" s="667"/>
    </row>
    <row r="758" spans="1:20" s="508" customFormat="1" ht="90" hidden="1">
      <c r="A758" s="518"/>
      <c r="B758" s="567" t="s">
        <v>1957</v>
      </c>
      <c r="C758" s="536" t="s">
        <v>1964</v>
      </c>
      <c r="D758" s="536"/>
      <c r="E758" s="519" t="str">
        <f>IF('GPS Anthro Tool'!$B$5=1,"ECE R129 TMC","")</f>
        <v/>
      </c>
      <c r="F758" s="519" t="s">
        <v>4245</v>
      </c>
      <c r="G758" s="506"/>
      <c r="H758" s="519" t="s">
        <v>1965</v>
      </c>
      <c r="I758" s="506"/>
      <c r="J758" s="506"/>
      <c r="K758" s="527"/>
      <c r="L758" s="526"/>
      <c r="M758" s="527"/>
      <c r="N758" s="528"/>
      <c r="O758" s="663"/>
      <c r="P758" s="666"/>
      <c r="Q758" s="566" t="s">
        <v>1818</v>
      </c>
      <c r="R758" s="535" t="s">
        <v>1819</v>
      </c>
      <c r="S758" s="527"/>
      <c r="T758" s="667"/>
    </row>
    <row r="759" spans="1:20" s="508" customFormat="1" ht="45" hidden="1">
      <c r="A759" s="518"/>
      <c r="B759" s="519" t="s">
        <v>1846</v>
      </c>
      <c r="C759" s="534" t="s">
        <v>1847</v>
      </c>
      <c r="D759" s="534"/>
      <c r="E759" s="519" t="str">
        <f>IF('GPS Anthro Tool'!$B$5=1,"ECE R129 TMC","")</f>
        <v/>
      </c>
      <c r="F759" s="519" t="s">
        <v>4245</v>
      </c>
      <c r="G759" s="506"/>
      <c r="H759" s="519" t="s">
        <v>1843</v>
      </c>
      <c r="I759" s="506"/>
      <c r="J759" s="506"/>
      <c r="K759" s="527"/>
      <c r="L759" s="526"/>
      <c r="M759" s="527"/>
      <c r="N759" s="528"/>
      <c r="O759" s="663"/>
      <c r="P759" s="666"/>
      <c r="Q759" s="566" t="s">
        <v>1818</v>
      </c>
      <c r="R759" s="535" t="s">
        <v>1819</v>
      </c>
      <c r="S759" s="530"/>
      <c r="T759" s="667"/>
    </row>
    <row r="760" spans="1:20" s="508" customFormat="1" ht="45" hidden="1">
      <c r="A760" s="518"/>
      <c r="B760" s="519" t="s">
        <v>1846</v>
      </c>
      <c r="C760" s="534" t="s">
        <v>1848</v>
      </c>
      <c r="D760" s="534"/>
      <c r="E760" s="519" t="str">
        <f>IF('GPS Anthro Tool'!$B$5=1,"ECE R129 TMC","")</f>
        <v/>
      </c>
      <c r="F760" s="519" t="s">
        <v>4245</v>
      </c>
      <c r="G760" s="506"/>
      <c r="H760" s="519" t="s">
        <v>1843</v>
      </c>
      <c r="I760" s="506"/>
      <c r="J760" s="506"/>
      <c r="K760" s="527"/>
      <c r="L760" s="526"/>
      <c r="M760" s="527"/>
      <c r="N760" s="528"/>
      <c r="O760" s="663"/>
      <c r="P760" s="666"/>
      <c r="Q760" s="566" t="s">
        <v>1818</v>
      </c>
      <c r="R760" s="535" t="s">
        <v>1819</v>
      </c>
      <c r="S760" s="530"/>
      <c r="T760" s="667"/>
    </row>
    <row r="761" spans="1:20" s="508" customFormat="1" ht="75" hidden="1">
      <c r="A761" s="518"/>
      <c r="B761" s="519" t="s">
        <v>1935</v>
      </c>
      <c r="C761" s="534" t="s">
        <v>1936</v>
      </c>
      <c r="D761" s="534"/>
      <c r="E761" s="519" t="str">
        <f>IF('GPS Anthro Tool'!$B$5=1,"ECE R129 TMC","")</f>
        <v/>
      </c>
      <c r="F761" s="519" t="s">
        <v>4245</v>
      </c>
      <c r="G761" s="506"/>
      <c r="H761" s="519" t="s">
        <v>1937</v>
      </c>
      <c r="I761" s="506"/>
      <c r="J761" s="506"/>
      <c r="K761" s="527"/>
      <c r="L761" s="526"/>
      <c r="M761" s="527"/>
      <c r="N761" s="528"/>
      <c r="O761" s="663"/>
      <c r="P761" s="666"/>
      <c r="Q761" s="566" t="s">
        <v>1818</v>
      </c>
      <c r="R761" s="535" t="s">
        <v>1819</v>
      </c>
      <c r="S761" s="530"/>
      <c r="T761" s="667"/>
    </row>
    <row r="762" spans="1:20" s="508" customFormat="1" ht="30" hidden="1">
      <c r="A762" s="518"/>
      <c r="B762" s="519" t="s">
        <v>1935</v>
      </c>
      <c r="C762" s="534" t="s">
        <v>1938</v>
      </c>
      <c r="D762" s="534"/>
      <c r="E762" s="519" t="str">
        <f>IF('GPS Anthro Tool'!$B$5=1,"ECE R129 TMC","")</f>
        <v/>
      </c>
      <c r="F762" s="519" t="s">
        <v>4245</v>
      </c>
      <c r="G762" s="506"/>
      <c r="H762" s="519" t="s">
        <v>1939</v>
      </c>
      <c r="I762" s="506"/>
      <c r="J762" s="506"/>
      <c r="K762" s="527"/>
      <c r="L762" s="526"/>
      <c r="M762" s="527"/>
      <c r="N762" s="528"/>
      <c r="O762" s="663"/>
      <c r="P762" s="666"/>
      <c r="Q762" s="566" t="s">
        <v>1828</v>
      </c>
      <c r="R762" s="535" t="s">
        <v>1819</v>
      </c>
      <c r="S762" s="530"/>
      <c r="T762" s="667"/>
    </row>
    <row r="763" spans="1:20" s="508" customFormat="1" ht="45" hidden="1">
      <c r="A763" s="518"/>
      <c r="B763" s="519" t="s">
        <v>1935</v>
      </c>
      <c r="C763" s="534" t="s">
        <v>1940</v>
      </c>
      <c r="D763" s="534"/>
      <c r="E763" s="519" t="str">
        <f>IF('GPS Anthro Tool'!$B$5=1,"ECE R129 TMC","")</f>
        <v/>
      </c>
      <c r="F763" s="519" t="s">
        <v>4245</v>
      </c>
      <c r="G763" s="506"/>
      <c r="H763" s="519" t="s">
        <v>1941</v>
      </c>
      <c r="I763" s="506"/>
      <c r="J763" s="506"/>
      <c r="K763" s="527"/>
      <c r="L763" s="526"/>
      <c r="M763" s="527"/>
      <c r="N763" s="528"/>
      <c r="O763" s="663"/>
      <c r="P763" s="666"/>
      <c r="Q763" s="566" t="s">
        <v>1818</v>
      </c>
      <c r="R763" s="535" t="s">
        <v>1819</v>
      </c>
      <c r="S763" s="530"/>
      <c r="T763" s="667"/>
    </row>
    <row r="764" spans="1:20" s="508" customFormat="1" ht="45" hidden="1">
      <c r="A764" s="518"/>
      <c r="B764" s="519" t="s">
        <v>1935</v>
      </c>
      <c r="C764" s="534" t="s">
        <v>3523</v>
      </c>
      <c r="D764" s="534"/>
      <c r="E764" s="519" t="str">
        <f>IF('GPS Anthro Tool'!$B$5=1,"ECE R129 TMC","")</f>
        <v/>
      </c>
      <c r="F764" s="519" t="s">
        <v>4245</v>
      </c>
      <c r="G764" s="506"/>
      <c r="H764" s="519" t="s">
        <v>1942</v>
      </c>
      <c r="I764" s="506"/>
      <c r="J764" s="506"/>
      <c r="K764" s="527"/>
      <c r="L764" s="526"/>
      <c r="M764" s="527"/>
      <c r="N764" s="528"/>
      <c r="O764" s="663"/>
      <c r="P764" s="666"/>
      <c r="Q764" s="566" t="s">
        <v>1818</v>
      </c>
      <c r="R764" s="535" t="s">
        <v>1819</v>
      </c>
      <c r="S764" s="530"/>
      <c r="T764" s="667"/>
    </row>
    <row r="765" spans="1:20" s="508" customFormat="1" ht="45" hidden="1">
      <c r="A765" s="518"/>
      <c r="B765" s="519" t="s">
        <v>1935</v>
      </c>
      <c r="C765" s="534" t="s">
        <v>1943</v>
      </c>
      <c r="D765" s="534"/>
      <c r="E765" s="519" t="str">
        <f>IF('GPS Anthro Tool'!$B$5=1,"ECE R129 TMC","")</f>
        <v/>
      </c>
      <c r="F765" s="519" t="s">
        <v>4245</v>
      </c>
      <c r="G765" s="506"/>
      <c r="H765" s="519" t="s">
        <v>1944</v>
      </c>
      <c r="I765" s="506"/>
      <c r="J765" s="506"/>
      <c r="K765" s="527"/>
      <c r="L765" s="526"/>
      <c r="M765" s="527"/>
      <c r="N765" s="528"/>
      <c r="O765" s="663"/>
      <c r="P765" s="666"/>
      <c r="Q765" s="566" t="s">
        <v>1818</v>
      </c>
      <c r="R765" s="535" t="s">
        <v>1819</v>
      </c>
      <c r="S765" s="530"/>
      <c r="T765" s="667"/>
    </row>
    <row r="766" spans="1:20" s="508" customFormat="1" ht="30" hidden="1">
      <c r="A766" s="518"/>
      <c r="B766" s="519" t="s">
        <v>1935</v>
      </c>
      <c r="C766" s="534" t="s">
        <v>1945</v>
      </c>
      <c r="D766" s="534"/>
      <c r="E766" s="519" t="str">
        <f>IF('GPS Anthro Tool'!$B$5=1,"ECE R129 TMC","")</f>
        <v/>
      </c>
      <c r="F766" s="519" t="s">
        <v>4245</v>
      </c>
      <c r="G766" s="506"/>
      <c r="H766" s="519" t="s">
        <v>1946</v>
      </c>
      <c r="I766" s="506"/>
      <c r="J766" s="506"/>
      <c r="K766" s="527"/>
      <c r="L766" s="526"/>
      <c r="M766" s="527"/>
      <c r="N766" s="528"/>
      <c r="O766" s="663"/>
      <c r="P766" s="666"/>
      <c r="Q766" s="566" t="s">
        <v>1818</v>
      </c>
      <c r="R766" s="535" t="s">
        <v>1819</v>
      </c>
      <c r="S766" s="530"/>
      <c r="T766" s="667"/>
    </row>
    <row r="767" spans="1:20" s="508" customFormat="1" ht="30" hidden="1">
      <c r="A767" s="518"/>
      <c r="B767" s="519" t="s">
        <v>1935</v>
      </c>
      <c r="C767" s="534" t="s">
        <v>1947</v>
      </c>
      <c r="D767" s="534"/>
      <c r="E767" s="519" t="str">
        <f>IF('GPS Anthro Tool'!$B$5=1,"ECE R129 TMC","")</f>
        <v/>
      </c>
      <c r="F767" s="519" t="s">
        <v>4245</v>
      </c>
      <c r="G767" s="506"/>
      <c r="H767" s="519" t="s">
        <v>1948</v>
      </c>
      <c r="I767" s="506"/>
      <c r="J767" s="506"/>
      <c r="K767" s="527"/>
      <c r="L767" s="526"/>
      <c r="M767" s="527"/>
      <c r="N767" s="528"/>
      <c r="O767" s="663"/>
      <c r="P767" s="666"/>
      <c r="Q767" s="566" t="s">
        <v>1818</v>
      </c>
      <c r="R767" s="535" t="s">
        <v>1819</v>
      </c>
      <c r="S767" s="530"/>
      <c r="T767" s="667"/>
    </row>
    <row r="768" spans="1:20" s="508" customFormat="1" ht="30" hidden="1">
      <c r="A768" s="518"/>
      <c r="B768" s="519" t="s">
        <v>1935</v>
      </c>
      <c r="C768" s="534" t="s">
        <v>1949</v>
      </c>
      <c r="D768" s="534"/>
      <c r="E768" s="519" t="str">
        <f>IF('GPS Anthro Tool'!$B$5=1,"ECE R129 TMC","")</f>
        <v/>
      </c>
      <c r="F768" s="519" t="s">
        <v>4245</v>
      </c>
      <c r="G768" s="506"/>
      <c r="H768" s="519" t="s">
        <v>1950</v>
      </c>
      <c r="I768" s="506"/>
      <c r="J768" s="506"/>
      <c r="K768" s="527"/>
      <c r="L768" s="526"/>
      <c r="M768" s="527"/>
      <c r="N768" s="528"/>
      <c r="O768" s="663"/>
      <c r="P768" s="666"/>
      <c r="Q768" s="566" t="s">
        <v>1828</v>
      </c>
      <c r="R768" s="535" t="s">
        <v>1819</v>
      </c>
      <c r="S768" s="530"/>
      <c r="T768" s="667"/>
    </row>
    <row r="769" spans="1:20" s="508" customFormat="1" ht="90" hidden="1">
      <c r="A769" s="518"/>
      <c r="B769" s="519" t="s">
        <v>1935</v>
      </c>
      <c r="C769" s="536" t="s">
        <v>1951</v>
      </c>
      <c r="D769" s="536"/>
      <c r="E769" s="519" t="str">
        <f>IF('GPS Anthro Tool'!$B$5=1,"ECE R129 TMC","")</f>
        <v/>
      </c>
      <c r="F769" s="519" t="s">
        <v>4245</v>
      </c>
      <c r="G769" s="506"/>
      <c r="H769" s="519" t="s">
        <v>1952</v>
      </c>
      <c r="I769" s="506"/>
      <c r="J769" s="506"/>
      <c r="K769" s="527"/>
      <c r="L769" s="526"/>
      <c r="M769" s="527"/>
      <c r="N769" s="528"/>
      <c r="O769" s="663"/>
      <c r="P769" s="666"/>
      <c r="Q769" s="566" t="s">
        <v>1828</v>
      </c>
      <c r="R769" s="535" t="s">
        <v>1819</v>
      </c>
      <c r="S769" s="527"/>
      <c r="T769" s="667"/>
    </row>
    <row r="770" spans="1:20" s="508" customFormat="1" ht="90" hidden="1">
      <c r="A770" s="518"/>
      <c r="B770" s="519" t="s">
        <v>1935</v>
      </c>
      <c r="C770" s="536" t="s">
        <v>1951</v>
      </c>
      <c r="D770" s="536"/>
      <c r="E770" s="519" t="str">
        <f>IF('GPS Anthro Tool'!$B$5=1,"ECE R129 TMC","")</f>
        <v/>
      </c>
      <c r="F770" s="519" t="s">
        <v>4245</v>
      </c>
      <c r="G770" s="506"/>
      <c r="H770" s="519" t="s">
        <v>1953</v>
      </c>
      <c r="I770" s="506"/>
      <c r="J770" s="506"/>
      <c r="K770" s="527"/>
      <c r="L770" s="526"/>
      <c r="M770" s="527"/>
      <c r="N770" s="528"/>
      <c r="O770" s="663"/>
      <c r="P770" s="666"/>
      <c r="Q770" s="566" t="s">
        <v>1818</v>
      </c>
      <c r="R770" s="535" t="s">
        <v>1819</v>
      </c>
      <c r="S770" s="527"/>
      <c r="T770" s="667"/>
    </row>
    <row r="771" spans="1:20" s="508" customFormat="1" ht="30" hidden="1">
      <c r="A771" s="518"/>
      <c r="B771" s="519" t="s">
        <v>1954</v>
      </c>
      <c r="C771" s="534" t="s">
        <v>1955</v>
      </c>
      <c r="D771" s="534"/>
      <c r="E771" s="519" t="str">
        <f>IF('GPS Anthro Tool'!$B$5=1,"ECE R129 TMC","")</f>
        <v/>
      </c>
      <c r="F771" s="519" t="s">
        <v>4245</v>
      </c>
      <c r="G771" s="506"/>
      <c r="H771" s="519" t="s">
        <v>1956</v>
      </c>
      <c r="I771" s="506"/>
      <c r="J771" s="506"/>
      <c r="K771" s="527"/>
      <c r="L771" s="526"/>
      <c r="M771" s="527"/>
      <c r="N771" s="528"/>
      <c r="O771" s="663"/>
      <c r="P771" s="666"/>
      <c r="Q771" s="566" t="s">
        <v>1828</v>
      </c>
      <c r="R771" s="535" t="s">
        <v>1819</v>
      </c>
      <c r="S771" s="530"/>
      <c r="T771" s="667"/>
    </row>
    <row r="772" spans="1:20" s="508" customFormat="1" ht="45" hidden="1">
      <c r="A772" s="518"/>
      <c r="B772" s="519" t="s">
        <v>1988</v>
      </c>
      <c r="C772" s="536" t="s">
        <v>1989</v>
      </c>
      <c r="D772" s="536"/>
      <c r="E772" s="519" t="str">
        <f>IF('GPS Anthro Tool'!$B$5=1,"ECE R129 TMC","")</f>
        <v/>
      </c>
      <c r="F772" s="519" t="s">
        <v>4245</v>
      </c>
      <c r="G772" s="506"/>
      <c r="H772" s="519" t="s">
        <v>1990</v>
      </c>
      <c r="I772" s="506"/>
      <c r="J772" s="506"/>
      <c r="K772" s="527"/>
      <c r="L772" s="526"/>
      <c r="M772" s="527"/>
      <c r="N772" s="528"/>
      <c r="O772" s="663"/>
      <c r="P772" s="666"/>
      <c r="Q772" s="566" t="s">
        <v>1818</v>
      </c>
      <c r="R772" s="535" t="s">
        <v>1819</v>
      </c>
      <c r="S772" s="527"/>
      <c r="T772" s="667"/>
    </row>
    <row r="773" spans="1:20" s="508" customFormat="1" ht="45" hidden="1">
      <c r="A773" s="518"/>
      <c r="B773" s="670" t="s">
        <v>3961</v>
      </c>
      <c r="C773" s="660" t="s">
        <v>2955</v>
      </c>
      <c r="D773" s="660" t="s">
        <v>2954</v>
      </c>
      <c r="E773" s="509" t="str">
        <f>IF('GPS Anthro Tool'!$B$4=1,"North America CMVSS","")</f>
        <v>North America CMVSS</v>
      </c>
      <c r="F773" s="506" t="s">
        <v>4316</v>
      </c>
      <c r="G773" s="506"/>
      <c r="H773" s="660" t="s">
        <v>2956</v>
      </c>
      <c r="I773" s="639"/>
      <c r="J773" s="513"/>
      <c r="K773" s="647"/>
      <c r="L773" s="526" t="s">
        <v>315</v>
      </c>
      <c r="M773" s="527" t="s">
        <v>315</v>
      </c>
      <c r="N773" s="528" t="s">
        <v>315</v>
      </c>
      <c r="O773" s="663"/>
      <c r="P773" s="529"/>
      <c r="Q773" s="531"/>
      <c r="R773" s="530"/>
      <c r="S773" s="530" t="s">
        <v>315</v>
      </c>
      <c r="T773" s="667"/>
    </row>
    <row r="774" spans="1:20" s="508" customFormat="1" ht="150" hidden="1">
      <c r="A774" s="518"/>
      <c r="B774" s="670" t="s">
        <v>1143</v>
      </c>
      <c r="C774" s="659" t="s">
        <v>2178</v>
      </c>
      <c r="D774" s="660" t="s">
        <v>2989</v>
      </c>
      <c r="E774" s="509" t="str">
        <f>IF('GPS Anthro Tool'!$B$4=1,"North America CMVSS","")</f>
        <v>North America CMVSS</v>
      </c>
      <c r="F774" s="506" t="s">
        <v>4316</v>
      </c>
      <c r="G774" s="506"/>
      <c r="H774" s="659" t="s">
        <v>2180</v>
      </c>
      <c r="I774" s="639"/>
      <c r="J774" s="513"/>
      <c r="K774" s="647"/>
      <c r="L774" s="526" t="s">
        <v>315</v>
      </c>
      <c r="M774" s="527" t="s">
        <v>315</v>
      </c>
      <c r="N774" s="528" t="s">
        <v>315</v>
      </c>
      <c r="O774" s="663"/>
      <c r="P774" s="529"/>
      <c r="Q774" s="531"/>
      <c r="R774" s="530"/>
      <c r="S774" s="530" t="s">
        <v>315</v>
      </c>
      <c r="T774" s="667"/>
    </row>
    <row r="775" spans="1:20" s="508" customFormat="1" ht="180" hidden="1">
      <c r="A775" s="518"/>
      <c r="B775" s="670" t="s">
        <v>1143</v>
      </c>
      <c r="C775" s="659" t="s">
        <v>2990</v>
      </c>
      <c r="D775" s="660" t="s">
        <v>2989</v>
      </c>
      <c r="E775" s="509" t="str">
        <f>IF('GPS Anthro Tool'!$B$4=1,"North America CMVSS","")</f>
        <v>North America CMVSS</v>
      </c>
      <c r="F775" s="506" t="s">
        <v>4316</v>
      </c>
      <c r="G775" s="506"/>
      <c r="H775" s="659" t="s">
        <v>2177</v>
      </c>
      <c r="I775" s="639"/>
      <c r="J775" s="513"/>
      <c r="K775" s="647"/>
      <c r="L775" s="526" t="s">
        <v>315</v>
      </c>
      <c r="M775" s="527" t="s">
        <v>315</v>
      </c>
      <c r="N775" s="528" t="s">
        <v>315</v>
      </c>
      <c r="O775" s="663"/>
      <c r="P775" s="529"/>
      <c r="Q775" s="531"/>
      <c r="R775" s="530"/>
      <c r="S775" s="530" t="s">
        <v>315</v>
      </c>
      <c r="T775" s="667"/>
    </row>
    <row r="776" spans="1:20" s="508" customFormat="1" ht="150" hidden="1">
      <c r="A776" s="518"/>
      <c r="B776" s="670" t="s">
        <v>3964</v>
      </c>
      <c r="C776" s="659" t="s">
        <v>2203</v>
      </c>
      <c r="D776" s="660" t="s">
        <v>2993</v>
      </c>
      <c r="E776" s="509" t="str">
        <f>IF('GPS Anthro Tool'!$B$4=1,"North America CMVSS","")</f>
        <v>North America CMVSS</v>
      </c>
      <c r="F776" s="506" t="s">
        <v>4316</v>
      </c>
      <c r="G776" s="506"/>
      <c r="H776" s="659" t="s">
        <v>2205</v>
      </c>
      <c r="I776" s="639"/>
      <c r="J776" s="513"/>
      <c r="K776" s="647"/>
      <c r="L776" s="526" t="s">
        <v>315</v>
      </c>
      <c r="M776" s="527" t="s">
        <v>315</v>
      </c>
      <c r="N776" s="528" t="s">
        <v>315</v>
      </c>
      <c r="O776" s="663"/>
      <c r="P776" s="529"/>
      <c r="Q776" s="531"/>
      <c r="R776" s="530"/>
      <c r="S776" s="530" t="s">
        <v>315</v>
      </c>
      <c r="T776" s="667"/>
    </row>
    <row r="777" spans="1:20" s="508" customFormat="1" ht="45" hidden="1">
      <c r="A777" s="518"/>
      <c r="B777" s="660" t="s">
        <v>3968</v>
      </c>
      <c r="C777" s="659" t="s">
        <v>2289</v>
      </c>
      <c r="D777" s="660" t="s">
        <v>3019</v>
      </c>
      <c r="E777" s="509" t="str">
        <f>IF('GPS Anthro Tool'!$B$4=1,"North America CMVSS","")</f>
        <v>North America CMVSS</v>
      </c>
      <c r="F777" s="506" t="s">
        <v>4316</v>
      </c>
      <c r="G777" s="506"/>
      <c r="H777" s="659" t="s">
        <v>2292</v>
      </c>
      <c r="I777" s="639"/>
      <c r="J777" s="513"/>
      <c r="K777" s="647"/>
      <c r="L777" s="526" t="s">
        <v>315</v>
      </c>
      <c r="M777" s="527" t="s">
        <v>315</v>
      </c>
      <c r="N777" s="528" t="s">
        <v>315</v>
      </c>
      <c r="O777" s="663"/>
      <c r="P777" s="529"/>
      <c r="Q777" s="531"/>
      <c r="R777" s="530"/>
      <c r="S777" s="530" t="s">
        <v>315</v>
      </c>
      <c r="T777" s="667"/>
    </row>
    <row r="778" spans="1:20" s="508" customFormat="1" ht="150" hidden="1">
      <c r="A778" s="518"/>
      <c r="B778" s="670" t="s">
        <v>1143</v>
      </c>
      <c r="C778" s="659" t="s">
        <v>2988</v>
      </c>
      <c r="D778" s="660" t="s">
        <v>2987</v>
      </c>
      <c r="E778" s="509" t="str">
        <f>IF('GPS Anthro Tool'!$B$4=1,"North America CMVSS","")</f>
        <v>North America CMVSS</v>
      </c>
      <c r="F778" s="506" t="s">
        <v>4316</v>
      </c>
      <c r="G778" s="506"/>
      <c r="H778" s="659" t="s">
        <v>2173</v>
      </c>
      <c r="I778" s="639"/>
      <c r="J778" s="513"/>
      <c r="K778" s="647"/>
      <c r="L778" s="526" t="s">
        <v>315</v>
      </c>
      <c r="M778" s="527" t="s">
        <v>315</v>
      </c>
      <c r="N778" s="528" t="s">
        <v>315</v>
      </c>
      <c r="O778" s="663"/>
      <c r="P778" s="529"/>
      <c r="Q778" s="531"/>
      <c r="R778" s="530"/>
      <c r="S778" s="530" t="s">
        <v>315</v>
      </c>
      <c r="T778" s="667"/>
    </row>
    <row r="779" spans="1:20" s="508" customFormat="1" ht="135" hidden="1">
      <c r="A779" s="518"/>
      <c r="B779" s="670" t="s">
        <v>3961</v>
      </c>
      <c r="C779" s="660" t="s">
        <v>2937</v>
      </c>
      <c r="D779" s="660" t="s">
        <v>2960</v>
      </c>
      <c r="E779" s="509" t="str">
        <f>IF('GPS Anthro Tool'!$B$4=1,"North America CMVSS","")</f>
        <v>North America CMVSS</v>
      </c>
      <c r="F779" s="506" t="s">
        <v>4316</v>
      </c>
      <c r="G779" s="506"/>
      <c r="H779" s="660" t="s">
        <v>3985</v>
      </c>
      <c r="I779" s="639"/>
      <c r="J779" s="513"/>
      <c r="K779" s="647"/>
      <c r="L779" s="526" t="s">
        <v>315</v>
      </c>
      <c r="M779" s="527" t="s">
        <v>315</v>
      </c>
      <c r="N779" s="528" t="s">
        <v>315</v>
      </c>
      <c r="O779" s="663"/>
      <c r="P779" s="529"/>
      <c r="Q779" s="531"/>
      <c r="R779" s="530"/>
      <c r="S779" s="530" t="s">
        <v>315</v>
      </c>
      <c r="T779" s="667"/>
    </row>
    <row r="780" spans="1:20" s="508" customFormat="1" ht="30" hidden="1">
      <c r="A780" s="518"/>
      <c r="B780" s="670" t="s">
        <v>3961</v>
      </c>
      <c r="C780" s="659" t="s">
        <v>2005</v>
      </c>
      <c r="D780" s="660" t="s">
        <v>2950</v>
      </c>
      <c r="E780" s="509" t="str">
        <f>IF('GPS Anthro Tool'!$B$4=1,"North America CMVSS","")</f>
        <v>North America CMVSS</v>
      </c>
      <c r="F780" s="506" t="s">
        <v>4316</v>
      </c>
      <c r="G780" s="506"/>
      <c r="H780" s="660" t="s">
        <v>2951</v>
      </c>
      <c r="I780" s="639"/>
      <c r="J780" s="513"/>
      <c r="K780" s="647"/>
      <c r="L780" s="526" t="s">
        <v>315</v>
      </c>
      <c r="M780" s="527" t="s">
        <v>315</v>
      </c>
      <c r="N780" s="528" t="s">
        <v>315</v>
      </c>
      <c r="O780" s="663"/>
      <c r="P780" s="529"/>
      <c r="Q780" s="531"/>
      <c r="R780" s="530"/>
      <c r="S780" s="530" t="s">
        <v>315</v>
      </c>
      <c r="T780" s="667"/>
    </row>
    <row r="781" spans="1:20" s="508" customFormat="1" ht="135" hidden="1">
      <c r="A781" s="518"/>
      <c r="B781" s="670" t="s">
        <v>3961</v>
      </c>
      <c r="C781" s="659" t="s">
        <v>2934</v>
      </c>
      <c r="D781" s="660" t="s">
        <v>2952</v>
      </c>
      <c r="E781" s="509" t="str">
        <f>IF('GPS Anthro Tool'!$B$4=1,"North America CMVSS","")</f>
        <v>North America CMVSS</v>
      </c>
      <c r="F781" s="506" t="s">
        <v>4316</v>
      </c>
      <c r="G781" s="506"/>
      <c r="H781" s="660" t="s">
        <v>2935</v>
      </c>
      <c r="I781" s="639"/>
      <c r="J781" s="513"/>
      <c r="K781" s="647"/>
      <c r="L781" s="526" t="s">
        <v>315</v>
      </c>
      <c r="M781" s="527" t="s">
        <v>315</v>
      </c>
      <c r="N781" s="528" t="s">
        <v>315</v>
      </c>
      <c r="O781" s="663"/>
      <c r="P781" s="529"/>
      <c r="Q781" s="531"/>
      <c r="R781" s="530"/>
      <c r="S781" s="530" t="s">
        <v>315</v>
      </c>
      <c r="T781" s="667"/>
    </row>
    <row r="782" spans="1:20" s="508" customFormat="1" ht="45" hidden="1">
      <c r="A782" s="518"/>
      <c r="B782" s="506"/>
      <c r="C782" s="506" t="s">
        <v>2206</v>
      </c>
      <c r="D782" s="509" t="s">
        <v>4252</v>
      </c>
      <c r="E782" s="509" t="str">
        <f>IF('GPS Anthro Tool'!$B$4=1,"North America CMVSS","")</f>
        <v>North America CMVSS</v>
      </c>
      <c r="F782" s="506" t="s">
        <v>4316</v>
      </c>
      <c r="G782" s="509" t="s">
        <v>2211</v>
      </c>
      <c r="H782" s="509" t="s">
        <v>2212</v>
      </c>
      <c r="I782" s="509"/>
      <c r="J782" s="506" t="s">
        <v>3960</v>
      </c>
      <c r="K782" s="527" t="s">
        <v>315</v>
      </c>
      <c r="L782" s="526" t="s">
        <v>315</v>
      </c>
      <c r="M782" s="527" t="s">
        <v>315</v>
      </c>
      <c r="N782" s="528" t="s">
        <v>315</v>
      </c>
      <c r="O782" s="663"/>
      <c r="P782" s="529"/>
      <c r="Q782" s="531"/>
      <c r="R782" s="530"/>
      <c r="S782" s="530" t="s">
        <v>315</v>
      </c>
      <c r="T782" s="667"/>
    </row>
    <row r="783" spans="1:20" s="508" customFormat="1" ht="150" hidden="1">
      <c r="A783" s="518"/>
      <c r="B783" s="509" t="s">
        <v>2144</v>
      </c>
      <c r="C783" s="509" t="s">
        <v>2178</v>
      </c>
      <c r="D783" s="509" t="s">
        <v>2175</v>
      </c>
      <c r="E783" s="509" t="str">
        <f>IF('GPS Anthro Tool'!$B$4=1,"North America CMVSS","")</f>
        <v>North America CMVSS</v>
      </c>
      <c r="F783" s="506" t="s">
        <v>4316</v>
      </c>
      <c r="G783" s="507" t="s">
        <v>2179</v>
      </c>
      <c r="H783" s="509" t="s">
        <v>2180</v>
      </c>
      <c r="I783" s="506"/>
      <c r="J783" s="506"/>
      <c r="K783" s="535"/>
      <c r="L783" s="662"/>
      <c r="M783" s="535"/>
      <c r="N783" s="658"/>
      <c r="O783" s="663"/>
      <c r="P783" s="666"/>
      <c r="Q783" s="566"/>
      <c r="R783" s="535"/>
      <c r="S783" s="535" t="s">
        <v>1819</v>
      </c>
      <c r="T783" s="667"/>
    </row>
    <row r="784" spans="1:20" s="508" customFormat="1" ht="180" hidden="1">
      <c r="A784" s="518" t="s">
        <v>3529</v>
      </c>
      <c r="B784" s="509" t="s">
        <v>2144</v>
      </c>
      <c r="C784" s="509" t="s">
        <v>2174</v>
      </c>
      <c r="D784" s="509" t="s">
        <v>2175</v>
      </c>
      <c r="E784" s="509" t="str">
        <f>IF('GPS Anthro Tool'!$B$4=1,"North America CMVSS","")</f>
        <v>North America CMVSS</v>
      </c>
      <c r="F784" s="506" t="s">
        <v>4316</v>
      </c>
      <c r="G784" s="507" t="s">
        <v>2176</v>
      </c>
      <c r="H784" s="509" t="s">
        <v>2177</v>
      </c>
      <c r="I784" s="506"/>
      <c r="J784" s="506"/>
      <c r="K784" s="535"/>
      <c r="L784" s="662"/>
      <c r="M784" s="535"/>
      <c r="N784" s="658"/>
      <c r="O784" s="663"/>
      <c r="P784" s="666"/>
      <c r="Q784" s="566"/>
      <c r="R784" s="535"/>
      <c r="S784" s="535" t="s">
        <v>1819</v>
      </c>
      <c r="T784" s="658" t="s">
        <v>1819</v>
      </c>
    </row>
    <row r="785" spans="1:20" s="508" customFormat="1" ht="180" hidden="1">
      <c r="A785" s="518"/>
      <c r="B785" s="506"/>
      <c r="C785" s="506" t="s">
        <v>2144</v>
      </c>
      <c r="D785" s="509" t="s">
        <v>2175</v>
      </c>
      <c r="E785" s="509" t="str">
        <f>IF('GPS Anthro Tool'!$B$4=1,"North America CMVSS","")</f>
        <v>North America CMVSS</v>
      </c>
      <c r="F785" s="506" t="s">
        <v>4316</v>
      </c>
      <c r="G785" s="509" t="s">
        <v>2174</v>
      </c>
      <c r="H785" s="509" t="s">
        <v>2177</v>
      </c>
      <c r="I785" s="509"/>
      <c r="J785" s="506" t="s">
        <v>3960</v>
      </c>
      <c r="K785" s="527" t="s">
        <v>315</v>
      </c>
      <c r="L785" s="526" t="s">
        <v>315</v>
      </c>
      <c r="M785" s="527" t="s">
        <v>315</v>
      </c>
      <c r="N785" s="528" t="s">
        <v>315</v>
      </c>
      <c r="O785" s="663"/>
      <c r="P785" s="529"/>
      <c r="Q785" s="531"/>
      <c r="R785" s="530"/>
      <c r="S785" s="530" t="s">
        <v>315</v>
      </c>
      <c r="T785" s="667"/>
    </row>
    <row r="786" spans="1:20" s="508" customFormat="1" ht="150" hidden="1">
      <c r="A786" s="518"/>
      <c r="B786" s="506"/>
      <c r="C786" s="506" t="s">
        <v>2144</v>
      </c>
      <c r="D786" s="509" t="s">
        <v>2175</v>
      </c>
      <c r="E786" s="509" t="str">
        <f>IF('GPS Anthro Tool'!$B$4=1,"North America CMVSS","")</f>
        <v>North America CMVSS</v>
      </c>
      <c r="F786" s="506" t="s">
        <v>4316</v>
      </c>
      <c r="G786" s="509" t="s">
        <v>2178</v>
      </c>
      <c r="H786" s="509" t="s">
        <v>2180</v>
      </c>
      <c r="I786" s="509"/>
      <c r="J786" s="506" t="s">
        <v>3960</v>
      </c>
      <c r="K786" s="527" t="s">
        <v>315</v>
      </c>
      <c r="L786" s="526" t="s">
        <v>315</v>
      </c>
      <c r="M786" s="527" t="s">
        <v>315</v>
      </c>
      <c r="N786" s="528" t="s">
        <v>315</v>
      </c>
      <c r="O786" s="663"/>
      <c r="P786" s="529"/>
      <c r="Q786" s="531"/>
      <c r="R786" s="530"/>
      <c r="S786" s="530" t="s">
        <v>315</v>
      </c>
      <c r="T786" s="667"/>
    </row>
    <row r="787" spans="1:20" s="508" customFormat="1" ht="150" hidden="1">
      <c r="A787" s="518"/>
      <c r="B787" s="509" t="s">
        <v>1803</v>
      </c>
      <c r="C787" s="509" t="s">
        <v>2203</v>
      </c>
      <c r="D787" s="509" t="s">
        <v>2204</v>
      </c>
      <c r="E787" s="509" t="str">
        <f>IF('GPS Anthro Tool'!$B$4=1,"North America CMVSS","")</f>
        <v>North America CMVSS</v>
      </c>
      <c r="F787" s="506" t="s">
        <v>4316</v>
      </c>
      <c r="G787" s="507" t="s">
        <v>2201</v>
      </c>
      <c r="H787" s="509" t="s">
        <v>2205</v>
      </c>
      <c r="I787" s="506"/>
      <c r="J787" s="506"/>
      <c r="K787" s="535"/>
      <c r="L787" s="662"/>
      <c r="M787" s="535"/>
      <c r="N787" s="658"/>
      <c r="O787" s="663"/>
      <c r="P787" s="666"/>
      <c r="Q787" s="566"/>
      <c r="R787" s="535"/>
      <c r="S787" s="535" t="s">
        <v>1819</v>
      </c>
      <c r="T787" s="658" t="s">
        <v>1819</v>
      </c>
    </row>
    <row r="788" spans="1:20" s="508" customFormat="1" ht="45" hidden="1">
      <c r="A788" s="518"/>
      <c r="B788" s="509" t="s">
        <v>130</v>
      </c>
      <c r="C788" s="509" t="s">
        <v>2289</v>
      </c>
      <c r="D788" s="509" t="s">
        <v>2290</v>
      </c>
      <c r="E788" s="509" t="str">
        <f>IF('GPS Anthro Tool'!$B$4=1,"North America CMVSS","")</f>
        <v>North America CMVSS</v>
      </c>
      <c r="F788" s="506" t="s">
        <v>4316</v>
      </c>
      <c r="G788" s="507" t="s">
        <v>2291</v>
      </c>
      <c r="H788" s="509" t="s">
        <v>2292</v>
      </c>
      <c r="I788" s="506"/>
      <c r="J788" s="506"/>
      <c r="K788" s="535"/>
      <c r="L788" s="662"/>
      <c r="M788" s="535"/>
      <c r="N788" s="658"/>
      <c r="O788" s="663"/>
      <c r="P788" s="666"/>
      <c r="Q788" s="566"/>
      <c r="R788" s="535"/>
      <c r="S788" s="535" t="s">
        <v>1819</v>
      </c>
      <c r="T788" s="658" t="s">
        <v>1819</v>
      </c>
    </row>
    <row r="789" spans="1:20" s="508" customFormat="1" ht="150" hidden="1">
      <c r="A789" s="518"/>
      <c r="B789" s="509" t="s">
        <v>2144</v>
      </c>
      <c r="C789" s="509" t="s">
        <v>2170</v>
      </c>
      <c r="D789" s="509" t="s">
        <v>2171</v>
      </c>
      <c r="E789" s="509" t="str">
        <f>IF('GPS Anthro Tool'!$B$4=1,"North America CMVSS","")</f>
        <v>North America CMVSS</v>
      </c>
      <c r="F789" s="506" t="s">
        <v>4316</v>
      </c>
      <c r="G789" s="506" t="s">
        <v>2172</v>
      </c>
      <c r="H789" s="509" t="s">
        <v>2173</v>
      </c>
      <c r="I789" s="506"/>
      <c r="J789" s="506"/>
      <c r="K789" s="535"/>
      <c r="L789" s="662"/>
      <c r="M789" s="535"/>
      <c r="N789" s="658"/>
      <c r="O789" s="663"/>
      <c r="P789" s="666"/>
      <c r="Q789" s="566"/>
      <c r="R789" s="535"/>
      <c r="S789" s="535" t="s">
        <v>1819</v>
      </c>
      <c r="T789" s="658" t="s">
        <v>1819</v>
      </c>
    </row>
    <row r="790" spans="1:20" s="508" customFormat="1" ht="150" hidden="1">
      <c r="A790" s="518"/>
      <c r="B790" s="506"/>
      <c r="C790" s="506" t="s">
        <v>1994</v>
      </c>
      <c r="D790" s="509" t="s">
        <v>2936</v>
      </c>
      <c r="E790" s="509" t="str">
        <f>IF('GPS Anthro Tool'!$B$4=1,"North America CMVSS","")</f>
        <v>North America CMVSS</v>
      </c>
      <c r="F790" s="506" t="s">
        <v>4316</v>
      </c>
      <c r="G790" s="509" t="s">
        <v>2937</v>
      </c>
      <c r="H790" s="509" t="s">
        <v>2938</v>
      </c>
      <c r="I790" s="509"/>
      <c r="J790" s="506" t="s">
        <v>3960</v>
      </c>
      <c r="K790" s="527" t="s">
        <v>315</v>
      </c>
      <c r="L790" s="526" t="s">
        <v>315</v>
      </c>
      <c r="M790" s="527" t="s">
        <v>315</v>
      </c>
      <c r="N790" s="528" t="s">
        <v>315</v>
      </c>
      <c r="O790" s="663"/>
      <c r="P790" s="529"/>
      <c r="Q790" s="531"/>
      <c r="R790" s="530"/>
      <c r="S790" s="530" t="s">
        <v>315</v>
      </c>
      <c r="T790" s="667"/>
    </row>
    <row r="791" spans="1:20" s="508" customFormat="1" ht="90" hidden="1">
      <c r="A791" s="518" t="s">
        <v>3528</v>
      </c>
      <c r="B791" s="509" t="s">
        <v>2245</v>
      </c>
      <c r="C791" s="509" t="s">
        <v>2246</v>
      </c>
      <c r="D791" s="509" t="s">
        <v>2247</v>
      </c>
      <c r="E791" s="509" t="str">
        <f>IF('GPS Anthro Tool'!$B$4=1,"North America CMVSS","")</f>
        <v>North America CMVSS</v>
      </c>
      <c r="F791" s="506" t="s">
        <v>4316</v>
      </c>
      <c r="G791" s="507" t="s">
        <v>2248</v>
      </c>
      <c r="H791" s="509" t="s">
        <v>2249</v>
      </c>
      <c r="I791" s="506"/>
      <c r="J791" s="506" t="s">
        <v>3960</v>
      </c>
      <c r="K791" s="535"/>
      <c r="L791" s="662"/>
      <c r="M791" s="535"/>
      <c r="N791" s="658"/>
      <c r="O791" s="663"/>
      <c r="P791" s="666"/>
      <c r="Q791" s="566"/>
      <c r="R791" s="535"/>
      <c r="S791" s="535" t="s">
        <v>1819</v>
      </c>
      <c r="T791" s="658" t="s">
        <v>1819</v>
      </c>
    </row>
    <row r="792" spans="1:20" s="508" customFormat="1" ht="135" hidden="1">
      <c r="A792" s="518" t="s">
        <v>3528</v>
      </c>
      <c r="B792" s="506"/>
      <c r="C792" s="506" t="s">
        <v>1994</v>
      </c>
      <c r="D792" s="509" t="s">
        <v>2933</v>
      </c>
      <c r="E792" s="509" t="str">
        <f>IF('GPS Anthro Tool'!$B$4=1,"North America CMVSS","")</f>
        <v>North America CMVSS</v>
      </c>
      <c r="F792" s="506" t="s">
        <v>4316</v>
      </c>
      <c r="G792" s="509" t="s">
        <v>2934</v>
      </c>
      <c r="H792" s="509" t="s">
        <v>2935</v>
      </c>
      <c r="I792" s="509"/>
      <c r="J792" s="506" t="s">
        <v>3960</v>
      </c>
      <c r="K792" s="527" t="s">
        <v>315</v>
      </c>
      <c r="L792" s="526" t="s">
        <v>315</v>
      </c>
      <c r="M792" s="527" t="s">
        <v>315</v>
      </c>
      <c r="N792" s="528" t="s">
        <v>315</v>
      </c>
      <c r="O792" s="663"/>
      <c r="P792" s="529"/>
      <c r="Q792" s="531"/>
      <c r="R792" s="530"/>
      <c r="S792" s="530" t="s">
        <v>315</v>
      </c>
      <c r="T792" s="667"/>
    </row>
    <row r="793" spans="1:20" s="508" customFormat="1" ht="45" hidden="1">
      <c r="A793" s="518" t="s">
        <v>3528</v>
      </c>
      <c r="B793" s="506"/>
      <c r="C793" s="506" t="s">
        <v>1994</v>
      </c>
      <c r="D793" s="514" t="s">
        <v>2954</v>
      </c>
      <c r="E793" s="509" t="str">
        <f>IF('GPS Anthro Tool'!$B$4=1,"North America CMVSS","")</f>
        <v>North America CMVSS</v>
      </c>
      <c r="F793" s="506" t="s">
        <v>4316</v>
      </c>
      <c r="G793" s="514" t="s">
        <v>2955</v>
      </c>
      <c r="H793" s="514" t="s">
        <v>2956</v>
      </c>
      <c r="I793" s="514"/>
      <c r="J793" s="506" t="s">
        <v>3960</v>
      </c>
      <c r="K793" s="527" t="s">
        <v>315</v>
      </c>
      <c r="L793" s="526" t="s">
        <v>315</v>
      </c>
      <c r="M793" s="527" t="s">
        <v>315</v>
      </c>
      <c r="N793" s="528" t="s">
        <v>315</v>
      </c>
      <c r="O793" s="663"/>
      <c r="P793" s="529"/>
      <c r="Q793" s="531"/>
      <c r="R793" s="530"/>
      <c r="S793" s="530" t="s">
        <v>315</v>
      </c>
      <c r="T793" s="667"/>
    </row>
    <row r="794" spans="1:20" s="508" customFormat="1" ht="180" hidden="1">
      <c r="A794" s="518" t="s">
        <v>3528</v>
      </c>
      <c r="B794" s="506"/>
      <c r="C794" s="513" t="s">
        <v>4274</v>
      </c>
      <c r="D794" s="514" t="s">
        <v>2989</v>
      </c>
      <c r="E794" s="509" t="str">
        <f>IF('GPS Anthro Tool'!$B$4=1,"North America CMVSS","")</f>
        <v>North America CMVSS</v>
      </c>
      <c r="F794" s="506" t="s">
        <v>4316</v>
      </c>
      <c r="G794" s="514" t="s">
        <v>2990</v>
      </c>
      <c r="H794" s="514" t="s">
        <v>2177</v>
      </c>
      <c r="I794" s="514"/>
      <c r="J794" s="506" t="s">
        <v>3960</v>
      </c>
      <c r="K794" s="527" t="s">
        <v>315</v>
      </c>
      <c r="L794" s="526" t="s">
        <v>315</v>
      </c>
      <c r="M794" s="527" t="s">
        <v>315</v>
      </c>
      <c r="N794" s="528" t="s">
        <v>315</v>
      </c>
      <c r="O794" s="663"/>
      <c r="P794" s="529"/>
      <c r="Q794" s="531"/>
      <c r="R794" s="530"/>
      <c r="S794" s="530" t="s">
        <v>315</v>
      </c>
      <c r="T794" s="667"/>
    </row>
    <row r="795" spans="1:20" s="508" customFormat="1" ht="150" hidden="1">
      <c r="A795" s="518" t="s">
        <v>3528</v>
      </c>
      <c r="B795" s="506"/>
      <c r="C795" s="513" t="s">
        <v>2203</v>
      </c>
      <c r="D795" s="514" t="s">
        <v>2993</v>
      </c>
      <c r="E795" s="509" t="str">
        <f>IF('GPS Anthro Tool'!$B$4=1,"North America CMVSS","")</f>
        <v>North America CMVSS</v>
      </c>
      <c r="F795" s="506" t="s">
        <v>4316</v>
      </c>
      <c r="G795" s="514" t="s">
        <v>2203</v>
      </c>
      <c r="H795" s="514" t="s">
        <v>2205</v>
      </c>
      <c r="I795" s="514"/>
      <c r="J795" s="506" t="s">
        <v>3960</v>
      </c>
      <c r="K795" s="527" t="s">
        <v>315</v>
      </c>
      <c r="L795" s="526" t="s">
        <v>315</v>
      </c>
      <c r="M795" s="527" t="s">
        <v>315</v>
      </c>
      <c r="N795" s="528" t="s">
        <v>315</v>
      </c>
      <c r="O795" s="663"/>
      <c r="P795" s="529"/>
      <c r="Q795" s="531"/>
      <c r="R795" s="530"/>
      <c r="S795" s="530" t="s">
        <v>315</v>
      </c>
      <c r="T795" s="667"/>
    </row>
    <row r="796" spans="1:20" s="508" customFormat="1" ht="45" hidden="1">
      <c r="A796" s="518" t="s">
        <v>3528</v>
      </c>
      <c r="B796" s="506"/>
      <c r="C796" s="514" t="s">
        <v>2289</v>
      </c>
      <c r="D796" s="514" t="s">
        <v>3019</v>
      </c>
      <c r="E796" s="509" t="str">
        <f>IF('GPS Anthro Tool'!$B$4=1,"North America CMVSS","")</f>
        <v>North America CMVSS</v>
      </c>
      <c r="F796" s="506" t="s">
        <v>4316</v>
      </c>
      <c r="G796" s="513"/>
      <c r="H796" s="514" t="s">
        <v>2292</v>
      </c>
      <c r="I796" s="514"/>
      <c r="J796" s="506" t="s">
        <v>3960</v>
      </c>
      <c r="K796" s="527" t="s">
        <v>315</v>
      </c>
      <c r="L796" s="526" t="s">
        <v>315</v>
      </c>
      <c r="M796" s="527" t="s">
        <v>315</v>
      </c>
      <c r="N796" s="528" t="s">
        <v>315</v>
      </c>
      <c r="O796" s="663"/>
      <c r="P796" s="529"/>
      <c r="Q796" s="531"/>
      <c r="R796" s="530"/>
      <c r="S796" s="530" t="s">
        <v>315</v>
      </c>
      <c r="T796" s="667"/>
    </row>
    <row r="797" spans="1:20" s="508" customFormat="1" ht="135" hidden="1">
      <c r="A797" s="518" t="s">
        <v>3528</v>
      </c>
      <c r="B797" s="506"/>
      <c r="C797" s="513" t="s">
        <v>4275</v>
      </c>
      <c r="D797" s="514" t="s">
        <v>2960</v>
      </c>
      <c r="E797" s="509" t="str">
        <f>IF('GPS Anthro Tool'!$B$4=1,"North America CMVSS","")</f>
        <v>North America CMVSS</v>
      </c>
      <c r="F797" s="506" t="s">
        <v>4316</v>
      </c>
      <c r="G797" s="514" t="s">
        <v>2937</v>
      </c>
      <c r="H797" s="514" t="s">
        <v>2961</v>
      </c>
      <c r="I797" s="514"/>
      <c r="J797" s="506" t="s">
        <v>3960</v>
      </c>
      <c r="K797" s="527" t="s">
        <v>315</v>
      </c>
      <c r="L797" s="526" t="s">
        <v>315</v>
      </c>
      <c r="M797" s="527" t="s">
        <v>315</v>
      </c>
      <c r="N797" s="528" t="s">
        <v>315</v>
      </c>
      <c r="O797" s="663"/>
      <c r="P797" s="529"/>
      <c r="Q797" s="531"/>
      <c r="R797" s="530"/>
      <c r="S797" s="530" t="s">
        <v>315</v>
      </c>
      <c r="T797" s="667"/>
    </row>
    <row r="798" spans="1:20" s="508" customFormat="1" ht="30" hidden="1">
      <c r="A798" s="518" t="s">
        <v>3528</v>
      </c>
      <c r="B798" s="506"/>
      <c r="C798" s="513" t="s">
        <v>1994</v>
      </c>
      <c r="D798" s="514" t="s">
        <v>2950</v>
      </c>
      <c r="E798" s="509" t="str">
        <f>IF('GPS Anthro Tool'!$B$4=1,"North America CMVSS","")</f>
        <v>North America CMVSS</v>
      </c>
      <c r="F798" s="506" t="s">
        <v>4316</v>
      </c>
      <c r="G798" s="514" t="s">
        <v>2005</v>
      </c>
      <c r="H798" s="514" t="s">
        <v>2951</v>
      </c>
      <c r="I798" s="514"/>
      <c r="J798" s="506" t="s">
        <v>3960</v>
      </c>
      <c r="K798" s="527" t="s">
        <v>315</v>
      </c>
      <c r="L798" s="526" t="s">
        <v>315</v>
      </c>
      <c r="M798" s="527" t="s">
        <v>315</v>
      </c>
      <c r="N798" s="528" t="s">
        <v>315</v>
      </c>
      <c r="O798" s="663"/>
      <c r="P798" s="529"/>
      <c r="Q798" s="531"/>
      <c r="R798" s="530"/>
      <c r="S798" s="530" t="s">
        <v>315</v>
      </c>
      <c r="T798" s="667"/>
    </row>
    <row r="799" spans="1:20" s="508" customFormat="1" ht="135" hidden="1">
      <c r="A799" s="518" t="s">
        <v>3528</v>
      </c>
      <c r="B799" s="506"/>
      <c r="C799" s="513" t="s">
        <v>1994</v>
      </c>
      <c r="D799" s="514" t="s">
        <v>2952</v>
      </c>
      <c r="E799" s="509" t="str">
        <f>IF('GPS Anthro Tool'!$B$4=1,"North America CMVSS","")</f>
        <v>North America CMVSS</v>
      </c>
      <c r="F799" s="506" t="s">
        <v>4316</v>
      </c>
      <c r="G799" s="514" t="s">
        <v>2934</v>
      </c>
      <c r="H799" s="514" t="s">
        <v>2935</v>
      </c>
      <c r="I799" s="514"/>
      <c r="J799" s="506" t="s">
        <v>3960</v>
      </c>
      <c r="K799" s="527" t="s">
        <v>315</v>
      </c>
      <c r="L799" s="526" t="s">
        <v>315</v>
      </c>
      <c r="M799" s="527" t="s">
        <v>315</v>
      </c>
      <c r="N799" s="528" t="s">
        <v>315</v>
      </c>
      <c r="O799" s="663"/>
      <c r="P799" s="529"/>
      <c r="Q799" s="531"/>
      <c r="R799" s="530"/>
      <c r="S799" s="530" t="s">
        <v>315</v>
      </c>
      <c r="T799" s="667"/>
    </row>
    <row r="800" spans="1:20" s="508" customFormat="1" ht="105" hidden="1">
      <c r="A800" s="518"/>
      <c r="B800" s="670" t="s">
        <v>3066</v>
      </c>
      <c r="C800" s="660" t="s">
        <v>2138</v>
      </c>
      <c r="D800" s="660" t="s">
        <v>2983</v>
      </c>
      <c r="E800" s="509" t="str">
        <f>IF('GPS Anthro Tool'!$B$4=1,"North America CPSC","")</f>
        <v>North America CPSC</v>
      </c>
      <c r="F800" s="506" t="s">
        <v>4315</v>
      </c>
      <c r="G800" s="506"/>
      <c r="H800" s="660" t="s">
        <v>2140</v>
      </c>
      <c r="I800" s="639"/>
      <c r="J800" s="513"/>
      <c r="K800" s="647"/>
      <c r="L800" s="526" t="s">
        <v>315</v>
      </c>
      <c r="M800" s="527" t="s">
        <v>315</v>
      </c>
      <c r="N800" s="528" t="s">
        <v>315</v>
      </c>
      <c r="O800" s="663"/>
      <c r="P800" s="529"/>
      <c r="Q800" s="531"/>
      <c r="R800" s="530"/>
      <c r="S800" s="530" t="s">
        <v>315</v>
      </c>
      <c r="T800" s="667"/>
    </row>
    <row r="801" spans="1:20" s="508" customFormat="1" ht="300" hidden="1">
      <c r="A801" s="518"/>
      <c r="B801" s="670" t="s">
        <v>3066</v>
      </c>
      <c r="C801" s="660" t="s">
        <v>2125</v>
      </c>
      <c r="D801" s="660" t="s">
        <v>2978</v>
      </c>
      <c r="E801" s="509" t="str">
        <f>IF('GPS Anthro Tool'!$B$4=1,"North America CPSC","")</f>
        <v>North America CPSC</v>
      </c>
      <c r="F801" s="506" t="s">
        <v>4315</v>
      </c>
      <c r="G801" s="506"/>
      <c r="H801" s="660" t="s">
        <v>2127</v>
      </c>
      <c r="I801" s="639"/>
      <c r="J801" s="513"/>
      <c r="K801" s="647"/>
      <c r="L801" s="526" t="s">
        <v>315</v>
      </c>
      <c r="M801" s="527" t="s">
        <v>315</v>
      </c>
      <c r="N801" s="528" t="s">
        <v>315</v>
      </c>
      <c r="O801" s="663"/>
      <c r="P801" s="529"/>
      <c r="Q801" s="531"/>
      <c r="R801" s="530"/>
      <c r="S801" s="530" t="s">
        <v>315</v>
      </c>
      <c r="T801" s="667"/>
    </row>
    <row r="802" spans="1:20" s="508" customFormat="1" ht="120" hidden="1">
      <c r="A802" s="518"/>
      <c r="B802" s="670" t="s">
        <v>3066</v>
      </c>
      <c r="C802" s="660" t="s">
        <v>2132</v>
      </c>
      <c r="D802" s="660" t="s">
        <v>2979</v>
      </c>
      <c r="E802" s="509" t="str">
        <f>IF('GPS Anthro Tool'!$B$4=1,"North America CPSC","")</f>
        <v>North America CPSC</v>
      </c>
      <c r="F802" s="506" t="s">
        <v>4315</v>
      </c>
      <c r="G802" s="506"/>
      <c r="H802" s="660" t="s">
        <v>2134</v>
      </c>
      <c r="I802" s="639"/>
      <c r="J802" s="513"/>
      <c r="K802" s="647"/>
      <c r="L802" s="526" t="s">
        <v>315</v>
      </c>
      <c r="M802" s="527" t="s">
        <v>315</v>
      </c>
      <c r="N802" s="528" t="s">
        <v>315</v>
      </c>
      <c r="O802" s="663"/>
      <c r="P802" s="529"/>
      <c r="Q802" s="531"/>
      <c r="R802" s="530"/>
      <c r="S802" s="530" t="s">
        <v>315</v>
      </c>
      <c r="T802" s="667"/>
    </row>
    <row r="803" spans="1:20" s="508" customFormat="1" ht="105" hidden="1">
      <c r="A803" s="518"/>
      <c r="B803" s="670" t="s">
        <v>3965</v>
      </c>
      <c r="C803" s="659" t="s">
        <v>2213</v>
      </c>
      <c r="D803" s="660" t="s">
        <v>2214</v>
      </c>
      <c r="E803" s="509" t="str">
        <f>IF('GPS Anthro Tool'!$B$4=1,"North America CPSC","")</f>
        <v>North America CPSC</v>
      </c>
      <c r="F803" s="506" t="s">
        <v>4315</v>
      </c>
      <c r="G803" s="506"/>
      <c r="H803" s="659" t="s">
        <v>2215</v>
      </c>
      <c r="I803" s="639"/>
      <c r="J803" s="513"/>
      <c r="K803" s="647"/>
      <c r="L803" s="526" t="s">
        <v>315</v>
      </c>
      <c r="M803" s="527" t="s">
        <v>315</v>
      </c>
      <c r="N803" s="528" t="s">
        <v>315</v>
      </c>
      <c r="O803" s="663"/>
      <c r="P803" s="529"/>
      <c r="Q803" s="531"/>
      <c r="R803" s="530"/>
      <c r="S803" s="530" t="s">
        <v>315</v>
      </c>
      <c r="T803" s="667"/>
    </row>
    <row r="804" spans="1:20" s="508" customFormat="1" ht="105" hidden="1">
      <c r="A804" s="518"/>
      <c r="B804" s="670" t="s">
        <v>3965</v>
      </c>
      <c r="C804" s="659" t="s">
        <v>2216</v>
      </c>
      <c r="D804" s="660" t="s">
        <v>2217</v>
      </c>
      <c r="E804" s="509" t="str">
        <f>IF('GPS Anthro Tool'!$B$4=1,"North America CPSC","")</f>
        <v>North America CPSC</v>
      </c>
      <c r="F804" s="506" t="s">
        <v>4315</v>
      </c>
      <c r="G804" s="506"/>
      <c r="H804" s="659" t="s">
        <v>2218</v>
      </c>
      <c r="I804" s="639"/>
      <c r="J804" s="513"/>
      <c r="K804" s="647"/>
      <c r="L804" s="526" t="s">
        <v>315</v>
      </c>
      <c r="M804" s="527" t="s">
        <v>315</v>
      </c>
      <c r="N804" s="528" t="s">
        <v>315</v>
      </c>
      <c r="O804" s="663"/>
      <c r="P804" s="529"/>
      <c r="Q804" s="531"/>
      <c r="R804" s="530"/>
      <c r="S804" s="530" t="s">
        <v>315</v>
      </c>
      <c r="T804" s="667"/>
    </row>
    <row r="805" spans="1:20" s="508" customFormat="1" ht="60" hidden="1">
      <c r="A805" s="518"/>
      <c r="B805" s="670" t="s">
        <v>3965</v>
      </c>
      <c r="C805" s="659" t="s">
        <v>2219</v>
      </c>
      <c r="D805" s="660" t="s">
        <v>2220</v>
      </c>
      <c r="E805" s="509" t="str">
        <f>IF('GPS Anthro Tool'!$B$4=1,"North America CPSC","")</f>
        <v>North America CPSC</v>
      </c>
      <c r="F805" s="506" t="s">
        <v>4315</v>
      </c>
      <c r="G805" s="506"/>
      <c r="H805" s="659" t="s">
        <v>2221</v>
      </c>
      <c r="I805" s="639"/>
      <c r="J805" s="513"/>
      <c r="K805" s="647"/>
      <c r="L805" s="526" t="s">
        <v>315</v>
      </c>
      <c r="M805" s="527" t="s">
        <v>315</v>
      </c>
      <c r="N805" s="528" t="s">
        <v>315</v>
      </c>
      <c r="O805" s="663"/>
      <c r="P805" s="529"/>
      <c r="Q805" s="531"/>
      <c r="R805" s="530"/>
      <c r="S805" s="530" t="s">
        <v>315</v>
      </c>
      <c r="T805" s="667"/>
    </row>
    <row r="806" spans="1:20" s="508" customFormat="1" ht="45" hidden="1">
      <c r="A806" s="518"/>
      <c r="B806" s="509" t="s">
        <v>2104</v>
      </c>
      <c r="C806" s="509" t="s">
        <v>2122</v>
      </c>
      <c r="D806" s="509" t="s">
        <v>2123</v>
      </c>
      <c r="E806" s="509" t="str">
        <f>IF('GPS Anthro Tool'!$B$4=1,"North America CPSC","")</f>
        <v>North America CPSC</v>
      </c>
      <c r="F806" s="507" t="s">
        <v>4315</v>
      </c>
      <c r="G806" s="506" t="s">
        <v>4270</v>
      </c>
      <c r="H806" s="509" t="s">
        <v>2124</v>
      </c>
      <c r="I806" s="506"/>
      <c r="J806" s="506"/>
      <c r="K806" s="535"/>
      <c r="L806" s="662"/>
      <c r="M806" s="535"/>
      <c r="N806" s="658"/>
      <c r="O806" s="663"/>
      <c r="P806" s="666"/>
      <c r="Q806" s="566"/>
      <c r="R806" s="535"/>
      <c r="S806" s="535" t="s">
        <v>1819</v>
      </c>
      <c r="T806" s="667"/>
    </row>
    <row r="807" spans="1:20" s="508" customFormat="1" ht="120" hidden="1">
      <c r="A807" s="518"/>
      <c r="B807" s="509" t="s">
        <v>2104</v>
      </c>
      <c r="C807" s="509" t="s">
        <v>2105</v>
      </c>
      <c r="D807" s="509" t="s">
        <v>2106</v>
      </c>
      <c r="E807" s="509" t="str">
        <f>IF('GPS Anthro Tool'!$B$4=1,"North America CPSC","")</f>
        <v>North America CPSC</v>
      </c>
      <c r="F807" s="507" t="s">
        <v>4315</v>
      </c>
      <c r="G807" s="506" t="s">
        <v>4269</v>
      </c>
      <c r="H807" s="509" t="s">
        <v>2108</v>
      </c>
      <c r="I807" s="506"/>
      <c r="J807" s="506"/>
      <c r="K807" s="535"/>
      <c r="L807" s="662"/>
      <c r="M807" s="535"/>
      <c r="N807" s="658"/>
      <c r="O807" s="663"/>
      <c r="P807" s="666"/>
      <c r="Q807" s="566"/>
      <c r="R807" s="535"/>
      <c r="S807" s="535" t="s">
        <v>1819</v>
      </c>
      <c r="T807" s="667"/>
    </row>
    <row r="808" spans="1:20" s="508" customFormat="1" ht="45" hidden="1">
      <c r="A808" s="518"/>
      <c r="B808" s="509" t="s">
        <v>2104</v>
      </c>
      <c r="C808" s="509" t="s">
        <v>2111</v>
      </c>
      <c r="D808" s="509" t="s">
        <v>2112</v>
      </c>
      <c r="E808" s="509" t="str">
        <f>IF('GPS Anthro Tool'!$B$4=1,"North America CPSC","")</f>
        <v>North America CPSC</v>
      </c>
      <c r="F808" s="507" t="s">
        <v>4315</v>
      </c>
      <c r="G808" s="506" t="s">
        <v>4271</v>
      </c>
      <c r="H808" s="509" t="s">
        <v>2113</v>
      </c>
      <c r="I808" s="506"/>
      <c r="J808" s="506"/>
      <c r="K808" s="535"/>
      <c r="L808" s="662"/>
      <c r="M808" s="535"/>
      <c r="N808" s="658"/>
      <c r="O808" s="663"/>
      <c r="P808" s="666"/>
      <c r="Q808" s="566"/>
      <c r="R808" s="535"/>
      <c r="S808" s="535" t="s">
        <v>1819</v>
      </c>
      <c r="T808" s="566"/>
    </row>
    <row r="809" spans="1:20" s="508" customFormat="1" ht="180" hidden="1">
      <c r="A809" s="518"/>
      <c r="B809" s="509" t="s">
        <v>2104</v>
      </c>
      <c r="C809" s="509" t="s">
        <v>2114</v>
      </c>
      <c r="D809" s="509" t="s">
        <v>2115</v>
      </c>
      <c r="E809" s="509" t="str">
        <f>IF('GPS Anthro Tool'!$B$4=1,"North America CPSC","")</f>
        <v>North America CPSC</v>
      </c>
      <c r="F809" s="507" t="s">
        <v>4315</v>
      </c>
      <c r="G809" s="507" t="s">
        <v>4272</v>
      </c>
      <c r="H809" s="509" t="s">
        <v>2940</v>
      </c>
      <c r="I809" s="506"/>
      <c r="J809" s="506"/>
      <c r="K809" s="535"/>
      <c r="L809" s="662"/>
      <c r="M809" s="535"/>
      <c r="N809" s="658"/>
      <c r="O809" s="663"/>
      <c r="P809" s="666"/>
      <c r="Q809" s="566"/>
      <c r="R809" s="535"/>
      <c r="S809" s="535" t="s">
        <v>1819</v>
      </c>
      <c r="T809" s="667"/>
    </row>
    <row r="810" spans="1:20" s="508" customFormat="1" ht="45" hidden="1">
      <c r="A810" s="518"/>
      <c r="B810" s="509" t="s">
        <v>2104</v>
      </c>
      <c r="C810" s="509" t="s">
        <v>2119</v>
      </c>
      <c r="D810" s="509" t="s">
        <v>2120</v>
      </c>
      <c r="E810" s="509" t="str">
        <f>IF('GPS Anthro Tool'!$B$4=1,"North America CPSC","")</f>
        <v>North America CPSC</v>
      </c>
      <c r="F810" s="507" t="s">
        <v>4315</v>
      </c>
      <c r="G810" s="506" t="s">
        <v>4270</v>
      </c>
      <c r="H810" s="509" t="s">
        <v>2121</v>
      </c>
      <c r="I810" s="506"/>
      <c r="J810" s="506"/>
      <c r="K810" s="535"/>
      <c r="L810" s="662"/>
      <c r="M810" s="535"/>
      <c r="N810" s="658"/>
      <c r="O810" s="663"/>
      <c r="P810" s="666"/>
      <c r="Q810" s="566"/>
      <c r="R810" s="535"/>
      <c r="S810" s="535" t="s">
        <v>1819</v>
      </c>
      <c r="T810" s="667"/>
    </row>
    <row r="811" spans="1:20" s="508" customFormat="1" ht="75" hidden="1">
      <c r="A811" s="518"/>
      <c r="B811" s="506" t="str">
        <f>IF(SUM('Easy Buttons'!$L$3:$M$4)&gt;0,"Infant Carrier","")</f>
        <v>Infant Carrier</v>
      </c>
      <c r="C811" s="507" t="s">
        <v>3103</v>
      </c>
      <c r="D811" s="506" t="s">
        <v>3052</v>
      </c>
      <c r="E811" s="509" t="str">
        <f>IF('GPS Anthro Tool'!$B$4=1,"North America CPSC","")</f>
        <v>North America CPSC</v>
      </c>
      <c r="F811" s="507" t="s">
        <v>4316</v>
      </c>
      <c r="G811" s="506" t="s">
        <v>4259</v>
      </c>
      <c r="H811" s="507" t="s">
        <v>3104</v>
      </c>
      <c r="I811" s="507">
        <f>IF('GPS Anthro Tool'!$B$2=1,1,IF('GPS Anthro Tool'!$B$2=2,1,""))</f>
        <v>1</v>
      </c>
      <c r="J811" s="533" t="s">
        <v>3960</v>
      </c>
      <c r="K811" s="527" t="s">
        <v>315</v>
      </c>
      <c r="L811" s="526" t="s">
        <v>315</v>
      </c>
      <c r="M811" s="527" t="s">
        <v>315</v>
      </c>
      <c r="N811" s="528" t="s">
        <v>315</v>
      </c>
      <c r="O811" s="663"/>
      <c r="P811" s="529"/>
      <c r="Q811" s="531"/>
      <c r="R811" s="530"/>
      <c r="S811" s="530" t="s">
        <v>315</v>
      </c>
      <c r="T811" s="667"/>
    </row>
    <row r="812" spans="1:20" s="508" customFormat="1" ht="90" hidden="1">
      <c r="A812" s="518"/>
      <c r="B812" s="506" t="str">
        <f>IF(SUM('Easy Buttons'!$L$3:$M$4)&gt;0,"Infant Carrier","")</f>
        <v>Infant Carrier</v>
      </c>
      <c r="C812" s="507" t="s">
        <v>3103</v>
      </c>
      <c r="D812" s="506" t="s">
        <v>3052</v>
      </c>
      <c r="E812" s="509" t="str">
        <f>IF('GPS Anthro Tool'!$B$4=1,"North America CPSC","")</f>
        <v>North America CPSC</v>
      </c>
      <c r="F812" s="507" t="s">
        <v>4316</v>
      </c>
      <c r="G812" s="506" t="s">
        <v>4259</v>
      </c>
      <c r="H812" s="507" t="s">
        <v>3105</v>
      </c>
      <c r="I812" s="507"/>
      <c r="J812" s="533" t="s">
        <v>3960</v>
      </c>
      <c r="K812" s="527" t="s">
        <v>315</v>
      </c>
      <c r="L812" s="526" t="s">
        <v>315</v>
      </c>
      <c r="M812" s="527" t="s">
        <v>315</v>
      </c>
      <c r="N812" s="528" t="s">
        <v>315</v>
      </c>
      <c r="O812" s="663"/>
      <c r="P812" s="529"/>
      <c r="Q812" s="531"/>
      <c r="R812" s="530"/>
      <c r="S812" s="530" t="s">
        <v>315</v>
      </c>
      <c r="T812" s="667"/>
    </row>
    <row r="813" spans="1:20" s="508" customFormat="1" ht="75" hidden="1">
      <c r="A813" s="518"/>
      <c r="B813" s="506" t="str">
        <f>IF(SUM('Easy Buttons'!$L$3:$M$4)&gt;0,"Infant Carrier","")</f>
        <v>Infant Carrier</v>
      </c>
      <c r="C813" s="507" t="s">
        <v>3103</v>
      </c>
      <c r="D813" s="506" t="s">
        <v>3052</v>
      </c>
      <c r="E813" s="509" t="str">
        <f>IF('GPS Anthro Tool'!$B$4=1,"North America CPSC","")</f>
        <v>North America CPSC</v>
      </c>
      <c r="F813" s="507" t="s">
        <v>4316</v>
      </c>
      <c r="G813" s="506" t="s">
        <v>4259</v>
      </c>
      <c r="H813" s="507" t="s">
        <v>3106</v>
      </c>
      <c r="I813" s="507"/>
      <c r="J813" s="533" t="s">
        <v>3960</v>
      </c>
      <c r="K813" s="527" t="s">
        <v>315</v>
      </c>
      <c r="L813" s="526" t="s">
        <v>315</v>
      </c>
      <c r="M813" s="527" t="s">
        <v>315</v>
      </c>
      <c r="N813" s="528" t="s">
        <v>315</v>
      </c>
      <c r="O813" s="663"/>
      <c r="P813" s="529"/>
      <c r="Q813" s="531"/>
      <c r="R813" s="530"/>
      <c r="S813" s="530" t="s">
        <v>315</v>
      </c>
      <c r="T813" s="667"/>
    </row>
    <row r="814" spans="1:20" s="508" customFormat="1" ht="45" hidden="1">
      <c r="A814" s="518"/>
      <c r="B814" s="506" t="str">
        <f>IF(SUM('Easy Buttons'!$L$3:$M$4)&gt;0,"Infant Carrier","")</f>
        <v>Infant Carrier</v>
      </c>
      <c r="C814" s="507" t="s">
        <v>3103</v>
      </c>
      <c r="D814" s="506" t="s">
        <v>3052</v>
      </c>
      <c r="E814" s="509" t="str">
        <f>IF('GPS Anthro Tool'!$B$4=1,"North America CPSC","")</f>
        <v>North America CPSC</v>
      </c>
      <c r="F814" s="507" t="s">
        <v>4316</v>
      </c>
      <c r="G814" s="506" t="s">
        <v>4259</v>
      </c>
      <c r="H814" s="507" t="s">
        <v>3107</v>
      </c>
      <c r="I814" s="507"/>
      <c r="J814" s="533" t="s">
        <v>3960</v>
      </c>
      <c r="K814" s="527" t="s">
        <v>315</v>
      </c>
      <c r="L814" s="526" t="s">
        <v>315</v>
      </c>
      <c r="M814" s="527" t="s">
        <v>315</v>
      </c>
      <c r="N814" s="528" t="s">
        <v>315</v>
      </c>
      <c r="O814" s="663"/>
      <c r="P814" s="529"/>
      <c r="Q814" s="531"/>
      <c r="R814" s="530"/>
      <c r="S814" s="530" t="s">
        <v>315</v>
      </c>
      <c r="T814" s="667"/>
    </row>
    <row r="815" spans="1:20" s="508" customFormat="1" ht="30" hidden="1">
      <c r="A815" s="518"/>
      <c r="B815" s="506" t="str">
        <f>IF(SUM('Easy Buttons'!$L$3:$M$4)&gt;0,"Infant Carrier","")</f>
        <v>Infant Carrier</v>
      </c>
      <c r="C815" s="507" t="s">
        <v>3103</v>
      </c>
      <c r="D815" s="506" t="s">
        <v>3052</v>
      </c>
      <c r="E815" s="509" t="str">
        <f>IF('GPS Anthro Tool'!$B$4=1,"North America CPSC","")</f>
        <v>North America CPSC</v>
      </c>
      <c r="F815" s="507" t="s">
        <v>4316</v>
      </c>
      <c r="G815" s="506" t="s">
        <v>4259</v>
      </c>
      <c r="H815" s="507" t="s">
        <v>3108</v>
      </c>
      <c r="I815" s="507"/>
      <c r="J815" s="533" t="s">
        <v>3960</v>
      </c>
      <c r="K815" s="527" t="s">
        <v>315</v>
      </c>
      <c r="L815" s="526" t="s">
        <v>315</v>
      </c>
      <c r="M815" s="527" t="s">
        <v>315</v>
      </c>
      <c r="N815" s="528" t="s">
        <v>315</v>
      </c>
      <c r="O815" s="663"/>
      <c r="P815" s="529"/>
      <c r="Q815" s="531"/>
      <c r="R815" s="530"/>
      <c r="S815" s="530" t="s">
        <v>315</v>
      </c>
      <c r="T815" s="667"/>
    </row>
    <row r="816" spans="1:20" s="508" customFormat="1" ht="105" hidden="1">
      <c r="A816" s="518"/>
      <c r="B816" s="506" t="str">
        <f>IF(SUM('Easy Buttons'!$L$3:$M$4)&gt;0,"Infant Carrier","")</f>
        <v>Infant Carrier</v>
      </c>
      <c r="C816" s="507" t="s">
        <v>3103</v>
      </c>
      <c r="D816" s="506" t="s">
        <v>3052</v>
      </c>
      <c r="E816" s="509" t="str">
        <f>IF('GPS Anthro Tool'!$B$4=1,"North America CPSC","")</f>
        <v>North America CPSC</v>
      </c>
      <c r="F816" s="507" t="s">
        <v>4316</v>
      </c>
      <c r="G816" s="506" t="s">
        <v>4259</v>
      </c>
      <c r="H816" s="507" t="s">
        <v>3109</v>
      </c>
      <c r="I816" s="507"/>
      <c r="J816" s="533" t="s">
        <v>3960</v>
      </c>
      <c r="K816" s="527" t="s">
        <v>315</v>
      </c>
      <c r="L816" s="526" t="s">
        <v>315</v>
      </c>
      <c r="M816" s="527" t="s">
        <v>315</v>
      </c>
      <c r="N816" s="528" t="s">
        <v>315</v>
      </c>
      <c r="O816" s="663"/>
      <c r="P816" s="529"/>
      <c r="Q816" s="531"/>
      <c r="R816" s="530"/>
      <c r="S816" s="530" t="s">
        <v>315</v>
      </c>
      <c r="T816" s="667"/>
    </row>
    <row r="817" spans="1:20" s="508" customFormat="1" ht="30" hidden="1">
      <c r="A817" s="518"/>
      <c r="B817" s="506" t="str">
        <f>IF(SUM('Easy Buttons'!$L$3:$M$4)&gt;0,"Infant Carrier","")</f>
        <v>Infant Carrier</v>
      </c>
      <c r="C817" s="507" t="s">
        <v>3103</v>
      </c>
      <c r="D817" s="506" t="s">
        <v>3052</v>
      </c>
      <c r="E817" s="509" t="str">
        <f>IF('GPS Anthro Tool'!$B$4=1,"North America CPSC","")</f>
        <v>North America CPSC</v>
      </c>
      <c r="F817" s="507" t="s">
        <v>4316</v>
      </c>
      <c r="G817" s="506" t="s">
        <v>3172</v>
      </c>
      <c r="H817" s="507" t="s">
        <v>3173</v>
      </c>
      <c r="I817" s="507"/>
      <c r="J817" s="533" t="s">
        <v>3960</v>
      </c>
      <c r="K817" s="527" t="s">
        <v>315</v>
      </c>
      <c r="L817" s="526" t="s">
        <v>315</v>
      </c>
      <c r="M817" s="527" t="s">
        <v>315</v>
      </c>
      <c r="N817" s="528" t="s">
        <v>315</v>
      </c>
      <c r="O817" s="663"/>
      <c r="P817" s="529"/>
      <c r="Q817" s="531"/>
      <c r="R817" s="530"/>
      <c r="S817" s="530" t="s">
        <v>315</v>
      </c>
      <c r="T817" s="667"/>
    </row>
    <row r="818" spans="1:20" s="508" customFormat="1" ht="180" hidden="1">
      <c r="A818" s="518"/>
      <c r="B818" s="506" t="str">
        <f>IF(SUM('Easy Buttons'!$L$3:$M$4)&gt;0,"Infant Carrier","")</f>
        <v>Infant Carrier</v>
      </c>
      <c r="C818" s="507" t="s">
        <v>3103</v>
      </c>
      <c r="D818" s="506" t="s">
        <v>3052</v>
      </c>
      <c r="E818" s="509" t="str">
        <f>IF('GPS Anthro Tool'!$B$4=1,"North America CPSC","")</f>
        <v>North America CPSC</v>
      </c>
      <c r="F818" s="507" t="s">
        <v>4316</v>
      </c>
      <c r="G818" s="506" t="s">
        <v>3172</v>
      </c>
      <c r="H818" s="507" t="s">
        <v>3174</v>
      </c>
      <c r="I818" s="507"/>
      <c r="J818" s="533" t="s">
        <v>3960</v>
      </c>
      <c r="K818" s="527" t="s">
        <v>315</v>
      </c>
      <c r="L818" s="526" t="s">
        <v>315</v>
      </c>
      <c r="M818" s="527" t="s">
        <v>315</v>
      </c>
      <c r="N818" s="528" t="s">
        <v>315</v>
      </c>
      <c r="O818" s="663"/>
      <c r="P818" s="529"/>
      <c r="Q818" s="531"/>
      <c r="R818" s="530"/>
      <c r="S818" s="530" t="s">
        <v>315</v>
      </c>
      <c r="T818" s="667"/>
    </row>
    <row r="819" spans="1:20" s="508" customFormat="1" ht="225" hidden="1">
      <c r="A819" s="518"/>
      <c r="B819" s="506" t="str">
        <f>IF(SUM('Easy Buttons'!$L$3:$M$4)&gt;0,"Infant Carrier","")</f>
        <v>Infant Carrier</v>
      </c>
      <c r="C819" s="507" t="s">
        <v>3103</v>
      </c>
      <c r="D819" s="506" t="s">
        <v>3052</v>
      </c>
      <c r="E819" s="509" t="str">
        <f>IF('GPS Anthro Tool'!$B$4=1,"North America CPSC","")</f>
        <v>North America CPSC</v>
      </c>
      <c r="F819" s="507" t="s">
        <v>4316</v>
      </c>
      <c r="G819" s="506" t="s">
        <v>3172</v>
      </c>
      <c r="H819" s="507" t="s">
        <v>3175</v>
      </c>
      <c r="I819" s="507"/>
      <c r="J819" s="533" t="s">
        <v>3960</v>
      </c>
      <c r="K819" s="527" t="s">
        <v>315</v>
      </c>
      <c r="L819" s="526" t="s">
        <v>315</v>
      </c>
      <c r="M819" s="527" t="s">
        <v>315</v>
      </c>
      <c r="N819" s="528" t="s">
        <v>315</v>
      </c>
      <c r="O819" s="663"/>
      <c r="P819" s="529"/>
      <c r="Q819" s="531"/>
      <c r="R819" s="530"/>
      <c r="S819" s="530" t="s">
        <v>315</v>
      </c>
      <c r="T819" s="667"/>
    </row>
    <row r="820" spans="1:20" s="508" customFormat="1" ht="180" hidden="1">
      <c r="A820" s="518"/>
      <c r="B820" s="506" t="str">
        <f>IF(SUM('Easy Buttons'!$L$3:$M$4)&gt;0,"Infant Carrier","")</f>
        <v>Infant Carrier</v>
      </c>
      <c r="C820" s="506" t="s">
        <v>3053</v>
      </c>
      <c r="D820" s="506" t="s">
        <v>3052</v>
      </c>
      <c r="E820" s="509" t="str">
        <f>IF('GPS Anthro Tool'!$B$4=1,"North America CPSC","")</f>
        <v>North America CPSC</v>
      </c>
      <c r="F820" s="507" t="s">
        <v>4316</v>
      </c>
      <c r="G820" s="506" t="s">
        <v>4253</v>
      </c>
      <c r="H820" s="507" t="s">
        <v>3054</v>
      </c>
      <c r="I820" s="507"/>
      <c r="J820" s="533" t="s">
        <v>3960</v>
      </c>
      <c r="K820" s="527" t="s">
        <v>315</v>
      </c>
      <c r="L820" s="526" t="s">
        <v>315</v>
      </c>
      <c r="M820" s="527" t="s">
        <v>315</v>
      </c>
      <c r="N820" s="528" t="s">
        <v>315</v>
      </c>
      <c r="O820" s="663"/>
      <c r="P820" s="529"/>
      <c r="Q820" s="531"/>
      <c r="R820" s="530"/>
      <c r="S820" s="530" t="s">
        <v>315</v>
      </c>
      <c r="T820" s="667"/>
    </row>
    <row r="821" spans="1:20" s="508" customFormat="1" ht="255" hidden="1">
      <c r="A821" s="518"/>
      <c r="B821" s="506" t="str">
        <f>IF(SUM('Easy Buttons'!$L$3:$M$4)&gt;0,"Infant Carrier","")</f>
        <v>Infant Carrier</v>
      </c>
      <c r="C821" s="506" t="s">
        <v>3053</v>
      </c>
      <c r="D821" s="506" t="s">
        <v>3052</v>
      </c>
      <c r="E821" s="509" t="str">
        <f>IF('GPS Anthro Tool'!$B$4=1,"North America CPSC","")</f>
        <v>North America CPSC</v>
      </c>
      <c r="F821" s="507" t="s">
        <v>4316</v>
      </c>
      <c r="G821" s="507" t="s">
        <v>4254</v>
      </c>
      <c r="H821" s="507" t="s">
        <v>3055</v>
      </c>
      <c r="I821" s="507"/>
      <c r="J821" s="533" t="s">
        <v>3960</v>
      </c>
      <c r="K821" s="527" t="s">
        <v>315</v>
      </c>
      <c r="L821" s="526" t="s">
        <v>315</v>
      </c>
      <c r="M821" s="527" t="s">
        <v>315</v>
      </c>
      <c r="N821" s="528" t="s">
        <v>315</v>
      </c>
      <c r="O821" s="663"/>
      <c r="P821" s="529"/>
      <c r="Q821" s="531"/>
      <c r="R821" s="530"/>
      <c r="S821" s="530" t="s">
        <v>315</v>
      </c>
      <c r="T821" s="667"/>
    </row>
    <row r="822" spans="1:20" s="508" customFormat="1" ht="165" hidden="1">
      <c r="A822" s="518"/>
      <c r="B822" s="506" t="str">
        <f>IF(SUM('Easy Buttons'!$L$3:$M$4)&gt;0,"Infant Carrier","")</f>
        <v>Infant Carrier</v>
      </c>
      <c r="C822" s="506" t="s">
        <v>3053</v>
      </c>
      <c r="D822" s="506" t="s">
        <v>3052</v>
      </c>
      <c r="E822" s="509" t="str">
        <f>IF('GPS Anthro Tool'!$B$4=1,"North America CPSC","")</f>
        <v>North America CPSC</v>
      </c>
      <c r="F822" s="507" t="s">
        <v>4316</v>
      </c>
      <c r="G822" s="507" t="s">
        <v>4254</v>
      </c>
      <c r="H822" s="507" t="s">
        <v>3056</v>
      </c>
      <c r="I822" s="507"/>
      <c r="J822" s="533" t="s">
        <v>3960</v>
      </c>
      <c r="K822" s="527" t="s">
        <v>315</v>
      </c>
      <c r="L822" s="526" t="s">
        <v>315</v>
      </c>
      <c r="M822" s="527" t="s">
        <v>315</v>
      </c>
      <c r="N822" s="528" t="s">
        <v>315</v>
      </c>
      <c r="O822" s="663"/>
      <c r="P822" s="529"/>
      <c r="Q822" s="531"/>
      <c r="R822" s="530"/>
      <c r="S822" s="530" t="s">
        <v>315</v>
      </c>
      <c r="T822" s="667"/>
    </row>
    <row r="823" spans="1:20" s="508" customFormat="1" ht="60" hidden="1">
      <c r="A823" s="518"/>
      <c r="B823" s="506" t="str">
        <f>IF(SUM('Easy Buttons'!$L$3:$M$4)&gt;0,"Infant Carrier","")</f>
        <v>Infant Carrier</v>
      </c>
      <c r="C823" s="506" t="s">
        <v>3053</v>
      </c>
      <c r="D823" s="506" t="s">
        <v>3052</v>
      </c>
      <c r="E823" s="509" t="str">
        <f>IF('GPS Anthro Tool'!$B$4=1,"North America CPSC","")</f>
        <v>North America CPSC</v>
      </c>
      <c r="F823" s="507" t="s">
        <v>4316</v>
      </c>
      <c r="G823" s="506" t="s">
        <v>4255</v>
      </c>
      <c r="H823" s="507" t="s">
        <v>3057</v>
      </c>
      <c r="I823" s="507"/>
      <c r="J823" s="533" t="s">
        <v>3960</v>
      </c>
      <c r="K823" s="527" t="s">
        <v>315</v>
      </c>
      <c r="L823" s="526" t="s">
        <v>315</v>
      </c>
      <c r="M823" s="527" t="s">
        <v>315</v>
      </c>
      <c r="N823" s="528" t="s">
        <v>315</v>
      </c>
      <c r="O823" s="663"/>
      <c r="P823" s="529"/>
      <c r="Q823" s="531"/>
      <c r="R823" s="530"/>
      <c r="S823" s="530" t="s">
        <v>315</v>
      </c>
      <c r="T823" s="667"/>
    </row>
    <row r="824" spans="1:20" s="508" customFormat="1" ht="150" hidden="1">
      <c r="A824" s="518"/>
      <c r="B824" s="506" t="str">
        <f>IF(SUM('Easy Buttons'!$L$3:$M$4)&gt;0,"Infant Carrier","")</f>
        <v>Infant Carrier</v>
      </c>
      <c r="C824" s="506" t="s">
        <v>3053</v>
      </c>
      <c r="D824" s="506" t="s">
        <v>3052</v>
      </c>
      <c r="E824" s="509" t="str">
        <f>IF('GPS Anthro Tool'!$B$4=1,"North America CPSC","")</f>
        <v>North America CPSC</v>
      </c>
      <c r="F824" s="507" t="s">
        <v>4316</v>
      </c>
      <c r="G824" s="506" t="s">
        <v>4256</v>
      </c>
      <c r="H824" s="507" t="s">
        <v>3058</v>
      </c>
      <c r="I824" s="507"/>
      <c r="J824" s="533" t="s">
        <v>3960</v>
      </c>
      <c r="K824" s="527" t="s">
        <v>315</v>
      </c>
      <c r="L824" s="526" t="s">
        <v>315</v>
      </c>
      <c r="M824" s="527" t="s">
        <v>315</v>
      </c>
      <c r="N824" s="528" t="s">
        <v>315</v>
      </c>
      <c r="O824" s="663"/>
      <c r="P824" s="529"/>
      <c r="Q824" s="531"/>
      <c r="R824" s="530"/>
      <c r="S824" s="530" t="s">
        <v>315</v>
      </c>
      <c r="T824" s="667"/>
    </row>
    <row r="825" spans="1:20" s="508" customFormat="1" ht="45" hidden="1">
      <c r="A825" s="518"/>
      <c r="B825" s="506" t="str">
        <f>IF(SUM('Easy Buttons'!$L$3:$M$4)&gt;0,"Infant Carrier","")</f>
        <v>Infant Carrier</v>
      </c>
      <c r="C825" s="506" t="s">
        <v>3053</v>
      </c>
      <c r="D825" s="506" t="s">
        <v>3052</v>
      </c>
      <c r="E825" s="509" t="str">
        <f>IF('GPS Anthro Tool'!$B$4=1,"North America CPSC","")</f>
        <v>North America CPSC</v>
      </c>
      <c r="F825" s="507" t="s">
        <v>4316</v>
      </c>
      <c r="G825" s="506" t="s">
        <v>4257</v>
      </c>
      <c r="H825" s="507" t="s">
        <v>3059</v>
      </c>
      <c r="I825" s="507"/>
      <c r="J825" s="533" t="s">
        <v>3960</v>
      </c>
      <c r="K825" s="527" t="s">
        <v>315</v>
      </c>
      <c r="L825" s="526" t="s">
        <v>315</v>
      </c>
      <c r="M825" s="527" t="s">
        <v>315</v>
      </c>
      <c r="N825" s="528" t="s">
        <v>315</v>
      </c>
      <c r="O825" s="663"/>
      <c r="P825" s="529"/>
      <c r="Q825" s="531"/>
      <c r="R825" s="530"/>
      <c r="S825" s="530" t="s">
        <v>315</v>
      </c>
      <c r="T825" s="667"/>
    </row>
    <row r="826" spans="1:20" s="508" customFormat="1" ht="225" hidden="1">
      <c r="A826" s="518"/>
      <c r="B826" s="506" t="str">
        <f>IF(SUM('Easy Buttons'!$L$3:$M$4)&gt;0,"Infant Carrier","")</f>
        <v>Infant Carrier</v>
      </c>
      <c r="C826" s="507" t="s">
        <v>3076</v>
      </c>
      <c r="D826" s="506" t="s">
        <v>3052</v>
      </c>
      <c r="E826" s="509" t="str">
        <f>IF('GPS Anthro Tool'!$B$4=1,"North America CPSC","")</f>
        <v>North America CPSC</v>
      </c>
      <c r="F826" s="507" t="s">
        <v>4316</v>
      </c>
      <c r="G826" s="506" t="s">
        <v>4310</v>
      </c>
      <c r="H826" s="507" t="s">
        <v>3077</v>
      </c>
      <c r="I826" s="507"/>
      <c r="J826" s="533" t="s">
        <v>3960</v>
      </c>
      <c r="K826" s="527" t="s">
        <v>315</v>
      </c>
      <c r="L826" s="526" t="s">
        <v>315</v>
      </c>
      <c r="M826" s="527" t="s">
        <v>315</v>
      </c>
      <c r="N826" s="528" t="s">
        <v>315</v>
      </c>
      <c r="O826" s="663"/>
      <c r="P826" s="529"/>
      <c r="Q826" s="531"/>
      <c r="R826" s="530"/>
      <c r="S826" s="530" t="s">
        <v>315</v>
      </c>
      <c r="T826" s="667"/>
    </row>
    <row r="827" spans="1:20" s="508" customFormat="1" ht="240" hidden="1">
      <c r="A827" s="518"/>
      <c r="B827" s="506" t="str">
        <f>IF(SUM('Easy Buttons'!$L$3:$M$4)&gt;0,"Infant Carrier","")</f>
        <v>Infant Carrier</v>
      </c>
      <c r="C827" s="507" t="s">
        <v>3076</v>
      </c>
      <c r="D827" s="506" t="s">
        <v>3052</v>
      </c>
      <c r="E827" s="509" t="str">
        <f>IF('GPS Anthro Tool'!$B$4=1,"North America CPSC","")</f>
        <v>North America CPSC</v>
      </c>
      <c r="F827" s="507" t="s">
        <v>4316</v>
      </c>
      <c r="G827" s="506" t="s">
        <v>3078</v>
      </c>
      <c r="H827" s="507" t="s">
        <v>3079</v>
      </c>
      <c r="I827" s="507"/>
      <c r="J827" s="533" t="s">
        <v>3960</v>
      </c>
      <c r="K827" s="527" t="s">
        <v>315</v>
      </c>
      <c r="L827" s="526" t="s">
        <v>315</v>
      </c>
      <c r="M827" s="527" t="s">
        <v>315</v>
      </c>
      <c r="N827" s="528" t="s">
        <v>315</v>
      </c>
      <c r="O827" s="663"/>
      <c r="P827" s="529"/>
      <c r="Q827" s="531"/>
      <c r="R827" s="530"/>
      <c r="S827" s="530" t="s">
        <v>315</v>
      </c>
      <c r="T827" s="667"/>
    </row>
    <row r="828" spans="1:20" s="508" customFormat="1" ht="150" hidden="1">
      <c r="A828" s="518"/>
      <c r="B828" s="506" t="str">
        <f>IF(SUM('Easy Buttons'!$L$3:$M$4)&gt;0,"Infant Carrier","")</f>
        <v>Infant Carrier</v>
      </c>
      <c r="C828" s="507" t="s">
        <v>3076</v>
      </c>
      <c r="D828" s="506" t="s">
        <v>3052</v>
      </c>
      <c r="E828" s="509" t="str">
        <f>IF('GPS Anthro Tool'!$B$4=1,"North America CPSC","")</f>
        <v>North America CPSC</v>
      </c>
      <c r="F828" s="507" t="s">
        <v>4316</v>
      </c>
      <c r="G828" s="506" t="s">
        <v>3080</v>
      </c>
      <c r="H828" s="507" t="s">
        <v>3081</v>
      </c>
      <c r="I828" s="507"/>
      <c r="J828" s="533" t="s">
        <v>3960</v>
      </c>
      <c r="K828" s="527" t="s">
        <v>315</v>
      </c>
      <c r="L828" s="526" t="s">
        <v>315</v>
      </c>
      <c r="M828" s="527" t="s">
        <v>315</v>
      </c>
      <c r="N828" s="528" t="s">
        <v>315</v>
      </c>
      <c r="O828" s="663"/>
      <c r="P828" s="529"/>
      <c r="Q828" s="531"/>
      <c r="R828" s="530"/>
      <c r="S828" s="530" t="s">
        <v>315</v>
      </c>
      <c r="T828" s="667"/>
    </row>
    <row r="829" spans="1:20" s="508" customFormat="1" ht="105" hidden="1">
      <c r="A829" s="518"/>
      <c r="B829" s="506" t="str">
        <f>IF(SUM('Easy Buttons'!$L$3:$M$4)&gt;0,"Infant Carrier","")</f>
        <v>Infant Carrier</v>
      </c>
      <c r="C829" s="507" t="s">
        <v>3095</v>
      </c>
      <c r="D829" s="506" t="s">
        <v>3052</v>
      </c>
      <c r="E829" s="509" t="str">
        <f>IF('GPS Anthro Tool'!$B$4=1,"North America CPSC","")</f>
        <v>North America CPSC</v>
      </c>
      <c r="F829" s="507" t="s">
        <v>4316</v>
      </c>
      <c r="G829" s="506" t="s">
        <v>4259</v>
      </c>
      <c r="H829" s="507" t="s">
        <v>3097</v>
      </c>
      <c r="I829" s="507"/>
      <c r="J829" s="533" t="s">
        <v>3960</v>
      </c>
      <c r="K829" s="527" t="s">
        <v>315</v>
      </c>
      <c r="L829" s="526" t="s">
        <v>315</v>
      </c>
      <c r="M829" s="527" t="s">
        <v>315</v>
      </c>
      <c r="N829" s="528" t="s">
        <v>315</v>
      </c>
      <c r="O829" s="663"/>
      <c r="P829" s="529"/>
      <c r="Q829" s="531"/>
      <c r="R829" s="530"/>
      <c r="S829" s="530" t="s">
        <v>315</v>
      </c>
      <c r="T829" s="667"/>
    </row>
    <row r="830" spans="1:20" s="508" customFormat="1" ht="30" hidden="1">
      <c r="A830" s="518"/>
      <c r="B830" s="506" t="str">
        <f>IF(SUM('Easy Buttons'!$L$3:$M$4)&gt;0,"Infant Carrier","")</f>
        <v>Infant Carrier</v>
      </c>
      <c r="C830" s="507" t="s">
        <v>3095</v>
      </c>
      <c r="D830" s="506" t="s">
        <v>3052</v>
      </c>
      <c r="E830" s="509" t="str">
        <f>IF('GPS Anthro Tool'!$B$4=1,"North America CPSC","")</f>
        <v>North America CPSC</v>
      </c>
      <c r="F830" s="507" t="s">
        <v>4316</v>
      </c>
      <c r="G830" s="506" t="s">
        <v>4259</v>
      </c>
      <c r="H830" s="507" t="s">
        <v>3098</v>
      </c>
      <c r="I830" s="507"/>
      <c r="J830" s="533" t="s">
        <v>3960</v>
      </c>
      <c r="K830" s="527" t="s">
        <v>315</v>
      </c>
      <c r="L830" s="526" t="s">
        <v>315</v>
      </c>
      <c r="M830" s="527" t="s">
        <v>315</v>
      </c>
      <c r="N830" s="528" t="s">
        <v>315</v>
      </c>
      <c r="O830" s="663"/>
      <c r="P830" s="529"/>
      <c r="Q830" s="531"/>
      <c r="R830" s="530"/>
      <c r="S830" s="530" t="s">
        <v>315</v>
      </c>
      <c r="T830" s="667"/>
    </row>
    <row r="831" spans="1:20" s="508" customFormat="1" ht="285" hidden="1">
      <c r="A831" s="518"/>
      <c r="B831" s="506" t="str">
        <f>IF(SUM('Easy Buttons'!$L$3:$M$4)&gt;0,"Infant Carrier","")</f>
        <v>Infant Carrier</v>
      </c>
      <c r="C831" s="507" t="s">
        <v>3095</v>
      </c>
      <c r="D831" s="506" t="s">
        <v>3052</v>
      </c>
      <c r="E831" s="509" t="str">
        <f>IF('GPS Anthro Tool'!$B$4=1,"North America CPSC","")</f>
        <v>North America CPSC</v>
      </c>
      <c r="F831" s="507" t="s">
        <v>4316</v>
      </c>
      <c r="G831" s="506" t="s">
        <v>4259</v>
      </c>
      <c r="H831" s="507" t="s">
        <v>3099</v>
      </c>
      <c r="I831" s="507"/>
      <c r="J831" s="533" t="s">
        <v>3960</v>
      </c>
      <c r="K831" s="527" t="s">
        <v>315</v>
      </c>
      <c r="L831" s="526" t="s">
        <v>315</v>
      </c>
      <c r="M831" s="527" t="s">
        <v>315</v>
      </c>
      <c r="N831" s="528" t="s">
        <v>315</v>
      </c>
      <c r="O831" s="663"/>
      <c r="P831" s="529"/>
      <c r="Q831" s="531"/>
      <c r="R831" s="530"/>
      <c r="S831" s="530" t="s">
        <v>315</v>
      </c>
      <c r="T831" s="667"/>
    </row>
    <row r="832" spans="1:20" s="508" customFormat="1" ht="60" hidden="1">
      <c r="A832" s="518"/>
      <c r="B832" s="506" t="str">
        <f>IF(SUM('Easy Buttons'!$L$3:$M$4)&gt;0,"Infant Carrier","")</f>
        <v>Infant Carrier</v>
      </c>
      <c r="C832" s="507" t="s">
        <v>3095</v>
      </c>
      <c r="D832" s="506" t="s">
        <v>3052</v>
      </c>
      <c r="E832" s="509" t="str">
        <f>IF('GPS Anthro Tool'!$B$4=1,"North America CPSC","")</f>
        <v>North America CPSC</v>
      </c>
      <c r="F832" s="507" t="s">
        <v>4316</v>
      </c>
      <c r="G832" s="506" t="s">
        <v>4259</v>
      </c>
      <c r="H832" s="507" t="s">
        <v>3100</v>
      </c>
      <c r="I832" s="507"/>
      <c r="J832" s="533" t="s">
        <v>3960</v>
      </c>
      <c r="K832" s="527" t="s">
        <v>315</v>
      </c>
      <c r="L832" s="526" t="s">
        <v>315</v>
      </c>
      <c r="M832" s="527" t="s">
        <v>315</v>
      </c>
      <c r="N832" s="528" t="s">
        <v>315</v>
      </c>
      <c r="O832" s="663"/>
      <c r="P832" s="529"/>
      <c r="Q832" s="531"/>
      <c r="R832" s="530"/>
      <c r="S832" s="530" t="s">
        <v>315</v>
      </c>
      <c r="T832" s="667"/>
    </row>
    <row r="833" spans="1:20" s="508" customFormat="1" ht="120" hidden="1">
      <c r="A833" s="518"/>
      <c r="B833" s="506" t="str">
        <f>IF(SUM('Easy Buttons'!$L$3:$M$4)&gt;0,"Infant Carrier","")</f>
        <v>Infant Carrier</v>
      </c>
      <c r="C833" s="507" t="s">
        <v>3095</v>
      </c>
      <c r="D833" s="506" t="s">
        <v>3052</v>
      </c>
      <c r="E833" s="509" t="str">
        <f>IF('GPS Anthro Tool'!$B$4=1,"North America CPSC","")</f>
        <v>North America CPSC</v>
      </c>
      <c r="F833" s="507" t="s">
        <v>4316</v>
      </c>
      <c r="G833" s="506" t="s">
        <v>4259</v>
      </c>
      <c r="H833" s="507" t="s">
        <v>3101</v>
      </c>
      <c r="I833" s="507"/>
      <c r="J833" s="533" t="s">
        <v>3960</v>
      </c>
      <c r="K833" s="527" t="s">
        <v>315</v>
      </c>
      <c r="L833" s="526" t="s">
        <v>315</v>
      </c>
      <c r="M833" s="527" t="s">
        <v>315</v>
      </c>
      <c r="N833" s="528" t="s">
        <v>315</v>
      </c>
      <c r="O833" s="663"/>
      <c r="P833" s="529"/>
      <c r="Q833" s="531"/>
      <c r="R833" s="530"/>
      <c r="S833" s="530" t="s">
        <v>315</v>
      </c>
      <c r="T833" s="667"/>
    </row>
    <row r="834" spans="1:20" s="508" customFormat="1" ht="210" hidden="1">
      <c r="A834" s="518"/>
      <c r="B834" s="506" t="str">
        <f>IF(SUM('Easy Buttons'!$L$3:$M$4)&gt;0,"Infant Carrier","")</f>
        <v>Infant Carrier</v>
      </c>
      <c r="C834" s="507" t="s">
        <v>3095</v>
      </c>
      <c r="D834" s="506" t="s">
        <v>3052</v>
      </c>
      <c r="E834" s="509" t="str">
        <f>IF('GPS Anthro Tool'!$B$4=1,"North America CPSC","")</f>
        <v>North America CPSC</v>
      </c>
      <c r="F834" s="507" t="s">
        <v>4316</v>
      </c>
      <c r="G834" s="506" t="s">
        <v>4259</v>
      </c>
      <c r="H834" s="507" t="s">
        <v>3102</v>
      </c>
      <c r="I834" s="507"/>
      <c r="J834" s="533" t="s">
        <v>3960</v>
      </c>
      <c r="K834" s="527" t="s">
        <v>315</v>
      </c>
      <c r="L834" s="526" t="s">
        <v>315</v>
      </c>
      <c r="M834" s="527" t="s">
        <v>315</v>
      </c>
      <c r="N834" s="528" t="s">
        <v>315</v>
      </c>
      <c r="O834" s="663"/>
      <c r="P834" s="529"/>
      <c r="Q834" s="531"/>
      <c r="R834" s="530"/>
      <c r="S834" s="530" t="s">
        <v>315</v>
      </c>
      <c r="T834" s="667"/>
    </row>
    <row r="835" spans="1:20" s="508" customFormat="1" ht="30" hidden="1">
      <c r="A835" s="518"/>
      <c r="B835" s="506" t="str">
        <f>IF(SUM('Easy Buttons'!$L$3:$M$4)&gt;0,"Infant Carrier","")</f>
        <v>Infant Carrier</v>
      </c>
      <c r="C835" s="507" t="s">
        <v>3095</v>
      </c>
      <c r="D835" s="506" t="s">
        <v>3052</v>
      </c>
      <c r="E835" s="509" t="str">
        <f>IF('GPS Anthro Tool'!$B$4=1,"North America CPSC","")</f>
        <v>North America CPSC</v>
      </c>
      <c r="F835" s="507" t="s">
        <v>4316</v>
      </c>
      <c r="G835" s="506" t="s">
        <v>4258</v>
      </c>
      <c r="H835" s="507" t="s">
        <v>3113</v>
      </c>
      <c r="I835" s="507"/>
      <c r="J835" s="533" t="s">
        <v>3960</v>
      </c>
      <c r="K835" s="527" t="s">
        <v>315</v>
      </c>
      <c r="L835" s="526" t="s">
        <v>315</v>
      </c>
      <c r="M835" s="527" t="s">
        <v>315</v>
      </c>
      <c r="N835" s="528" t="s">
        <v>315</v>
      </c>
      <c r="O835" s="663"/>
      <c r="P835" s="529"/>
      <c r="Q835" s="531"/>
      <c r="R835" s="530"/>
      <c r="S835" s="530" t="s">
        <v>315</v>
      </c>
      <c r="T835" s="667"/>
    </row>
    <row r="836" spans="1:20" s="508" customFormat="1" ht="30" hidden="1">
      <c r="A836" s="518"/>
      <c r="B836" s="506" t="str">
        <f>IF(SUM('Easy Buttons'!$L$3:$M$4)&gt;0,"Infant Carrier","")</f>
        <v>Infant Carrier</v>
      </c>
      <c r="C836" s="507" t="s">
        <v>3095</v>
      </c>
      <c r="D836" s="506" t="s">
        <v>3052</v>
      </c>
      <c r="E836" s="509" t="str">
        <f>IF('GPS Anthro Tool'!$B$4=1,"North America CPSC","")</f>
        <v>North America CPSC</v>
      </c>
      <c r="F836" s="507" t="s">
        <v>4316</v>
      </c>
      <c r="G836" s="506" t="s">
        <v>3096</v>
      </c>
      <c r="H836" s="507" t="s">
        <v>3114</v>
      </c>
      <c r="I836" s="507"/>
      <c r="J836" s="533" t="s">
        <v>3960</v>
      </c>
      <c r="K836" s="527" t="s">
        <v>315</v>
      </c>
      <c r="L836" s="526" t="s">
        <v>315</v>
      </c>
      <c r="M836" s="527" t="s">
        <v>315</v>
      </c>
      <c r="N836" s="528" t="s">
        <v>315</v>
      </c>
      <c r="O836" s="663"/>
      <c r="P836" s="529"/>
      <c r="Q836" s="531"/>
      <c r="R836" s="530"/>
      <c r="S836" s="530" t="s">
        <v>315</v>
      </c>
      <c r="T836" s="667"/>
    </row>
    <row r="837" spans="1:20" s="508" customFormat="1" ht="409.5" hidden="1">
      <c r="A837" s="518"/>
      <c r="B837" s="506" t="str">
        <f>IF(SUM('Easy Buttons'!$L$3:$M$4)&gt;0,"Infant Carrier","")</f>
        <v>Infant Carrier</v>
      </c>
      <c r="C837" s="507" t="s">
        <v>3095</v>
      </c>
      <c r="D837" s="506" t="s">
        <v>3052</v>
      </c>
      <c r="E837" s="509" t="str">
        <f>IF('GPS Anthro Tool'!$B$4=1,"North America CPSC","")</f>
        <v>North America CPSC</v>
      </c>
      <c r="F837" s="507" t="s">
        <v>4316</v>
      </c>
      <c r="G837" s="506" t="s">
        <v>4259</v>
      </c>
      <c r="H837" s="507" t="s">
        <v>3115</v>
      </c>
      <c r="I837" s="507"/>
      <c r="J837" s="533" t="s">
        <v>3960</v>
      </c>
      <c r="K837" s="527" t="s">
        <v>315</v>
      </c>
      <c r="L837" s="526" t="s">
        <v>315</v>
      </c>
      <c r="M837" s="527" t="s">
        <v>315</v>
      </c>
      <c r="N837" s="528" t="s">
        <v>315</v>
      </c>
      <c r="O837" s="663"/>
      <c r="P837" s="529"/>
      <c r="Q837" s="531"/>
      <c r="R837" s="530"/>
      <c r="S837" s="530" t="s">
        <v>315</v>
      </c>
      <c r="T837" s="667"/>
    </row>
    <row r="838" spans="1:20" s="508" customFormat="1" ht="135" hidden="1">
      <c r="A838" s="518"/>
      <c r="B838" s="506" t="str">
        <f>IF(SUM('Easy Buttons'!$L$3:$M$4)&gt;0,"Infant Carrier","")</f>
        <v>Infant Carrier</v>
      </c>
      <c r="C838" s="507" t="s">
        <v>3095</v>
      </c>
      <c r="D838" s="506" t="s">
        <v>3052</v>
      </c>
      <c r="E838" s="509" t="str">
        <f>IF('GPS Anthro Tool'!$B$4=1,"North America CPSC","")</f>
        <v>North America CPSC</v>
      </c>
      <c r="F838" s="507" t="s">
        <v>4316</v>
      </c>
      <c r="G838" s="506" t="s">
        <v>4259</v>
      </c>
      <c r="H838" s="507" t="s">
        <v>3116</v>
      </c>
      <c r="I838" s="507"/>
      <c r="J838" s="533" t="s">
        <v>3960</v>
      </c>
      <c r="K838" s="527" t="s">
        <v>315</v>
      </c>
      <c r="L838" s="526" t="s">
        <v>315</v>
      </c>
      <c r="M838" s="527" t="s">
        <v>315</v>
      </c>
      <c r="N838" s="528" t="s">
        <v>315</v>
      </c>
      <c r="O838" s="663"/>
      <c r="P838" s="529"/>
      <c r="Q838" s="531"/>
      <c r="R838" s="530"/>
      <c r="S838" s="530" t="s">
        <v>315</v>
      </c>
      <c r="T838" s="566"/>
    </row>
    <row r="839" spans="1:20" s="508" customFormat="1" ht="150" hidden="1">
      <c r="A839" s="518"/>
      <c r="B839" s="506" t="str">
        <f>IF(SUM('Easy Buttons'!$L$3:$M$4)&gt;0,"Infant Carrier","")</f>
        <v>Infant Carrier</v>
      </c>
      <c r="C839" s="507" t="s">
        <v>3095</v>
      </c>
      <c r="D839" s="506" t="s">
        <v>3052</v>
      </c>
      <c r="E839" s="509" t="str">
        <f>IF('GPS Anthro Tool'!$B$4=1,"North America CPSC","")</f>
        <v>North America CPSC</v>
      </c>
      <c r="F839" s="507" t="s">
        <v>4316</v>
      </c>
      <c r="G839" s="506" t="s">
        <v>4259</v>
      </c>
      <c r="H839" s="507" t="s">
        <v>3117</v>
      </c>
      <c r="I839" s="507"/>
      <c r="J839" s="533" t="s">
        <v>3960</v>
      </c>
      <c r="K839" s="527" t="s">
        <v>315</v>
      </c>
      <c r="L839" s="526" t="s">
        <v>315</v>
      </c>
      <c r="M839" s="527" t="s">
        <v>315</v>
      </c>
      <c r="N839" s="528" t="s">
        <v>315</v>
      </c>
      <c r="O839" s="663"/>
      <c r="P839" s="529"/>
      <c r="Q839" s="531"/>
      <c r="R839" s="530"/>
      <c r="S839" s="530" t="s">
        <v>315</v>
      </c>
      <c r="T839" s="667"/>
    </row>
    <row r="840" spans="1:20" s="508" customFormat="1" ht="180" hidden="1">
      <c r="A840" s="518"/>
      <c r="B840" s="506" t="str">
        <f>IF(SUM('Easy Buttons'!$L$3:$M$4)&gt;0,"Infant Carrier","")</f>
        <v>Infant Carrier</v>
      </c>
      <c r="C840" s="507" t="s">
        <v>3095</v>
      </c>
      <c r="D840" s="506" t="s">
        <v>3052</v>
      </c>
      <c r="E840" s="509" t="str">
        <f>IF('GPS Anthro Tool'!$B$4=1,"North America CPSC","")</f>
        <v>North America CPSC</v>
      </c>
      <c r="F840" s="507" t="s">
        <v>4316</v>
      </c>
      <c r="G840" s="506" t="s">
        <v>4259</v>
      </c>
      <c r="H840" s="507" t="s">
        <v>3118</v>
      </c>
      <c r="I840" s="507"/>
      <c r="J840" s="533" t="s">
        <v>3960</v>
      </c>
      <c r="K840" s="527" t="s">
        <v>315</v>
      </c>
      <c r="L840" s="526" t="s">
        <v>315</v>
      </c>
      <c r="M840" s="527" t="s">
        <v>315</v>
      </c>
      <c r="N840" s="528" t="s">
        <v>315</v>
      </c>
      <c r="O840" s="663"/>
      <c r="P840" s="529"/>
      <c r="Q840" s="531"/>
      <c r="R840" s="530"/>
      <c r="S840" s="530" t="s">
        <v>315</v>
      </c>
      <c r="T840" s="667"/>
    </row>
    <row r="841" spans="1:20" s="508" customFormat="1" ht="60" hidden="1">
      <c r="A841" s="518"/>
      <c r="B841" s="506" t="str">
        <f>IF(SUM('Easy Buttons'!$L$3:$M$4)&gt;0,"Infant Carrier","")</f>
        <v>Infant Carrier</v>
      </c>
      <c r="C841" s="507" t="s">
        <v>3095</v>
      </c>
      <c r="D841" s="506" t="s">
        <v>3052</v>
      </c>
      <c r="E841" s="509" t="str">
        <f>IF('GPS Anthro Tool'!$B$4=1,"North America CPSC","")</f>
        <v>North America CPSC</v>
      </c>
      <c r="F841" s="507" t="s">
        <v>4316</v>
      </c>
      <c r="G841" s="506" t="s">
        <v>4259</v>
      </c>
      <c r="H841" s="507" t="s">
        <v>3119</v>
      </c>
      <c r="I841" s="507"/>
      <c r="J841" s="533" t="s">
        <v>3960</v>
      </c>
      <c r="K841" s="527" t="s">
        <v>315</v>
      </c>
      <c r="L841" s="526" t="s">
        <v>315</v>
      </c>
      <c r="M841" s="527" t="s">
        <v>315</v>
      </c>
      <c r="N841" s="528" t="s">
        <v>315</v>
      </c>
      <c r="O841" s="663"/>
      <c r="P841" s="529"/>
      <c r="Q841" s="531"/>
      <c r="R841" s="530"/>
      <c r="S841" s="530" t="s">
        <v>315</v>
      </c>
      <c r="T841" s="667"/>
    </row>
    <row r="842" spans="1:20" s="508" customFormat="1" ht="195" hidden="1">
      <c r="A842" s="518"/>
      <c r="B842" s="506" t="str">
        <f>IF(SUM('Easy Buttons'!$L$3:$M$4)&gt;0,"Infant Carrier","")</f>
        <v>Infant Carrier</v>
      </c>
      <c r="C842" s="507" t="s">
        <v>3095</v>
      </c>
      <c r="D842" s="506" t="s">
        <v>3052</v>
      </c>
      <c r="E842" s="509" t="str">
        <f>IF('GPS Anthro Tool'!$B$4=1,"North America CPSC","")</f>
        <v>North America CPSC</v>
      </c>
      <c r="F842" s="507" t="s">
        <v>4316</v>
      </c>
      <c r="G842" s="506" t="s">
        <v>4259</v>
      </c>
      <c r="H842" s="507" t="s">
        <v>3120</v>
      </c>
      <c r="I842" s="507"/>
      <c r="J842" s="533" t="s">
        <v>3960</v>
      </c>
      <c r="K842" s="527" t="s">
        <v>315</v>
      </c>
      <c r="L842" s="526" t="s">
        <v>315</v>
      </c>
      <c r="M842" s="527" t="s">
        <v>315</v>
      </c>
      <c r="N842" s="528" t="s">
        <v>315</v>
      </c>
      <c r="O842" s="663"/>
      <c r="P842" s="529"/>
      <c r="Q842" s="531"/>
      <c r="R842" s="530"/>
      <c r="S842" s="530" t="s">
        <v>315</v>
      </c>
      <c r="T842" s="667"/>
    </row>
    <row r="843" spans="1:20" s="508" customFormat="1" ht="225" hidden="1">
      <c r="A843" s="518"/>
      <c r="B843" s="506" t="str">
        <f>IF(SUM('Easy Buttons'!$L$3:$M$4)&gt;0,"Infant Carrier","")</f>
        <v>Infant Carrier</v>
      </c>
      <c r="C843" s="507" t="s">
        <v>3095</v>
      </c>
      <c r="D843" s="506" t="s">
        <v>3052</v>
      </c>
      <c r="E843" s="509" t="str">
        <f>IF('GPS Anthro Tool'!$B$4=1,"North America CPSC","")</f>
        <v>North America CPSC</v>
      </c>
      <c r="F843" s="507" t="s">
        <v>4316</v>
      </c>
      <c r="G843" s="506" t="s">
        <v>4259</v>
      </c>
      <c r="H843" s="507" t="s">
        <v>3121</v>
      </c>
      <c r="I843" s="507"/>
      <c r="J843" s="533" t="s">
        <v>3960</v>
      </c>
      <c r="K843" s="527" t="s">
        <v>315</v>
      </c>
      <c r="L843" s="526" t="s">
        <v>315</v>
      </c>
      <c r="M843" s="527" t="s">
        <v>315</v>
      </c>
      <c r="N843" s="528" t="s">
        <v>315</v>
      </c>
      <c r="O843" s="663"/>
      <c r="P843" s="529"/>
      <c r="Q843" s="531"/>
      <c r="R843" s="530"/>
      <c r="S843" s="530" t="s">
        <v>315</v>
      </c>
      <c r="T843" s="667"/>
    </row>
    <row r="844" spans="1:20" s="508" customFormat="1" ht="30" hidden="1">
      <c r="A844" s="518"/>
      <c r="B844" s="506" t="str">
        <f>IF(SUM('Easy Buttons'!$L$3:$M$4)&gt;0,"Infant Carrier","")</f>
        <v>Infant Carrier</v>
      </c>
      <c r="C844" s="507" t="s">
        <v>3095</v>
      </c>
      <c r="D844" s="506" t="s">
        <v>3052</v>
      </c>
      <c r="E844" s="509" t="str">
        <f>IF('GPS Anthro Tool'!$B$4=1,"North America CPSC","")</f>
        <v>North America CPSC</v>
      </c>
      <c r="F844" s="507" t="s">
        <v>4316</v>
      </c>
      <c r="G844" s="506" t="s">
        <v>4259</v>
      </c>
      <c r="H844" s="507" t="s">
        <v>3122</v>
      </c>
      <c r="I844" s="507"/>
      <c r="J844" s="533" t="s">
        <v>3960</v>
      </c>
      <c r="K844" s="527" t="s">
        <v>315</v>
      </c>
      <c r="L844" s="526" t="s">
        <v>315</v>
      </c>
      <c r="M844" s="527" t="s">
        <v>315</v>
      </c>
      <c r="N844" s="528" t="s">
        <v>315</v>
      </c>
      <c r="O844" s="663"/>
      <c r="P844" s="529"/>
      <c r="Q844" s="531"/>
      <c r="R844" s="530"/>
      <c r="S844" s="530" t="s">
        <v>315</v>
      </c>
      <c r="T844" s="667"/>
    </row>
    <row r="845" spans="1:20" s="508" customFormat="1" ht="90" hidden="1">
      <c r="A845" s="518"/>
      <c r="B845" s="506" t="str">
        <f>IF(SUM('Easy Buttons'!$L$3:$M$4)&gt;0,"Infant Carrier","")</f>
        <v>Infant Carrier</v>
      </c>
      <c r="C845" s="507" t="s">
        <v>3095</v>
      </c>
      <c r="D845" s="506" t="s">
        <v>3052</v>
      </c>
      <c r="E845" s="509" t="str">
        <f>IF('GPS Anthro Tool'!$B$4=1,"North America CPSC","")</f>
        <v>North America CPSC</v>
      </c>
      <c r="F845" s="507" t="s">
        <v>4316</v>
      </c>
      <c r="G845" s="506" t="s">
        <v>4259</v>
      </c>
      <c r="H845" s="507" t="s">
        <v>3123</v>
      </c>
      <c r="I845" s="507"/>
      <c r="J845" s="533" t="s">
        <v>3960</v>
      </c>
      <c r="K845" s="527" t="s">
        <v>315</v>
      </c>
      <c r="L845" s="526" t="s">
        <v>315</v>
      </c>
      <c r="M845" s="527" t="s">
        <v>315</v>
      </c>
      <c r="N845" s="528" t="s">
        <v>315</v>
      </c>
      <c r="O845" s="663"/>
      <c r="P845" s="529"/>
      <c r="Q845" s="531"/>
      <c r="R845" s="530"/>
      <c r="S845" s="530" t="s">
        <v>315</v>
      </c>
      <c r="T845" s="667"/>
    </row>
    <row r="846" spans="1:20" s="508" customFormat="1" ht="30" hidden="1">
      <c r="A846" s="518"/>
      <c r="B846" s="506" t="str">
        <f>IF(SUM('Easy Buttons'!$L$3:$M$4)&gt;0,"Infant Carrier","")</f>
        <v>Infant Carrier</v>
      </c>
      <c r="C846" s="507" t="s">
        <v>3095</v>
      </c>
      <c r="D846" s="506" t="s">
        <v>3052</v>
      </c>
      <c r="E846" s="509" t="str">
        <f>IF('GPS Anthro Tool'!$B$4=1,"North America CPSC","")</f>
        <v>North America CPSC</v>
      </c>
      <c r="F846" s="507" t="s">
        <v>4316</v>
      </c>
      <c r="G846" s="506" t="s">
        <v>4259</v>
      </c>
      <c r="H846" s="507" t="s">
        <v>3124</v>
      </c>
      <c r="I846" s="507"/>
      <c r="J846" s="533" t="s">
        <v>3960</v>
      </c>
      <c r="K846" s="527" t="s">
        <v>315</v>
      </c>
      <c r="L846" s="526" t="s">
        <v>315</v>
      </c>
      <c r="M846" s="527" t="s">
        <v>315</v>
      </c>
      <c r="N846" s="528" t="s">
        <v>315</v>
      </c>
      <c r="O846" s="663"/>
      <c r="P846" s="529"/>
      <c r="Q846" s="531"/>
      <c r="R846" s="530"/>
      <c r="S846" s="530" t="s">
        <v>315</v>
      </c>
      <c r="T846" s="667"/>
    </row>
    <row r="847" spans="1:20" s="508" customFormat="1" ht="90" hidden="1">
      <c r="A847" s="518"/>
      <c r="B847" s="506" t="str">
        <f>IF(SUM('Easy Buttons'!$L$3:$M$4)&gt;0,"Infant Carrier","")</f>
        <v>Infant Carrier</v>
      </c>
      <c r="C847" s="507" t="s">
        <v>3095</v>
      </c>
      <c r="D847" s="506" t="s">
        <v>3052</v>
      </c>
      <c r="E847" s="509" t="str">
        <f>IF('GPS Anthro Tool'!$B$4=1,"North America CPSC","")</f>
        <v>North America CPSC</v>
      </c>
      <c r="F847" s="507" t="s">
        <v>4316</v>
      </c>
      <c r="G847" s="506" t="s">
        <v>4259</v>
      </c>
      <c r="H847" s="507" t="s">
        <v>3125</v>
      </c>
      <c r="I847" s="507"/>
      <c r="J847" s="533" t="s">
        <v>3960</v>
      </c>
      <c r="K847" s="527" t="s">
        <v>315</v>
      </c>
      <c r="L847" s="526" t="s">
        <v>315</v>
      </c>
      <c r="M847" s="527" t="s">
        <v>315</v>
      </c>
      <c r="N847" s="528" t="s">
        <v>315</v>
      </c>
      <c r="O847" s="663"/>
      <c r="P847" s="529"/>
      <c r="Q847" s="531"/>
      <c r="R847" s="530"/>
      <c r="S847" s="530" t="s">
        <v>315</v>
      </c>
      <c r="T847" s="667"/>
    </row>
    <row r="848" spans="1:20" s="508" customFormat="1" ht="135" hidden="1">
      <c r="A848" s="518"/>
      <c r="B848" s="506" t="str">
        <f>IF(SUM('Easy Buttons'!$L$3:$M$4)&gt;0,"Infant Carrier","")</f>
        <v>Infant Carrier</v>
      </c>
      <c r="C848" s="507" t="s">
        <v>3095</v>
      </c>
      <c r="D848" s="506" t="s">
        <v>3052</v>
      </c>
      <c r="E848" s="509" t="str">
        <f>IF('GPS Anthro Tool'!$B$4=1,"North America CPSC","")</f>
        <v>North America CPSC</v>
      </c>
      <c r="F848" s="507" t="s">
        <v>4316</v>
      </c>
      <c r="G848" s="506" t="s">
        <v>4259</v>
      </c>
      <c r="H848" s="507" t="s">
        <v>3126</v>
      </c>
      <c r="I848" s="507"/>
      <c r="J848" s="533" t="s">
        <v>3960</v>
      </c>
      <c r="K848" s="527" t="s">
        <v>315</v>
      </c>
      <c r="L848" s="526" t="s">
        <v>315</v>
      </c>
      <c r="M848" s="527" t="s">
        <v>315</v>
      </c>
      <c r="N848" s="528" t="s">
        <v>315</v>
      </c>
      <c r="O848" s="663"/>
      <c r="P848" s="529"/>
      <c r="Q848" s="531"/>
      <c r="R848" s="530"/>
      <c r="S848" s="530" t="s">
        <v>315</v>
      </c>
      <c r="T848" s="667"/>
    </row>
    <row r="849" spans="1:20" s="508" customFormat="1" ht="30" hidden="1">
      <c r="A849" s="518"/>
      <c r="B849" s="506" t="str">
        <f>IF(SUM('Easy Buttons'!$L$3:$M$4)&gt;0,"Infant Carrier","")</f>
        <v>Infant Carrier</v>
      </c>
      <c r="C849" s="507" t="s">
        <v>3095</v>
      </c>
      <c r="D849" s="506" t="s">
        <v>3052</v>
      </c>
      <c r="E849" s="509" t="str">
        <f>IF('GPS Anthro Tool'!$B$4=1,"North America CPSC","")</f>
        <v>North America CPSC</v>
      </c>
      <c r="F849" s="507" t="s">
        <v>4316</v>
      </c>
      <c r="G849" s="506" t="s">
        <v>4259</v>
      </c>
      <c r="H849" s="507" t="s">
        <v>3127</v>
      </c>
      <c r="I849" s="507"/>
      <c r="J849" s="533" t="s">
        <v>3960</v>
      </c>
      <c r="K849" s="527" t="s">
        <v>315</v>
      </c>
      <c r="L849" s="526" t="s">
        <v>315</v>
      </c>
      <c r="M849" s="527" t="s">
        <v>315</v>
      </c>
      <c r="N849" s="528" t="s">
        <v>315</v>
      </c>
      <c r="O849" s="663"/>
      <c r="P849" s="529"/>
      <c r="Q849" s="531"/>
      <c r="R849" s="530"/>
      <c r="S849" s="530" t="s">
        <v>315</v>
      </c>
      <c r="T849" s="667"/>
    </row>
    <row r="850" spans="1:20" s="508" customFormat="1" ht="120" hidden="1">
      <c r="A850" s="518"/>
      <c r="B850" s="506" t="str">
        <f>IF(SUM('Easy Buttons'!$L$3:$M$4)&gt;0,"Infant Carrier","")</f>
        <v>Infant Carrier</v>
      </c>
      <c r="C850" s="507" t="s">
        <v>3095</v>
      </c>
      <c r="D850" s="506" t="s">
        <v>3052</v>
      </c>
      <c r="E850" s="509" t="str">
        <f>IF('GPS Anthro Tool'!$B$4=1,"North America CPSC","")</f>
        <v>North America CPSC</v>
      </c>
      <c r="F850" s="507" t="s">
        <v>4316</v>
      </c>
      <c r="G850" s="506" t="s">
        <v>4259</v>
      </c>
      <c r="H850" s="507" t="s">
        <v>3128</v>
      </c>
      <c r="I850" s="507"/>
      <c r="J850" s="533" t="s">
        <v>3960</v>
      </c>
      <c r="K850" s="527" t="s">
        <v>315</v>
      </c>
      <c r="L850" s="526" t="s">
        <v>315</v>
      </c>
      <c r="M850" s="527" t="s">
        <v>315</v>
      </c>
      <c r="N850" s="528" t="s">
        <v>315</v>
      </c>
      <c r="O850" s="663"/>
      <c r="P850" s="529"/>
      <c r="Q850" s="531"/>
      <c r="R850" s="530"/>
      <c r="S850" s="530" t="s">
        <v>315</v>
      </c>
      <c r="T850" s="667"/>
    </row>
    <row r="851" spans="1:20" s="508" customFormat="1" ht="120" hidden="1">
      <c r="A851" s="518"/>
      <c r="B851" s="506" t="str">
        <f>IF(SUM('Easy Buttons'!$L$3:$M$4)&gt;0,"Infant Carrier","")</f>
        <v>Infant Carrier</v>
      </c>
      <c r="C851" s="507" t="s">
        <v>3095</v>
      </c>
      <c r="D851" s="506" t="s">
        <v>3052</v>
      </c>
      <c r="E851" s="509" t="str">
        <f>IF('GPS Anthro Tool'!$B$4=1,"North America CPSC","")</f>
        <v>North America CPSC</v>
      </c>
      <c r="F851" s="507" t="s">
        <v>4316</v>
      </c>
      <c r="G851" s="506" t="s">
        <v>4259</v>
      </c>
      <c r="H851" s="507" t="s">
        <v>3129</v>
      </c>
      <c r="I851" s="507"/>
      <c r="J851" s="533" t="s">
        <v>3960</v>
      </c>
      <c r="K851" s="527" t="s">
        <v>315</v>
      </c>
      <c r="L851" s="526" t="s">
        <v>315</v>
      </c>
      <c r="M851" s="527" t="s">
        <v>315</v>
      </c>
      <c r="N851" s="528" t="s">
        <v>315</v>
      </c>
      <c r="O851" s="663"/>
      <c r="P851" s="529"/>
      <c r="Q851" s="531"/>
      <c r="R851" s="530"/>
      <c r="S851" s="530" t="s">
        <v>315</v>
      </c>
      <c r="T851" s="667"/>
    </row>
    <row r="852" spans="1:20" s="508" customFormat="1" ht="90" hidden="1">
      <c r="A852" s="518"/>
      <c r="B852" s="506" t="str">
        <f>IF(SUM('Easy Buttons'!$L$3:$M$4)&gt;0,"Infant Carrier","")</f>
        <v>Infant Carrier</v>
      </c>
      <c r="C852" s="507" t="s">
        <v>3095</v>
      </c>
      <c r="D852" s="506" t="s">
        <v>3052</v>
      </c>
      <c r="E852" s="509" t="str">
        <f>IF('GPS Anthro Tool'!$B$4=1,"North America CPSC","")</f>
        <v>North America CPSC</v>
      </c>
      <c r="F852" s="507" t="s">
        <v>4316</v>
      </c>
      <c r="G852" s="506" t="s">
        <v>4259</v>
      </c>
      <c r="H852" s="507" t="s">
        <v>3130</v>
      </c>
      <c r="I852" s="507"/>
      <c r="J852" s="533" t="s">
        <v>3960</v>
      </c>
      <c r="K852" s="527" t="s">
        <v>315</v>
      </c>
      <c r="L852" s="526" t="s">
        <v>315</v>
      </c>
      <c r="M852" s="527" t="s">
        <v>315</v>
      </c>
      <c r="N852" s="528" t="s">
        <v>315</v>
      </c>
      <c r="O852" s="663"/>
      <c r="P852" s="529"/>
      <c r="Q852" s="531"/>
      <c r="R852" s="530"/>
      <c r="S852" s="530" t="s">
        <v>315</v>
      </c>
      <c r="T852" s="566"/>
    </row>
    <row r="853" spans="1:20" s="508" customFormat="1" ht="60" hidden="1">
      <c r="A853" s="518"/>
      <c r="B853" s="506" t="str">
        <f>IF(SUM('Easy Buttons'!$L$3:$M$4)&gt;0,"Infant Carrier","")</f>
        <v>Infant Carrier</v>
      </c>
      <c r="C853" s="507" t="s">
        <v>3095</v>
      </c>
      <c r="D853" s="506" t="s">
        <v>3052</v>
      </c>
      <c r="E853" s="509" t="str">
        <f>IF('GPS Anthro Tool'!$B$4=1,"North America CPSC","")</f>
        <v>North America CPSC</v>
      </c>
      <c r="F853" s="507" t="s">
        <v>4316</v>
      </c>
      <c r="G853" s="506" t="s">
        <v>4259</v>
      </c>
      <c r="H853" s="507" t="s">
        <v>3131</v>
      </c>
      <c r="I853" s="507"/>
      <c r="J853" s="533" t="s">
        <v>3960</v>
      </c>
      <c r="K853" s="527" t="s">
        <v>315</v>
      </c>
      <c r="L853" s="526" t="s">
        <v>315</v>
      </c>
      <c r="M853" s="527" t="s">
        <v>315</v>
      </c>
      <c r="N853" s="528" t="s">
        <v>315</v>
      </c>
      <c r="O853" s="663"/>
      <c r="P853" s="529"/>
      <c r="Q853" s="531"/>
      <c r="R853" s="530"/>
      <c r="S853" s="530" t="s">
        <v>315</v>
      </c>
      <c r="T853" s="566"/>
    </row>
    <row r="854" spans="1:20" s="508" customFormat="1" ht="30" hidden="1">
      <c r="A854" s="518"/>
      <c r="B854" s="506" t="str">
        <f>IF(SUM('Easy Buttons'!$L$3:$M$4)&gt;0,"Infant Carrier","")</f>
        <v>Infant Carrier</v>
      </c>
      <c r="C854" s="507" t="s">
        <v>3095</v>
      </c>
      <c r="D854" s="506" t="s">
        <v>3052</v>
      </c>
      <c r="E854" s="509" t="str">
        <f>IF('GPS Anthro Tool'!$B$4=1,"North America CPSC","")</f>
        <v>North America CPSC</v>
      </c>
      <c r="F854" s="507" t="s">
        <v>4316</v>
      </c>
      <c r="G854" s="506" t="s">
        <v>4259</v>
      </c>
      <c r="H854" s="507" t="s">
        <v>3132</v>
      </c>
      <c r="I854" s="507"/>
      <c r="J854" s="533" t="s">
        <v>3960</v>
      </c>
      <c r="K854" s="527" t="s">
        <v>315</v>
      </c>
      <c r="L854" s="526" t="s">
        <v>315</v>
      </c>
      <c r="M854" s="527" t="s">
        <v>315</v>
      </c>
      <c r="N854" s="528" t="s">
        <v>315</v>
      </c>
      <c r="O854" s="663"/>
      <c r="P854" s="529"/>
      <c r="Q854" s="531"/>
      <c r="R854" s="530"/>
      <c r="S854" s="530" t="s">
        <v>315</v>
      </c>
      <c r="T854" s="566"/>
    </row>
    <row r="855" spans="1:20" s="508" customFormat="1" ht="270" hidden="1">
      <c r="A855" s="518"/>
      <c r="B855" s="506" t="str">
        <f>IF(SUM('Easy Buttons'!$L$3:$M$4)&gt;0,"Infant Carrier","")</f>
        <v>Infant Carrier</v>
      </c>
      <c r="C855" s="507" t="s">
        <v>3095</v>
      </c>
      <c r="D855" s="506" t="s">
        <v>3052</v>
      </c>
      <c r="E855" s="509" t="str">
        <f>IF('GPS Anthro Tool'!$B$4=1,"North America CPSC","")</f>
        <v>North America CPSC</v>
      </c>
      <c r="F855" s="507" t="s">
        <v>4316</v>
      </c>
      <c r="G855" s="506" t="s">
        <v>4259</v>
      </c>
      <c r="H855" s="507" t="s">
        <v>3133</v>
      </c>
      <c r="I855" s="507"/>
      <c r="J855" s="533" t="s">
        <v>3960</v>
      </c>
      <c r="K855" s="527" t="s">
        <v>315</v>
      </c>
      <c r="L855" s="526" t="s">
        <v>315</v>
      </c>
      <c r="M855" s="527" t="s">
        <v>315</v>
      </c>
      <c r="N855" s="528" t="s">
        <v>315</v>
      </c>
      <c r="O855" s="663"/>
      <c r="P855" s="529"/>
      <c r="Q855" s="531"/>
      <c r="R855" s="530"/>
      <c r="S855" s="530" t="s">
        <v>315</v>
      </c>
      <c r="T855" s="566"/>
    </row>
    <row r="856" spans="1:20" s="508" customFormat="1" ht="225" hidden="1">
      <c r="A856" s="518"/>
      <c r="B856" s="506" t="str">
        <f>IF(SUM('Easy Buttons'!$L$3:$M$4)&gt;0,"Infant Carrier","")</f>
        <v>Infant Carrier</v>
      </c>
      <c r="C856" s="507" t="s">
        <v>3095</v>
      </c>
      <c r="D856" s="506" t="s">
        <v>3052</v>
      </c>
      <c r="E856" s="509" t="str">
        <f>IF('GPS Anthro Tool'!$B$4=1,"North America CPSC","")</f>
        <v>North America CPSC</v>
      </c>
      <c r="F856" s="507" t="s">
        <v>4316</v>
      </c>
      <c r="G856" s="506" t="s">
        <v>4259</v>
      </c>
      <c r="H856" s="507" t="s">
        <v>3134</v>
      </c>
      <c r="I856" s="507"/>
      <c r="J856" s="533" t="s">
        <v>3960</v>
      </c>
      <c r="K856" s="527" t="s">
        <v>315</v>
      </c>
      <c r="L856" s="526" t="s">
        <v>315</v>
      </c>
      <c r="M856" s="527" t="s">
        <v>315</v>
      </c>
      <c r="N856" s="528" t="s">
        <v>315</v>
      </c>
      <c r="O856" s="663"/>
      <c r="P856" s="529"/>
      <c r="Q856" s="531"/>
      <c r="R856" s="530"/>
      <c r="S856" s="530" t="s">
        <v>315</v>
      </c>
      <c r="T856" s="566"/>
    </row>
    <row r="857" spans="1:20" s="508" customFormat="1" ht="120" hidden="1">
      <c r="A857" s="518"/>
      <c r="B857" s="506" t="str">
        <f>IF(SUM('Easy Buttons'!$L$3:$M$4)&gt;0,"Infant Carrier","")</f>
        <v>Infant Carrier</v>
      </c>
      <c r="C857" s="507" t="s">
        <v>3095</v>
      </c>
      <c r="D857" s="506" t="s">
        <v>3052</v>
      </c>
      <c r="E857" s="509" t="str">
        <f>IF('GPS Anthro Tool'!$B$4=1,"North America CPSC","")</f>
        <v>North America CPSC</v>
      </c>
      <c r="F857" s="507" t="s">
        <v>4316</v>
      </c>
      <c r="G857" s="506" t="s">
        <v>4259</v>
      </c>
      <c r="H857" s="507" t="s">
        <v>3136</v>
      </c>
      <c r="I857" s="507"/>
      <c r="J857" s="533" t="s">
        <v>3960</v>
      </c>
      <c r="K857" s="527" t="s">
        <v>315</v>
      </c>
      <c r="L857" s="526" t="s">
        <v>315</v>
      </c>
      <c r="M857" s="527" t="s">
        <v>315</v>
      </c>
      <c r="N857" s="528" t="s">
        <v>315</v>
      </c>
      <c r="O857" s="663"/>
      <c r="P857" s="529"/>
      <c r="Q857" s="531"/>
      <c r="R857" s="530"/>
      <c r="S857" s="530" t="s">
        <v>315</v>
      </c>
      <c r="T857" s="566"/>
    </row>
    <row r="858" spans="1:20" s="508" customFormat="1" ht="120" hidden="1">
      <c r="A858" s="518"/>
      <c r="B858" s="506" t="str">
        <f>IF(SUM('Easy Buttons'!$L$3:$M$4)&gt;0,"Infant Carrier","")</f>
        <v>Infant Carrier</v>
      </c>
      <c r="C858" s="507" t="s">
        <v>3095</v>
      </c>
      <c r="D858" s="506" t="s">
        <v>3052</v>
      </c>
      <c r="E858" s="509" t="str">
        <f>IF('GPS Anthro Tool'!$B$4=1,"North America CPSC","")</f>
        <v>North America CPSC</v>
      </c>
      <c r="F858" s="507" t="s">
        <v>4316</v>
      </c>
      <c r="G858" s="506" t="s">
        <v>4259</v>
      </c>
      <c r="H858" s="507" t="s">
        <v>3137</v>
      </c>
      <c r="I858" s="507"/>
      <c r="J858" s="533" t="s">
        <v>3960</v>
      </c>
      <c r="K858" s="527" t="s">
        <v>315</v>
      </c>
      <c r="L858" s="526" t="s">
        <v>315</v>
      </c>
      <c r="M858" s="527" t="s">
        <v>315</v>
      </c>
      <c r="N858" s="528" t="s">
        <v>315</v>
      </c>
      <c r="O858" s="663"/>
      <c r="P858" s="529"/>
      <c r="Q858" s="531"/>
      <c r="R858" s="530"/>
      <c r="S858" s="530" t="s">
        <v>315</v>
      </c>
      <c r="T858" s="566"/>
    </row>
    <row r="859" spans="1:20" s="508" customFormat="1" ht="90" hidden="1">
      <c r="A859" s="518"/>
      <c r="B859" s="506" t="str">
        <f>IF(SUM('Easy Buttons'!$L$3:$M$4)&gt;0,"Infant Carrier","")</f>
        <v>Infant Carrier</v>
      </c>
      <c r="C859" s="507" t="s">
        <v>3095</v>
      </c>
      <c r="D859" s="506" t="s">
        <v>3052</v>
      </c>
      <c r="E859" s="509" t="str">
        <f>IF('GPS Anthro Tool'!$B$4=1,"North America CPSC","")</f>
        <v>North America CPSC</v>
      </c>
      <c r="F859" s="507" t="s">
        <v>4316</v>
      </c>
      <c r="G859" s="506" t="s">
        <v>4259</v>
      </c>
      <c r="H859" s="507" t="s">
        <v>3138</v>
      </c>
      <c r="I859" s="507"/>
      <c r="J859" s="533" t="s">
        <v>3960</v>
      </c>
      <c r="K859" s="527" t="s">
        <v>315</v>
      </c>
      <c r="L859" s="526" t="s">
        <v>315</v>
      </c>
      <c r="M859" s="527" t="s">
        <v>315</v>
      </c>
      <c r="N859" s="528" t="s">
        <v>315</v>
      </c>
      <c r="O859" s="663"/>
      <c r="P859" s="529"/>
      <c r="Q859" s="531"/>
      <c r="R859" s="530"/>
      <c r="S859" s="530" t="s">
        <v>315</v>
      </c>
      <c r="T859" s="566"/>
    </row>
    <row r="860" spans="1:20" s="508" customFormat="1" ht="60" hidden="1">
      <c r="A860" s="518"/>
      <c r="B860" s="506" t="str">
        <f>IF(SUM('Easy Buttons'!$L$3:$M$4)&gt;0,"Infant Carrier","")</f>
        <v>Infant Carrier</v>
      </c>
      <c r="C860" s="507" t="s">
        <v>3095</v>
      </c>
      <c r="D860" s="506" t="s">
        <v>3052</v>
      </c>
      <c r="E860" s="509" t="str">
        <f>IF('GPS Anthro Tool'!$B$4=1,"North America CPSC","")</f>
        <v>North America CPSC</v>
      </c>
      <c r="F860" s="507" t="s">
        <v>4316</v>
      </c>
      <c r="G860" s="506" t="s">
        <v>4259</v>
      </c>
      <c r="H860" s="507" t="s">
        <v>3139</v>
      </c>
      <c r="I860" s="507"/>
      <c r="J860" s="533" t="s">
        <v>3960</v>
      </c>
      <c r="K860" s="527" t="s">
        <v>315</v>
      </c>
      <c r="L860" s="526" t="s">
        <v>315</v>
      </c>
      <c r="M860" s="527" t="s">
        <v>315</v>
      </c>
      <c r="N860" s="528" t="s">
        <v>315</v>
      </c>
      <c r="O860" s="663"/>
      <c r="P860" s="529"/>
      <c r="Q860" s="531"/>
      <c r="R860" s="530"/>
      <c r="S860" s="530" t="s">
        <v>315</v>
      </c>
      <c r="T860" s="566"/>
    </row>
    <row r="861" spans="1:20" s="508" customFormat="1" ht="30" hidden="1">
      <c r="A861" s="518"/>
      <c r="B861" s="506" t="str">
        <f>IF(SUM('Easy Buttons'!$L$3:$M$4)&gt;0,"Infant Carrier","")</f>
        <v>Infant Carrier</v>
      </c>
      <c r="C861" s="507" t="s">
        <v>3095</v>
      </c>
      <c r="D861" s="506" t="s">
        <v>3052</v>
      </c>
      <c r="E861" s="509" t="str">
        <f>IF('GPS Anthro Tool'!$B$4=1,"North America CPSC","")</f>
        <v>North America CPSC</v>
      </c>
      <c r="F861" s="507" t="s">
        <v>4316</v>
      </c>
      <c r="G861" s="506" t="s">
        <v>4259</v>
      </c>
      <c r="H861" s="507" t="s">
        <v>3140</v>
      </c>
      <c r="I861" s="507"/>
      <c r="J861" s="533" t="s">
        <v>3960</v>
      </c>
      <c r="K861" s="527" t="s">
        <v>315</v>
      </c>
      <c r="L861" s="526" t="s">
        <v>315</v>
      </c>
      <c r="M861" s="527" t="s">
        <v>315</v>
      </c>
      <c r="N861" s="528" t="s">
        <v>315</v>
      </c>
      <c r="O861" s="663"/>
      <c r="P861" s="529"/>
      <c r="Q861" s="531"/>
      <c r="R861" s="530"/>
      <c r="S861" s="530" t="s">
        <v>315</v>
      </c>
      <c r="T861" s="667"/>
    </row>
    <row r="862" spans="1:20" s="508" customFormat="1" ht="255" hidden="1">
      <c r="A862" s="518"/>
      <c r="B862" s="506" t="str">
        <f>IF(SUM('Easy Buttons'!$L$3:$M$4)&gt;0,"Infant Carrier","")</f>
        <v>Infant Carrier</v>
      </c>
      <c r="C862" s="507" t="s">
        <v>3095</v>
      </c>
      <c r="D862" s="506" t="s">
        <v>3052</v>
      </c>
      <c r="E862" s="509" t="str">
        <f>IF('GPS Anthro Tool'!$B$4=1,"North America CPSC","")</f>
        <v>North America CPSC</v>
      </c>
      <c r="F862" s="507" t="s">
        <v>4316</v>
      </c>
      <c r="G862" s="506" t="s">
        <v>4259</v>
      </c>
      <c r="H862" s="507" t="s">
        <v>3141</v>
      </c>
      <c r="I862" s="507"/>
      <c r="J862" s="533" t="s">
        <v>3960</v>
      </c>
      <c r="K862" s="527" t="s">
        <v>315</v>
      </c>
      <c r="L862" s="526" t="s">
        <v>315</v>
      </c>
      <c r="M862" s="527" t="s">
        <v>315</v>
      </c>
      <c r="N862" s="528" t="s">
        <v>315</v>
      </c>
      <c r="O862" s="663"/>
      <c r="P862" s="529"/>
      <c r="Q862" s="531"/>
      <c r="R862" s="530"/>
      <c r="S862" s="530" t="s">
        <v>315</v>
      </c>
      <c r="T862" s="667"/>
    </row>
    <row r="863" spans="1:20" s="508" customFormat="1" ht="135" hidden="1">
      <c r="A863" s="518"/>
      <c r="B863" s="506" t="str">
        <f>IF(SUM('Easy Buttons'!$L$3:$M$4)&gt;0,"Infant Carrier","")</f>
        <v>Infant Carrier</v>
      </c>
      <c r="C863" s="507" t="s">
        <v>3095</v>
      </c>
      <c r="D863" s="506" t="s">
        <v>3052</v>
      </c>
      <c r="E863" s="509" t="str">
        <f>IF('GPS Anthro Tool'!$B$4=1,"North America CPSC","")</f>
        <v>North America CPSC</v>
      </c>
      <c r="F863" s="507" t="s">
        <v>4316</v>
      </c>
      <c r="G863" s="506" t="s">
        <v>4259</v>
      </c>
      <c r="H863" s="507" t="s">
        <v>3142</v>
      </c>
      <c r="I863" s="507"/>
      <c r="J863" s="533" t="s">
        <v>3960</v>
      </c>
      <c r="K863" s="527" t="s">
        <v>315</v>
      </c>
      <c r="L863" s="526" t="s">
        <v>315</v>
      </c>
      <c r="M863" s="527" t="s">
        <v>315</v>
      </c>
      <c r="N863" s="528" t="s">
        <v>315</v>
      </c>
      <c r="O863" s="663"/>
      <c r="P863" s="529"/>
      <c r="Q863" s="531"/>
      <c r="R863" s="530"/>
      <c r="S863" s="530" t="s">
        <v>315</v>
      </c>
      <c r="T863" s="667"/>
    </row>
    <row r="864" spans="1:20" s="508" customFormat="1" ht="30" hidden="1">
      <c r="A864" s="518"/>
      <c r="B864" s="506" t="str">
        <f>IF(SUM('Easy Buttons'!$L$3:$M$4)&gt;0,"Infant Carrier","")</f>
        <v>Infant Carrier</v>
      </c>
      <c r="C864" s="507" t="s">
        <v>3082</v>
      </c>
      <c r="D864" s="506" t="s">
        <v>3052</v>
      </c>
      <c r="E864" s="509" t="str">
        <f>IF('GPS Anthro Tool'!$B$4=1,"North America CPSC","")</f>
        <v>North America CPSC</v>
      </c>
      <c r="F864" s="507" t="s">
        <v>4316</v>
      </c>
      <c r="G864" s="506" t="s">
        <v>3083</v>
      </c>
      <c r="H864" s="507" t="s">
        <v>3084</v>
      </c>
      <c r="I864" s="507"/>
      <c r="J864" s="533" t="s">
        <v>3960</v>
      </c>
      <c r="K864" s="527" t="s">
        <v>315</v>
      </c>
      <c r="L864" s="526" t="s">
        <v>315</v>
      </c>
      <c r="M864" s="527" t="s">
        <v>315</v>
      </c>
      <c r="N864" s="528" t="s">
        <v>315</v>
      </c>
      <c r="O864" s="663"/>
      <c r="P864" s="529"/>
      <c r="Q864" s="531"/>
      <c r="R864" s="530"/>
      <c r="S864" s="530" t="s">
        <v>315</v>
      </c>
      <c r="T864" s="667"/>
    </row>
    <row r="865" spans="1:20" s="508" customFormat="1" ht="45" hidden="1">
      <c r="A865" s="518"/>
      <c r="B865" s="506" t="str">
        <f>IF(SUM('Easy Buttons'!$L$3:$M$4)&gt;0,"Infant Carrier","")</f>
        <v>Infant Carrier</v>
      </c>
      <c r="C865" s="507" t="s">
        <v>3082</v>
      </c>
      <c r="D865" s="506" t="s">
        <v>3052</v>
      </c>
      <c r="E865" s="509" t="str">
        <f>IF('GPS Anthro Tool'!$B$4=1,"North America CPSC","")</f>
        <v>North America CPSC</v>
      </c>
      <c r="F865" s="507" t="s">
        <v>4316</v>
      </c>
      <c r="G865" s="506" t="s">
        <v>3085</v>
      </c>
      <c r="H865" s="507" t="s">
        <v>3086</v>
      </c>
      <c r="I865" s="507"/>
      <c r="J865" s="533" t="s">
        <v>3960</v>
      </c>
      <c r="K865" s="527" t="s">
        <v>315</v>
      </c>
      <c r="L865" s="526" t="s">
        <v>315</v>
      </c>
      <c r="M865" s="527" t="s">
        <v>315</v>
      </c>
      <c r="N865" s="528" t="s">
        <v>315</v>
      </c>
      <c r="O865" s="663"/>
      <c r="P865" s="529"/>
      <c r="Q865" s="531"/>
      <c r="R865" s="530"/>
      <c r="S865" s="530" t="s">
        <v>315</v>
      </c>
      <c r="T865" s="667"/>
    </row>
    <row r="866" spans="1:20" s="508" customFormat="1" ht="75" hidden="1">
      <c r="A866" s="518"/>
      <c r="B866" s="506" t="str">
        <f>IF(SUM('Easy Buttons'!$L$3:$M$4)&gt;0,"Infant Carrier","")</f>
        <v>Infant Carrier</v>
      </c>
      <c r="C866" s="507" t="s">
        <v>3082</v>
      </c>
      <c r="D866" s="506" t="s">
        <v>3052</v>
      </c>
      <c r="E866" s="509" t="str">
        <f>IF('GPS Anthro Tool'!$B$4=1,"North America CPSC","")</f>
        <v>North America CPSC</v>
      </c>
      <c r="F866" s="507" t="s">
        <v>4316</v>
      </c>
      <c r="G866" s="506" t="s">
        <v>3085</v>
      </c>
      <c r="H866" s="507" t="s">
        <v>3087</v>
      </c>
      <c r="I866" s="507"/>
      <c r="J866" s="533" t="s">
        <v>3960</v>
      </c>
      <c r="K866" s="527" t="s">
        <v>315</v>
      </c>
      <c r="L866" s="526" t="s">
        <v>315</v>
      </c>
      <c r="M866" s="527" t="s">
        <v>315</v>
      </c>
      <c r="N866" s="528" t="s">
        <v>315</v>
      </c>
      <c r="O866" s="663"/>
      <c r="P866" s="529"/>
      <c r="Q866" s="531"/>
      <c r="R866" s="530"/>
      <c r="S866" s="530" t="s">
        <v>315</v>
      </c>
      <c r="T866" s="667"/>
    </row>
    <row r="867" spans="1:20" s="508" customFormat="1" ht="45" hidden="1">
      <c r="A867" s="518"/>
      <c r="B867" s="506" t="str">
        <f>IF(SUM('Easy Buttons'!$L$3:$M$4)&gt;0,"Infant Carrier","")</f>
        <v>Infant Carrier</v>
      </c>
      <c r="C867" s="507" t="s">
        <v>3082</v>
      </c>
      <c r="D867" s="506" t="s">
        <v>3052</v>
      </c>
      <c r="E867" s="509" t="str">
        <f>IF('GPS Anthro Tool'!$B$4=1,"North America CPSC","")</f>
        <v>North America CPSC</v>
      </c>
      <c r="F867" s="507" t="s">
        <v>4316</v>
      </c>
      <c r="G867" s="506" t="s">
        <v>4260</v>
      </c>
      <c r="H867" s="507" t="s">
        <v>3088</v>
      </c>
      <c r="I867" s="507"/>
      <c r="J867" s="533" t="s">
        <v>3960</v>
      </c>
      <c r="K867" s="527" t="s">
        <v>315</v>
      </c>
      <c r="L867" s="526" t="s">
        <v>315</v>
      </c>
      <c r="M867" s="527" t="s">
        <v>315</v>
      </c>
      <c r="N867" s="528" t="s">
        <v>315</v>
      </c>
      <c r="O867" s="663"/>
      <c r="P867" s="529"/>
      <c r="Q867" s="531"/>
      <c r="R867" s="530"/>
      <c r="S867" s="530" t="s">
        <v>315</v>
      </c>
      <c r="T867" s="566"/>
    </row>
    <row r="868" spans="1:20" s="508" customFormat="1" ht="105" hidden="1">
      <c r="A868" s="518"/>
      <c r="B868" s="506" t="str">
        <f>IF(SUM('Easy Buttons'!$L$3:$M$4)&gt;0,"Infant Carrier","")</f>
        <v>Infant Carrier</v>
      </c>
      <c r="C868" s="507" t="s">
        <v>3082</v>
      </c>
      <c r="D868" s="506" t="s">
        <v>3052</v>
      </c>
      <c r="E868" s="509" t="str">
        <f>IF('GPS Anthro Tool'!$B$4=1,"North America CPSC","")</f>
        <v>North America CPSC</v>
      </c>
      <c r="F868" s="507" t="s">
        <v>4316</v>
      </c>
      <c r="G868" s="506" t="s">
        <v>4260</v>
      </c>
      <c r="H868" s="507" t="s">
        <v>3164</v>
      </c>
      <c r="I868" s="507"/>
      <c r="J868" s="533" t="s">
        <v>3960</v>
      </c>
      <c r="K868" s="527" t="s">
        <v>315</v>
      </c>
      <c r="L868" s="526" t="s">
        <v>315</v>
      </c>
      <c r="M868" s="527" t="s">
        <v>315</v>
      </c>
      <c r="N868" s="528" t="s">
        <v>315</v>
      </c>
      <c r="O868" s="663"/>
      <c r="P868" s="529"/>
      <c r="Q868" s="531"/>
      <c r="R868" s="530"/>
      <c r="S868" s="530" t="s">
        <v>315</v>
      </c>
      <c r="T868" s="667"/>
    </row>
    <row r="869" spans="1:20" s="508" customFormat="1" ht="105" hidden="1">
      <c r="A869" s="518"/>
      <c r="B869" s="506" t="str">
        <f>IF(SUM('Easy Buttons'!$L$3:$M$4)&gt;0,"Infant Carrier","")</f>
        <v>Infant Carrier</v>
      </c>
      <c r="C869" s="507" t="s">
        <v>3082</v>
      </c>
      <c r="D869" s="506" t="s">
        <v>3052</v>
      </c>
      <c r="E869" s="509" t="str">
        <f>IF('GPS Anthro Tool'!$B$4=1,"North America CPSC","")</f>
        <v>North America CPSC</v>
      </c>
      <c r="F869" s="507" t="s">
        <v>4316</v>
      </c>
      <c r="G869" s="506" t="s">
        <v>4260</v>
      </c>
      <c r="H869" s="507" t="s">
        <v>3165</v>
      </c>
      <c r="I869" s="507"/>
      <c r="J869" s="533" t="s">
        <v>3960</v>
      </c>
      <c r="K869" s="527" t="s">
        <v>315</v>
      </c>
      <c r="L869" s="526" t="s">
        <v>315</v>
      </c>
      <c r="M869" s="527" t="s">
        <v>315</v>
      </c>
      <c r="N869" s="528" t="s">
        <v>315</v>
      </c>
      <c r="O869" s="663"/>
      <c r="P869" s="529"/>
      <c r="Q869" s="531"/>
      <c r="R869" s="530"/>
      <c r="S869" s="530" t="s">
        <v>315</v>
      </c>
      <c r="T869" s="566"/>
    </row>
    <row r="870" spans="1:20" s="508" customFormat="1" ht="75" hidden="1">
      <c r="A870" s="518"/>
      <c r="B870" s="506" t="str">
        <f>IF(SUM('Easy Buttons'!$L$3:$M$4)&gt;0,"Infant Carrier","")</f>
        <v>Infant Carrier</v>
      </c>
      <c r="C870" s="507" t="s">
        <v>3082</v>
      </c>
      <c r="D870" s="506" t="s">
        <v>3052</v>
      </c>
      <c r="E870" s="509" t="str">
        <f>IF('GPS Anthro Tool'!$B$4=1,"North America CPSC","")</f>
        <v>North America CPSC</v>
      </c>
      <c r="F870" s="507" t="s">
        <v>4316</v>
      </c>
      <c r="G870" s="506" t="s">
        <v>4260</v>
      </c>
      <c r="H870" s="507" t="s">
        <v>3166</v>
      </c>
      <c r="I870" s="507"/>
      <c r="J870" s="533" t="s">
        <v>3960</v>
      </c>
      <c r="K870" s="527" t="s">
        <v>315</v>
      </c>
      <c r="L870" s="526" t="s">
        <v>315</v>
      </c>
      <c r="M870" s="527" t="s">
        <v>315</v>
      </c>
      <c r="N870" s="528" t="s">
        <v>315</v>
      </c>
      <c r="O870" s="663"/>
      <c r="P870" s="529"/>
      <c r="Q870" s="531"/>
      <c r="R870" s="530"/>
      <c r="S870" s="530" t="s">
        <v>315</v>
      </c>
      <c r="T870" s="667"/>
    </row>
    <row r="871" spans="1:20" s="508" customFormat="1" ht="30" hidden="1">
      <c r="A871" s="518"/>
      <c r="B871" s="506" t="str">
        <f>IF(SUM('Easy Buttons'!$L$3:$M$4)&gt;0,"Infant Carrier","")</f>
        <v>Infant Carrier</v>
      </c>
      <c r="C871" s="507" t="s">
        <v>3082</v>
      </c>
      <c r="D871" s="506" t="s">
        <v>3052</v>
      </c>
      <c r="E871" s="509" t="str">
        <f>IF('GPS Anthro Tool'!$B$4=1,"North America CPSC","")</f>
        <v>North America CPSC</v>
      </c>
      <c r="F871" s="507" t="s">
        <v>4316</v>
      </c>
      <c r="G871" s="506" t="s">
        <v>4260</v>
      </c>
      <c r="H871" s="507" t="s">
        <v>3167</v>
      </c>
      <c r="I871" s="507"/>
      <c r="J871" s="533" t="s">
        <v>3960</v>
      </c>
      <c r="K871" s="527" t="s">
        <v>315</v>
      </c>
      <c r="L871" s="526" t="s">
        <v>315</v>
      </c>
      <c r="M871" s="527" t="s">
        <v>315</v>
      </c>
      <c r="N871" s="528" t="s">
        <v>315</v>
      </c>
      <c r="O871" s="663"/>
      <c r="P871" s="529"/>
      <c r="Q871" s="531"/>
      <c r="R871" s="530"/>
      <c r="S871" s="530" t="s">
        <v>315</v>
      </c>
      <c r="T871" s="667"/>
    </row>
    <row r="872" spans="1:20" s="508" customFormat="1" ht="30" hidden="1">
      <c r="A872" s="518"/>
      <c r="B872" s="506" t="str">
        <f>IF(SUM('Easy Buttons'!$L$3:$M$4)&gt;0,"Infant Carrier","")</f>
        <v>Infant Carrier</v>
      </c>
      <c r="C872" s="507" t="s">
        <v>3082</v>
      </c>
      <c r="D872" s="506" t="s">
        <v>3052</v>
      </c>
      <c r="E872" s="509" t="str">
        <f>IF('GPS Anthro Tool'!$B$4=1,"North America CPSC","")</f>
        <v>North America CPSC</v>
      </c>
      <c r="F872" s="507" t="s">
        <v>4316</v>
      </c>
      <c r="G872" s="506" t="s">
        <v>4260</v>
      </c>
      <c r="H872" s="507" t="s">
        <v>3168</v>
      </c>
      <c r="I872" s="507"/>
      <c r="J872" s="533" t="s">
        <v>3960</v>
      </c>
      <c r="K872" s="527" t="s">
        <v>315</v>
      </c>
      <c r="L872" s="526" t="s">
        <v>315</v>
      </c>
      <c r="M872" s="527" t="s">
        <v>315</v>
      </c>
      <c r="N872" s="528" t="s">
        <v>315</v>
      </c>
      <c r="O872" s="663"/>
      <c r="P872" s="529"/>
      <c r="Q872" s="531"/>
      <c r="R872" s="530"/>
      <c r="S872" s="530" t="s">
        <v>315</v>
      </c>
      <c r="T872" s="667"/>
    </row>
    <row r="873" spans="1:20" s="508" customFormat="1" ht="30" hidden="1">
      <c r="A873" s="518"/>
      <c r="B873" s="506" t="str">
        <f>IF(SUM('Easy Buttons'!$L$3:$M$4)&gt;0,"Infant Carrier","")</f>
        <v>Infant Carrier</v>
      </c>
      <c r="C873" s="507" t="s">
        <v>3082</v>
      </c>
      <c r="D873" s="506" t="s">
        <v>3052</v>
      </c>
      <c r="E873" s="509" t="str">
        <f>IF('GPS Anthro Tool'!$B$4=1,"North America CPSC","")</f>
        <v>North America CPSC</v>
      </c>
      <c r="F873" s="507" t="s">
        <v>4316</v>
      </c>
      <c r="G873" s="506" t="s">
        <v>4260</v>
      </c>
      <c r="H873" s="507" t="s">
        <v>3169</v>
      </c>
      <c r="I873" s="507"/>
      <c r="J873" s="533" t="s">
        <v>3960</v>
      </c>
      <c r="K873" s="527" t="s">
        <v>315</v>
      </c>
      <c r="L873" s="526" t="s">
        <v>315</v>
      </c>
      <c r="M873" s="527" t="s">
        <v>315</v>
      </c>
      <c r="N873" s="528" t="s">
        <v>315</v>
      </c>
      <c r="O873" s="663"/>
      <c r="P873" s="529"/>
      <c r="Q873" s="531"/>
      <c r="R873" s="530"/>
      <c r="S873" s="530" t="s">
        <v>315</v>
      </c>
      <c r="T873" s="667"/>
    </row>
    <row r="874" spans="1:20" s="508" customFormat="1" ht="60" hidden="1">
      <c r="A874" s="518"/>
      <c r="B874" s="506" t="str">
        <f>IF(SUM('Easy Buttons'!$L$3:$M$4)&gt;0,"Infant Carrier","")</f>
        <v>Infant Carrier</v>
      </c>
      <c r="C874" s="507" t="s">
        <v>3082</v>
      </c>
      <c r="D874" s="506" t="s">
        <v>3052</v>
      </c>
      <c r="E874" s="509" t="str">
        <f>IF('GPS Anthro Tool'!$B$4=1,"North America CPSC","")</f>
        <v>North America CPSC</v>
      </c>
      <c r="F874" s="507" t="s">
        <v>4316</v>
      </c>
      <c r="G874" s="506" t="s">
        <v>4260</v>
      </c>
      <c r="H874" s="507" t="s">
        <v>3170</v>
      </c>
      <c r="I874" s="507"/>
      <c r="J874" s="533" t="s">
        <v>3960</v>
      </c>
      <c r="K874" s="527" t="s">
        <v>315</v>
      </c>
      <c r="L874" s="526" t="s">
        <v>315</v>
      </c>
      <c r="M874" s="527" t="s">
        <v>315</v>
      </c>
      <c r="N874" s="528" t="s">
        <v>315</v>
      </c>
      <c r="O874" s="663"/>
      <c r="P874" s="529"/>
      <c r="Q874" s="531"/>
      <c r="R874" s="530"/>
      <c r="S874" s="530" t="s">
        <v>315</v>
      </c>
      <c r="T874" s="667"/>
    </row>
    <row r="875" spans="1:20" s="508" customFormat="1" ht="90" hidden="1">
      <c r="A875" s="690"/>
      <c r="B875" s="506" t="str">
        <f>IF(SUM('Easy Buttons'!$L$3:$M$4)&gt;0,"Infant Carrier","")</f>
        <v>Infant Carrier</v>
      </c>
      <c r="C875" s="507" t="s">
        <v>3082</v>
      </c>
      <c r="D875" s="506" t="s">
        <v>3052</v>
      </c>
      <c r="E875" s="509" t="str">
        <f>IF('GPS Anthro Tool'!$B$4=1,"North America CPSC","")</f>
        <v>North America CPSC</v>
      </c>
      <c r="F875" s="507" t="s">
        <v>4316</v>
      </c>
      <c r="G875" s="506" t="s">
        <v>4260</v>
      </c>
      <c r="H875" s="507" t="s">
        <v>3171</v>
      </c>
      <c r="I875" s="507"/>
      <c r="J875" s="533" t="s">
        <v>3960</v>
      </c>
      <c r="K875" s="527" t="s">
        <v>315</v>
      </c>
      <c r="L875" s="526" t="s">
        <v>315</v>
      </c>
      <c r="M875" s="527" t="s">
        <v>315</v>
      </c>
      <c r="N875" s="528" t="s">
        <v>315</v>
      </c>
      <c r="O875" s="663"/>
      <c r="P875" s="529"/>
      <c r="Q875" s="531"/>
      <c r="R875" s="530"/>
      <c r="S875" s="530" t="s">
        <v>315</v>
      </c>
      <c r="T875" s="667"/>
    </row>
    <row r="876" spans="1:20" s="508" customFormat="1" ht="30" hidden="1">
      <c r="A876" s="690"/>
      <c r="B876" s="506" t="str">
        <f>IF(SUM('Easy Buttons'!$L$3:$M$4)&gt;0,"Infant Carrier","")</f>
        <v>Infant Carrier</v>
      </c>
      <c r="C876" s="507" t="s">
        <v>3071</v>
      </c>
      <c r="D876" s="506" t="s">
        <v>3052</v>
      </c>
      <c r="E876" s="509" t="str">
        <f>IF('GPS Anthro Tool'!$B$4=1,"North America CPSC","")</f>
        <v>North America CPSC</v>
      </c>
      <c r="F876" s="507" t="s">
        <v>4316</v>
      </c>
      <c r="G876" s="506" t="s">
        <v>3072</v>
      </c>
      <c r="H876" s="507" t="s">
        <v>3073</v>
      </c>
      <c r="I876" s="507"/>
      <c r="J876" s="533" t="s">
        <v>3960</v>
      </c>
      <c r="K876" s="527" t="s">
        <v>315</v>
      </c>
      <c r="L876" s="526" t="s">
        <v>315</v>
      </c>
      <c r="M876" s="527" t="s">
        <v>315</v>
      </c>
      <c r="N876" s="528" t="s">
        <v>315</v>
      </c>
      <c r="O876" s="663"/>
      <c r="P876" s="529"/>
      <c r="Q876" s="531"/>
      <c r="R876" s="530"/>
      <c r="S876" s="530" t="s">
        <v>315</v>
      </c>
      <c r="T876" s="566"/>
    </row>
    <row r="877" spans="1:20" s="508" customFormat="1" ht="75" hidden="1">
      <c r="A877" s="690"/>
      <c r="B877" s="506" t="str">
        <f>IF(SUM('Easy Buttons'!$L$3:$M$4)&gt;0,"Infant Carrier","")</f>
        <v>Infant Carrier</v>
      </c>
      <c r="C877" s="507" t="s">
        <v>3176</v>
      </c>
      <c r="D877" s="506" t="s">
        <v>3052</v>
      </c>
      <c r="E877" s="509" t="str">
        <f>IF('GPS Anthro Tool'!$B$4=1,"North America CPSC","")</f>
        <v>North America CPSC</v>
      </c>
      <c r="F877" s="507" t="s">
        <v>4316</v>
      </c>
      <c r="G877" s="506" t="s">
        <v>3177</v>
      </c>
      <c r="H877" s="507" t="s">
        <v>3178</v>
      </c>
      <c r="I877" s="507"/>
      <c r="J877" s="533" t="s">
        <v>3960</v>
      </c>
      <c r="K877" s="527" t="s">
        <v>315</v>
      </c>
      <c r="L877" s="526" t="s">
        <v>315</v>
      </c>
      <c r="M877" s="527" t="s">
        <v>315</v>
      </c>
      <c r="N877" s="528" t="s">
        <v>315</v>
      </c>
      <c r="O877" s="663"/>
      <c r="P877" s="529"/>
      <c r="Q877" s="531"/>
      <c r="R877" s="530"/>
      <c r="S877" s="530" t="s">
        <v>315</v>
      </c>
      <c r="T877" s="667"/>
    </row>
    <row r="878" spans="1:20" s="508" customFormat="1" ht="120" hidden="1">
      <c r="A878" s="690"/>
      <c r="B878" s="506" t="str">
        <f>IF(SUM('Easy Buttons'!$L$3:$M$4)&gt;0,"Infant Carrier","")</f>
        <v>Infant Carrier</v>
      </c>
      <c r="C878" s="507" t="s">
        <v>3176</v>
      </c>
      <c r="D878" s="506" t="s">
        <v>3052</v>
      </c>
      <c r="E878" s="509" t="str">
        <f>IF('GPS Anthro Tool'!$B$4=1,"North America CPSC","")</f>
        <v>North America CPSC</v>
      </c>
      <c r="F878" s="507" t="s">
        <v>4316</v>
      </c>
      <c r="G878" s="506" t="s">
        <v>3177</v>
      </c>
      <c r="H878" s="507" t="s">
        <v>3179</v>
      </c>
      <c r="I878" s="507"/>
      <c r="J878" s="533" t="s">
        <v>3960</v>
      </c>
      <c r="K878" s="527" t="s">
        <v>315</v>
      </c>
      <c r="L878" s="526" t="s">
        <v>315</v>
      </c>
      <c r="M878" s="527" t="s">
        <v>315</v>
      </c>
      <c r="N878" s="528" t="s">
        <v>315</v>
      </c>
      <c r="O878" s="663"/>
      <c r="P878" s="529"/>
      <c r="Q878" s="531"/>
      <c r="R878" s="530"/>
      <c r="S878" s="530" t="s">
        <v>315</v>
      </c>
      <c r="T878" s="667"/>
    </row>
    <row r="879" spans="1:20" s="508" customFormat="1" ht="90" hidden="1">
      <c r="A879" s="690"/>
      <c r="B879" s="506" t="str">
        <f>IF(SUM('Easy Buttons'!$L$3:$M$4)&gt;0,"Infant Carrier","")</f>
        <v>Infant Carrier</v>
      </c>
      <c r="C879" s="507" t="s">
        <v>3176</v>
      </c>
      <c r="D879" s="506" t="s">
        <v>3052</v>
      </c>
      <c r="E879" s="509" t="str">
        <f>IF('GPS Anthro Tool'!$B$4=1,"North America CPSC","")</f>
        <v>North America CPSC</v>
      </c>
      <c r="F879" s="507" t="s">
        <v>4316</v>
      </c>
      <c r="G879" s="506" t="s">
        <v>3177</v>
      </c>
      <c r="H879" s="507" t="s">
        <v>3180</v>
      </c>
      <c r="I879" s="507"/>
      <c r="J879" s="533" t="s">
        <v>3960</v>
      </c>
      <c r="K879" s="527" t="s">
        <v>315</v>
      </c>
      <c r="L879" s="526" t="s">
        <v>315</v>
      </c>
      <c r="M879" s="527" t="s">
        <v>315</v>
      </c>
      <c r="N879" s="528" t="s">
        <v>315</v>
      </c>
      <c r="O879" s="663"/>
      <c r="P879" s="529"/>
      <c r="Q879" s="531"/>
      <c r="R879" s="530"/>
      <c r="S879" s="530" t="s">
        <v>315</v>
      </c>
      <c r="T879" s="667"/>
    </row>
    <row r="880" spans="1:20" s="508" customFormat="1" ht="75" hidden="1">
      <c r="A880" s="690"/>
      <c r="B880" s="506" t="str">
        <f>IF(SUM('Easy Buttons'!$L$3:$M$4)&gt;0,"Infant Carrier","")</f>
        <v>Infant Carrier</v>
      </c>
      <c r="C880" s="507" t="s">
        <v>3176</v>
      </c>
      <c r="D880" s="506" t="s">
        <v>3052</v>
      </c>
      <c r="E880" s="509" t="str">
        <f>IF('GPS Anthro Tool'!$B$4=1,"North America CPSC","")</f>
        <v>North America CPSC</v>
      </c>
      <c r="F880" s="507" t="s">
        <v>4316</v>
      </c>
      <c r="G880" s="506" t="s">
        <v>3181</v>
      </c>
      <c r="H880" s="507" t="s">
        <v>3182</v>
      </c>
      <c r="I880" s="507"/>
      <c r="J880" s="533" t="s">
        <v>3960</v>
      </c>
      <c r="K880" s="527" t="s">
        <v>315</v>
      </c>
      <c r="L880" s="526" t="s">
        <v>315</v>
      </c>
      <c r="M880" s="527" t="s">
        <v>315</v>
      </c>
      <c r="N880" s="528" t="s">
        <v>315</v>
      </c>
      <c r="O880" s="663"/>
      <c r="P880" s="529"/>
      <c r="Q880" s="531"/>
      <c r="R880" s="530"/>
      <c r="S880" s="530" t="s">
        <v>315</v>
      </c>
      <c r="T880" s="667"/>
    </row>
    <row r="881" spans="1:20" s="508" customFormat="1" ht="90" hidden="1">
      <c r="A881" s="690"/>
      <c r="B881" s="506" t="str">
        <f>IF(SUM('Easy Buttons'!$L$3:$M$4)&gt;0,"Infant Carrier","")</f>
        <v>Infant Carrier</v>
      </c>
      <c r="C881" s="507" t="s">
        <v>3176</v>
      </c>
      <c r="D881" s="506" t="s">
        <v>3052</v>
      </c>
      <c r="E881" s="509" t="str">
        <f>IF('GPS Anthro Tool'!$B$4=1,"North America CPSC","")</f>
        <v>North America CPSC</v>
      </c>
      <c r="F881" s="507" t="s">
        <v>4316</v>
      </c>
      <c r="G881" s="506" t="s">
        <v>3181</v>
      </c>
      <c r="H881" s="507" t="s">
        <v>3183</v>
      </c>
      <c r="I881" s="507"/>
      <c r="J881" s="533" t="s">
        <v>3960</v>
      </c>
      <c r="K881" s="527" t="s">
        <v>315</v>
      </c>
      <c r="L881" s="526" t="s">
        <v>315</v>
      </c>
      <c r="M881" s="527" t="s">
        <v>315</v>
      </c>
      <c r="N881" s="528" t="s">
        <v>315</v>
      </c>
      <c r="O881" s="663"/>
      <c r="P881" s="529"/>
      <c r="Q881" s="531"/>
      <c r="R881" s="530"/>
      <c r="S881" s="530" t="s">
        <v>315</v>
      </c>
      <c r="T881" s="667"/>
    </row>
    <row r="882" spans="1:20" s="508" customFormat="1" ht="45" hidden="1">
      <c r="A882" s="690"/>
      <c r="B882" s="506" t="str">
        <f>IF(SUM('Easy Buttons'!$L$3:$M$4)&gt;0,"Infant Carrier","")</f>
        <v>Infant Carrier</v>
      </c>
      <c r="C882" s="507" t="s">
        <v>3176</v>
      </c>
      <c r="D882" s="506" t="s">
        <v>3052</v>
      </c>
      <c r="E882" s="509" t="str">
        <f>IF('GPS Anthro Tool'!$B$4=1,"North America CPSC","")</f>
        <v>North America CPSC</v>
      </c>
      <c r="F882" s="507" t="s">
        <v>4316</v>
      </c>
      <c r="G882" s="506" t="s">
        <v>3184</v>
      </c>
      <c r="H882" s="507" t="s">
        <v>3185</v>
      </c>
      <c r="I882" s="507"/>
      <c r="J882" s="533" t="s">
        <v>3960</v>
      </c>
      <c r="K882" s="527" t="s">
        <v>315</v>
      </c>
      <c r="L882" s="526" t="s">
        <v>315</v>
      </c>
      <c r="M882" s="527" t="s">
        <v>315</v>
      </c>
      <c r="N882" s="528" t="s">
        <v>315</v>
      </c>
      <c r="O882" s="663"/>
      <c r="P882" s="529"/>
      <c r="Q882" s="531"/>
      <c r="R882" s="530"/>
      <c r="S882" s="530" t="s">
        <v>315</v>
      </c>
      <c r="T882" s="667"/>
    </row>
    <row r="883" spans="1:20" s="508" customFormat="1" ht="45" hidden="1">
      <c r="A883" s="690"/>
      <c r="B883" s="506" t="str">
        <f>IF(SUM('Easy Buttons'!$L$3:$M$4)&gt;0,"Infant Carrier","")</f>
        <v>Infant Carrier</v>
      </c>
      <c r="C883" s="507" t="s">
        <v>3176</v>
      </c>
      <c r="D883" s="506" t="s">
        <v>3052</v>
      </c>
      <c r="E883" s="509" t="str">
        <f>IF('GPS Anthro Tool'!$B$4=1,"North America CPSC","")</f>
        <v>North America CPSC</v>
      </c>
      <c r="F883" s="507" t="s">
        <v>4316</v>
      </c>
      <c r="G883" s="506" t="s">
        <v>3186</v>
      </c>
      <c r="H883" s="507" t="s">
        <v>3187</v>
      </c>
      <c r="I883" s="507"/>
      <c r="J883" s="533" t="s">
        <v>3960</v>
      </c>
      <c r="K883" s="527" t="s">
        <v>315</v>
      </c>
      <c r="L883" s="526" t="s">
        <v>315</v>
      </c>
      <c r="M883" s="527" t="s">
        <v>315</v>
      </c>
      <c r="N883" s="528" t="s">
        <v>315</v>
      </c>
      <c r="O883" s="663"/>
      <c r="P883" s="529"/>
      <c r="Q883" s="531"/>
      <c r="R883" s="530"/>
      <c r="S883" s="530" t="s">
        <v>315</v>
      </c>
      <c r="T883" s="667"/>
    </row>
    <row r="884" spans="1:20" s="508" customFormat="1" ht="60" hidden="1">
      <c r="A884" s="690"/>
      <c r="B884" s="506" t="str">
        <f>IF(SUM('Easy Buttons'!$L$3:$M$4)&gt;0,"Infant Carrier","")</f>
        <v>Infant Carrier</v>
      </c>
      <c r="C884" s="507" t="s">
        <v>3176</v>
      </c>
      <c r="D884" s="506" t="s">
        <v>3052</v>
      </c>
      <c r="E884" s="509" t="str">
        <f>IF('GPS Anthro Tool'!$B$4=1,"North America CPSC","")</f>
        <v>North America CPSC</v>
      </c>
      <c r="F884" s="507" t="s">
        <v>4316</v>
      </c>
      <c r="G884" s="506" t="s">
        <v>3188</v>
      </c>
      <c r="H884" s="507" t="s">
        <v>3189</v>
      </c>
      <c r="I884" s="507"/>
      <c r="J884" s="533" t="s">
        <v>3960</v>
      </c>
      <c r="K884" s="527" t="s">
        <v>315</v>
      </c>
      <c r="L884" s="526" t="s">
        <v>315</v>
      </c>
      <c r="M884" s="527" t="s">
        <v>315</v>
      </c>
      <c r="N884" s="528" t="s">
        <v>315</v>
      </c>
      <c r="O884" s="663"/>
      <c r="P884" s="529"/>
      <c r="Q884" s="531"/>
      <c r="R884" s="530"/>
      <c r="S884" s="530" t="s">
        <v>315</v>
      </c>
      <c r="T884" s="667"/>
    </row>
    <row r="885" spans="1:20" s="508" customFormat="1" ht="90" hidden="1">
      <c r="A885" s="690"/>
      <c r="B885" s="506" t="str">
        <f>IF(SUM('Easy Buttons'!$L$3:$M$4)&gt;0,"Infant Carrier","")</f>
        <v>Infant Carrier</v>
      </c>
      <c r="C885" s="507" t="s">
        <v>3176</v>
      </c>
      <c r="D885" s="506" t="s">
        <v>3052</v>
      </c>
      <c r="E885" s="509" t="str">
        <f>IF('GPS Anthro Tool'!$B$4=1,"North America CPSC","")</f>
        <v>North America CPSC</v>
      </c>
      <c r="F885" s="507" t="s">
        <v>4316</v>
      </c>
      <c r="G885" s="506" t="s">
        <v>3190</v>
      </c>
      <c r="H885" s="507" t="s">
        <v>3191</v>
      </c>
      <c r="I885" s="507"/>
      <c r="J885" s="533" t="s">
        <v>3960</v>
      </c>
      <c r="K885" s="527" t="s">
        <v>315</v>
      </c>
      <c r="L885" s="526" t="s">
        <v>315</v>
      </c>
      <c r="M885" s="527" t="s">
        <v>315</v>
      </c>
      <c r="N885" s="528" t="s">
        <v>315</v>
      </c>
      <c r="O885" s="663"/>
      <c r="P885" s="529"/>
      <c r="Q885" s="531"/>
      <c r="R885" s="530"/>
      <c r="S885" s="530" t="s">
        <v>315</v>
      </c>
      <c r="T885" s="667"/>
    </row>
    <row r="886" spans="1:20" s="362" customFormat="1" ht="135" hidden="1">
      <c r="A886" s="690"/>
      <c r="B886" s="506" t="str">
        <f>IF(SUM('Easy Buttons'!$L$3:$M$4)&gt;0,"Infant Carrier","")</f>
        <v>Infant Carrier</v>
      </c>
      <c r="C886" s="507" t="s">
        <v>3176</v>
      </c>
      <c r="D886" s="506" t="s">
        <v>3052</v>
      </c>
      <c r="E886" s="509" t="str">
        <f>IF('GPS Anthro Tool'!$B$4=1,"North America CPSC","")</f>
        <v>North America CPSC</v>
      </c>
      <c r="F886" s="507" t="s">
        <v>4316</v>
      </c>
      <c r="G886" s="506" t="s">
        <v>3190</v>
      </c>
      <c r="H886" s="507" t="s">
        <v>3192</v>
      </c>
      <c r="I886" s="507"/>
      <c r="J886" s="533" t="s">
        <v>3960</v>
      </c>
      <c r="K886" s="527" t="s">
        <v>315</v>
      </c>
      <c r="L886" s="526" t="s">
        <v>315</v>
      </c>
      <c r="M886" s="527" t="s">
        <v>315</v>
      </c>
      <c r="N886" s="528" t="s">
        <v>315</v>
      </c>
      <c r="O886" s="663"/>
      <c r="P886" s="529"/>
      <c r="Q886" s="531"/>
      <c r="R886" s="530"/>
      <c r="S886" s="530" t="s">
        <v>315</v>
      </c>
      <c r="T886" s="667"/>
    </row>
    <row r="887" spans="1:20" s="362" customFormat="1" ht="75" hidden="1">
      <c r="A887" s="690"/>
      <c r="B887" s="506" t="str">
        <f>IF(SUM('Easy Buttons'!$L$3:$M$4)&gt;0,"Infant Carrier","")</f>
        <v>Infant Carrier</v>
      </c>
      <c r="C887" s="507" t="s">
        <v>3176</v>
      </c>
      <c r="D887" s="506" t="s">
        <v>3052</v>
      </c>
      <c r="E887" s="509" t="str">
        <f>IF('GPS Anthro Tool'!$B$4=1,"North America CPSC","")</f>
        <v>North America CPSC</v>
      </c>
      <c r="F887" s="507" t="s">
        <v>4316</v>
      </c>
      <c r="G887" s="506" t="s">
        <v>3190</v>
      </c>
      <c r="H887" s="507" t="s">
        <v>3193</v>
      </c>
      <c r="I887" s="507"/>
      <c r="J887" s="533" t="s">
        <v>3960</v>
      </c>
      <c r="K887" s="527" t="s">
        <v>315</v>
      </c>
      <c r="L887" s="526" t="s">
        <v>315</v>
      </c>
      <c r="M887" s="527" t="s">
        <v>315</v>
      </c>
      <c r="N887" s="528" t="s">
        <v>315</v>
      </c>
      <c r="O887" s="663"/>
      <c r="P887" s="529"/>
      <c r="Q887" s="531"/>
      <c r="R887" s="530"/>
      <c r="S887" s="530" t="s">
        <v>315</v>
      </c>
      <c r="T887" s="667"/>
    </row>
    <row r="888" spans="1:20" s="508" customFormat="1" ht="45" hidden="1">
      <c r="A888" s="690"/>
      <c r="B888" s="506" t="str">
        <f>IF(SUM('Easy Buttons'!$L$3:$M$4)&gt;0,"Infant Carrier","")</f>
        <v>Infant Carrier</v>
      </c>
      <c r="C888" s="507" t="s">
        <v>3176</v>
      </c>
      <c r="D888" s="506" t="s">
        <v>3052</v>
      </c>
      <c r="E888" s="509" t="str">
        <f>IF('GPS Anthro Tool'!$B$4=1,"North America CPSC","")</f>
        <v>North America CPSC</v>
      </c>
      <c r="F888" s="507" t="s">
        <v>4316</v>
      </c>
      <c r="G888" s="506" t="s">
        <v>3190</v>
      </c>
      <c r="H888" s="507" t="s">
        <v>3194</v>
      </c>
      <c r="I888" s="507"/>
      <c r="J888" s="533" t="s">
        <v>3960</v>
      </c>
      <c r="K888" s="527" t="s">
        <v>315</v>
      </c>
      <c r="L888" s="526" t="s">
        <v>315</v>
      </c>
      <c r="M888" s="527" t="s">
        <v>315</v>
      </c>
      <c r="N888" s="528" t="s">
        <v>315</v>
      </c>
      <c r="O888" s="663"/>
      <c r="P888" s="529"/>
      <c r="Q888" s="531"/>
      <c r="R888" s="530"/>
      <c r="S888" s="530" t="s">
        <v>315</v>
      </c>
      <c r="T888" s="566"/>
    </row>
    <row r="889" spans="1:20" s="508" customFormat="1" ht="60" hidden="1">
      <c r="A889" s="690"/>
      <c r="B889" s="506" t="str">
        <f>IF(SUM('Easy Buttons'!$L$3:$M$4)&gt;0,"Infant Carrier","")</f>
        <v>Infant Carrier</v>
      </c>
      <c r="C889" s="507" t="s">
        <v>3176</v>
      </c>
      <c r="D889" s="506" t="s">
        <v>3052</v>
      </c>
      <c r="E889" s="509" t="str">
        <f>IF('GPS Anthro Tool'!$B$4=1,"North America CPSC","")</f>
        <v>North America CPSC</v>
      </c>
      <c r="F889" s="507" t="s">
        <v>4316</v>
      </c>
      <c r="G889" s="506" t="s">
        <v>3190</v>
      </c>
      <c r="H889" s="507" t="s">
        <v>3195</v>
      </c>
      <c r="I889" s="507"/>
      <c r="J889" s="533" t="s">
        <v>3960</v>
      </c>
      <c r="K889" s="527" t="s">
        <v>315</v>
      </c>
      <c r="L889" s="526" t="s">
        <v>315</v>
      </c>
      <c r="M889" s="527" t="s">
        <v>315</v>
      </c>
      <c r="N889" s="528" t="s">
        <v>315</v>
      </c>
      <c r="O889" s="663"/>
      <c r="P889" s="529"/>
      <c r="Q889" s="531"/>
      <c r="R889" s="530"/>
      <c r="S889" s="530" t="s">
        <v>315</v>
      </c>
      <c r="T889" s="667"/>
    </row>
    <row r="890" spans="1:20" s="508" customFormat="1" ht="90" hidden="1">
      <c r="A890" s="690"/>
      <c r="B890" s="506" t="str">
        <f>IF(SUM('Easy Buttons'!$L$3:$M$4)&gt;0,"Infant Carrier","")</f>
        <v>Infant Carrier</v>
      </c>
      <c r="C890" s="507" t="s">
        <v>3176</v>
      </c>
      <c r="D890" s="506" t="s">
        <v>3052</v>
      </c>
      <c r="E890" s="509" t="str">
        <f>IF('GPS Anthro Tool'!$B$4=1,"North America CPSC","")</f>
        <v>North America CPSC</v>
      </c>
      <c r="F890" s="507" t="s">
        <v>4316</v>
      </c>
      <c r="G890" s="506" t="s">
        <v>3190</v>
      </c>
      <c r="H890" s="507" t="s">
        <v>3196</v>
      </c>
      <c r="I890" s="507"/>
      <c r="J890" s="533" t="s">
        <v>3960</v>
      </c>
      <c r="K890" s="527" t="s">
        <v>315</v>
      </c>
      <c r="L890" s="526" t="s">
        <v>315</v>
      </c>
      <c r="M890" s="527" t="s">
        <v>315</v>
      </c>
      <c r="N890" s="528" t="s">
        <v>315</v>
      </c>
      <c r="O890" s="663"/>
      <c r="P890" s="529"/>
      <c r="Q890" s="531"/>
      <c r="R890" s="530"/>
      <c r="S890" s="530" t="s">
        <v>315</v>
      </c>
      <c r="T890" s="667"/>
    </row>
    <row r="891" spans="1:20" s="508" customFormat="1" ht="60" hidden="1">
      <c r="A891" s="690" t="s">
        <v>3529</v>
      </c>
      <c r="B891" s="506" t="str">
        <f>IF(SUM('Easy Buttons'!$L$3:$M$4)&gt;0,"Infant Carrier","")</f>
        <v>Infant Carrier</v>
      </c>
      <c r="C891" s="507" t="s">
        <v>3176</v>
      </c>
      <c r="D891" s="506" t="s">
        <v>3052</v>
      </c>
      <c r="E891" s="509" t="str">
        <f>IF('GPS Anthro Tool'!$B$4=1,"North America CPSC","")</f>
        <v>North America CPSC</v>
      </c>
      <c r="F891" s="507" t="s">
        <v>4316</v>
      </c>
      <c r="G891" s="506" t="s">
        <v>3190</v>
      </c>
      <c r="H891" s="507" t="s">
        <v>3197</v>
      </c>
      <c r="I891" s="507"/>
      <c r="J891" s="533" t="s">
        <v>3960</v>
      </c>
      <c r="K891" s="527" t="s">
        <v>315</v>
      </c>
      <c r="L891" s="526" t="s">
        <v>315</v>
      </c>
      <c r="M891" s="527" t="s">
        <v>315</v>
      </c>
      <c r="N891" s="528" t="s">
        <v>315</v>
      </c>
      <c r="O891" s="663"/>
      <c r="P891" s="529"/>
      <c r="Q891" s="531"/>
      <c r="R891" s="530"/>
      <c r="S891" s="530" t="s">
        <v>315</v>
      </c>
      <c r="T891" s="667"/>
    </row>
    <row r="892" spans="1:20" s="508" customFormat="1" ht="135" hidden="1">
      <c r="A892" s="690"/>
      <c r="B892" s="506" t="str">
        <f>IF(SUM('Easy Buttons'!$L$3:$M$4)&gt;0,"Infant Carrier","")</f>
        <v>Infant Carrier</v>
      </c>
      <c r="C892" s="507" t="s">
        <v>3176</v>
      </c>
      <c r="D892" s="506" t="s">
        <v>3052</v>
      </c>
      <c r="E892" s="509" t="str">
        <f>IF('GPS Anthro Tool'!$B$4=1,"North America CPSC","")</f>
        <v>North America CPSC</v>
      </c>
      <c r="F892" s="507" t="s">
        <v>4316</v>
      </c>
      <c r="G892" s="506" t="s">
        <v>3190</v>
      </c>
      <c r="H892" s="507" t="s">
        <v>3198</v>
      </c>
      <c r="I892" s="507"/>
      <c r="J892" s="533" t="s">
        <v>3960</v>
      </c>
      <c r="K892" s="527" t="s">
        <v>315</v>
      </c>
      <c r="L892" s="526" t="s">
        <v>315</v>
      </c>
      <c r="M892" s="527" t="s">
        <v>315</v>
      </c>
      <c r="N892" s="528" t="s">
        <v>315</v>
      </c>
      <c r="O892" s="663"/>
      <c r="P892" s="529"/>
      <c r="Q892" s="531"/>
      <c r="R892" s="530"/>
      <c r="S892" s="530" t="s">
        <v>315</v>
      </c>
      <c r="T892" s="667"/>
    </row>
    <row r="893" spans="1:20" s="508" customFormat="1" ht="60" hidden="1">
      <c r="A893" s="690" t="s">
        <v>3529</v>
      </c>
      <c r="B893" s="506" t="str">
        <f>IF(SUM('Easy Buttons'!$L$3:$M$4)&gt;0,"Infant Carrier","")</f>
        <v>Infant Carrier</v>
      </c>
      <c r="C893" s="507" t="s">
        <v>3176</v>
      </c>
      <c r="D893" s="506" t="s">
        <v>3052</v>
      </c>
      <c r="E893" s="509" t="str">
        <f>IF('GPS Anthro Tool'!$B$4=1,"North America CPSC","")</f>
        <v>North America CPSC</v>
      </c>
      <c r="F893" s="507" t="s">
        <v>4316</v>
      </c>
      <c r="G893" s="506" t="s">
        <v>3186</v>
      </c>
      <c r="H893" s="507" t="s">
        <v>3199</v>
      </c>
      <c r="I893" s="507"/>
      <c r="J893" s="533" t="s">
        <v>3960</v>
      </c>
      <c r="K893" s="527" t="s">
        <v>315</v>
      </c>
      <c r="L893" s="526" t="s">
        <v>315</v>
      </c>
      <c r="M893" s="527" t="s">
        <v>315</v>
      </c>
      <c r="N893" s="528" t="s">
        <v>315</v>
      </c>
      <c r="O893" s="663"/>
      <c r="P893" s="529"/>
      <c r="Q893" s="531"/>
      <c r="R893" s="530"/>
      <c r="S893" s="530" t="s">
        <v>315</v>
      </c>
      <c r="T893" s="667"/>
    </row>
    <row r="894" spans="1:20" s="508" customFormat="1" ht="30" hidden="1">
      <c r="A894" s="690" t="s">
        <v>3529</v>
      </c>
      <c r="B894" s="506" t="str">
        <f>IF(SUM('Easy Buttons'!$L$3:$M$4)&gt;0,"Infant Carrier","")</f>
        <v>Infant Carrier</v>
      </c>
      <c r="C894" s="507" t="s">
        <v>3176</v>
      </c>
      <c r="D894" s="506" t="s">
        <v>3052</v>
      </c>
      <c r="E894" s="509" t="str">
        <f>IF('GPS Anthro Tool'!$B$4=1,"North America CPSC","")</f>
        <v>North America CPSC</v>
      </c>
      <c r="F894" s="507" t="s">
        <v>4316</v>
      </c>
      <c r="G894" s="506" t="s">
        <v>4261</v>
      </c>
      <c r="H894" s="507" t="s">
        <v>3200</v>
      </c>
      <c r="I894" s="507"/>
      <c r="J894" s="533" t="s">
        <v>3960</v>
      </c>
      <c r="K894" s="527" t="s">
        <v>315</v>
      </c>
      <c r="L894" s="526" t="s">
        <v>315</v>
      </c>
      <c r="M894" s="527" t="s">
        <v>315</v>
      </c>
      <c r="N894" s="528" t="s">
        <v>315</v>
      </c>
      <c r="O894" s="663"/>
      <c r="P894" s="529"/>
      <c r="Q894" s="531"/>
      <c r="R894" s="530"/>
      <c r="S894" s="530" t="s">
        <v>315</v>
      </c>
      <c r="T894" s="667"/>
    </row>
    <row r="895" spans="1:20" s="508" customFormat="1" ht="45" hidden="1">
      <c r="A895" s="690"/>
      <c r="B895" s="506" t="str">
        <f>IF(SUM('Easy Buttons'!$L$3:$M$4)&gt;0,"Infant Carrier","")</f>
        <v>Infant Carrier</v>
      </c>
      <c r="C895" s="507" t="s">
        <v>3176</v>
      </c>
      <c r="D895" s="506" t="s">
        <v>3052</v>
      </c>
      <c r="E895" s="509" t="str">
        <f>IF('GPS Anthro Tool'!$B$4=1,"North America CPSC","")</f>
        <v>North America CPSC</v>
      </c>
      <c r="F895" s="507" t="s">
        <v>4316</v>
      </c>
      <c r="G895" s="506" t="s">
        <v>4261</v>
      </c>
      <c r="H895" s="507" t="s">
        <v>3201</v>
      </c>
      <c r="I895" s="507"/>
      <c r="J895" s="533" t="s">
        <v>3960</v>
      </c>
      <c r="K895" s="527" t="s">
        <v>315</v>
      </c>
      <c r="L895" s="526" t="s">
        <v>315</v>
      </c>
      <c r="M895" s="527" t="s">
        <v>315</v>
      </c>
      <c r="N895" s="528" t="s">
        <v>315</v>
      </c>
      <c r="O895" s="663"/>
      <c r="P895" s="529"/>
      <c r="Q895" s="531"/>
      <c r="R895" s="530"/>
      <c r="S895" s="530" t="s">
        <v>315</v>
      </c>
      <c r="T895" s="667"/>
    </row>
    <row r="896" spans="1:20" s="508" customFormat="1" ht="45" hidden="1">
      <c r="A896" s="690"/>
      <c r="B896" s="506" t="str">
        <f>IF(SUM('Easy Buttons'!$L$3:$M$4)&gt;0,"Infant Carrier","")</f>
        <v>Infant Carrier</v>
      </c>
      <c r="C896" s="507" t="s">
        <v>3176</v>
      </c>
      <c r="D896" s="506" t="s">
        <v>3052</v>
      </c>
      <c r="E896" s="509" t="str">
        <f>IF('GPS Anthro Tool'!$B$4=1,"North America CPSC","")</f>
        <v>North America CPSC</v>
      </c>
      <c r="F896" s="507" t="s">
        <v>4316</v>
      </c>
      <c r="G896" s="506" t="s">
        <v>4261</v>
      </c>
      <c r="H896" s="507" t="s">
        <v>3202</v>
      </c>
      <c r="I896" s="507"/>
      <c r="J896" s="533" t="s">
        <v>3960</v>
      </c>
      <c r="K896" s="527" t="s">
        <v>315</v>
      </c>
      <c r="L896" s="526" t="s">
        <v>315</v>
      </c>
      <c r="M896" s="527" t="s">
        <v>315</v>
      </c>
      <c r="N896" s="528" t="s">
        <v>315</v>
      </c>
      <c r="O896" s="663"/>
      <c r="P896" s="529"/>
      <c r="Q896" s="531"/>
      <c r="R896" s="530"/>
      <c r="S896" s="530" t="s">
        <v>315</v>
      </c>
      <c r="T896" s="667"/>
    </row>
    <row r="897" spans="1:20" s="508" customFormat="1" ht="30" hidden="1">
      <c r="A897" s="690"/>
      <c r="B897" s="506" t="str">
        <f>IF(SUM('Easy Buttons'!$L$3:$M$4)&gt;0,"Infant Carrier","")</f>
        <v>Infant Carrier</v>
      </c>
      <c r="C897" s="507" t="s">
        <v>1614</v>
      </c>
      <c r="D897" s="506" t="s">
        <v>3052</v>
      </c>
      <c r="E897" s="509" t="str">
        <f>IF('GPS Anthro Tool'!$B$4=1,"North America CPSC","")</f>
        <v>North America CPSC</v>
      </c>
      <c r="F897" s="507" t="s">
        <v>4316</v>
      </c>
      <c r="G897" s="506" t="s">
        <v>3203</v>
      </c>
      <c r="H897" s="507" t="s">
        <v>3204</v>
      </c>
      <c r="I897" s="507"/>
      <c r="J897" s="533" t="s">
        <v>3960</v>
      </c>
      <c r="K897" s="527" t="s">
        <v>315</v>
      </c>
      <c r="L897" s="526" t="s">
        <v>315</v>
      </c>
      <c r="M897" s="527" t="s">
        <v>315</v>
      </c>
      <c r="N897" s="528" t="s">
        <v>315</v>
      </c>
      <c r="O897" s="663"/>
      <c r="P897" s="529"/>
      <c r="Q897" s="531"/>
      <c r="R897" s="530"/>
      <c r="S897" s="530" t="s">
        <v>315</v>
      </c>
      <c r="T897" s="667"/>
    </row>
    <row r="898" spans="1:20" s="508" customFormat="1" ht="90" hidden="1">
      <c r="A898" s="690"/>
      <c r="B898" s="506" t="str">
        <f>IF(SUM('Easy Buttons'!$L$3:$M$4)&gt;0,"Infant Carrier","")</f>
        <v>Infant Carrier</v>
      </c>
      <c r="C898" s="507" t="s">
        <v>1614</v>
      </c>
      <c r="D898" s="506" t="s">
        <v>3052</v>
      </c>
      <c r="E898" s="509" t="str">
        <f>IF('GPS Anthro Tool'!$B$4=1,"North America CPSC","")</f>
        <v>North America CPSC</v>
      </c>
      <c r="F898" s="507" t="s">
        <v>4316</v>
      </c>
      <c r="G898" s="506" t="s">
        <v>3203</v>
      </c>
      <c r="H898" s="507" t="s">
        <v>3205</v>
      </c>
      <c r="I898" s="507"/>
      <c r="J898" s="533" t="s">
        <v>3960</v>
      </c>
      <c r="K898" s="527" t="s">
        <v>315</v>
      </c>
      <c r="L898" s="526" t="s">
        <v>315</v>
      </c>
      <c r="M898" s="527" t="s">
        <v>315</v>
      </c>
      <c r="N898" s="528" t="s">
        <v>315</v>
      </c>
      <c r="O898" s="663"/>
      <c r="P898" s="529"/>
      <c r="Q898" s="531"/>
      <c r="R898" s="530"/>
      <c r="S898" s="530" t="s">
        <v>315</v>
      </c>
      <c r="T898" s="667"/>
    </row>
    <row r="899" spans="1:20" s="508" customFormat="1" ht="120" hidden="1">
      <c r="A899" s="690"/>
      <c r="B899" s="506" t="str">
        <f>IF(SUM('Easy Buttons'!$L$3:$M$4)&gt;0,"Infant Carrier","")</f>
        <v>Infant Carrier</v>
      </c>
      <c r="C899" s="507" t="s">
        <v>1614</v>
      </c>
      <c r="D899" s="506" t="s">
        <v>3052</v>
      </c>
      <c r="E899" s="509" t="str">
        <f>IF('GPS Anthro Tool'!$B$4=1,"North America CPSC","")</f>
        <v>North America CPSC</v>
      </c>
      <c r="F899" s="507" t="s">
        <v>4316</v>
      </c>
      <c r="G899" s="506" t="s">
        <v>3181</v>
      </c>
      <c r="H899" s="507" t="s">
        <v>3206</v>
      </c>
      <c r="I899" s="507"/>
      <c r="J899" s="533" t="s">
        <v>3960</v>
      </c>
      <c r="K899" s="527" t="s">
        <v>315</v>
      </c>
      <c r="L899" s="526" t="s">
        <v>315</v>
      </c>
      <c r="M899" s="527" t="s">
        <v>315</v>
      </c>
      <c r="N899" s="528" t="s">
        <v>315</v>
      </c>
      <c r="O899" s="663"/>
      <c r="P899" s="529"/>
      <c r="Q899" s="531"/>
      <c r="R899" s="530"/>
      <c r="S899" s="530" t="s">
        <v>315</v>
      </c>
      <c r="T899" s="667"/>
    </row>
    <row r="900" spans="1:20" s="508" customFormat="1" ht="30" hidden="1">
      <c r="A900" s="690"/>
      <c r="B900" s="506" t="str">
        <f>IF(SUM('Easy Buttons'!$L$3:$M$4)&gt;0,"Infant Carrier","")</f>
        <v>Infant Carrier</v>
      </c>
      <c r="C900" s="507" t="s">
        <v>1614</v>
      </c>
      <c r="D900" s="506" t="s">
        <v>3052</v>
      </c>
      <c r="E900" s="509" t="str">
        <f>IF('GPS Anthro Tool'!$B$4=1,"North America CPSC","")</f>
        <v>North America CPSC</v>
      </c>
      <c r="F900" s="507" t="s">
        <v>4316</v>
      </c>
      <c r="G900" s="506" t="s">
        <v>3181</v>
      </c>
      <c r="H900" s="507" t="s">
        <v>3207</v>
      </c>
      <c r="I900" s="507"/>
      <c r="J900" s="533" t="s">
        <v>3960</v>
      </c>
      <c r="K900" s="527" t="s">
        <v>315</v>
      </c>
      <c r="L900" s="526" t="s">
        <v>315</v>
      </c>
      <c r="M900" s="527" t="s">
        <v>315</v>
      </c>
      <c r="N900" s="528" t="s">
        <v>315</v>
      </c>
      <c r="O900" s="663"/>
      <c r="P900" s="529"/>
      <c r="Q900" s="531"/>
      <c r="R900" s="530"/>
      <c r="S900" s="530" t="s">
        <v>315</v>
      </c>
      <c r="T900" s="667"/>
    </row>
    <row r="901" spans="1:20" s="508" customFormat="1" ht="30" hidden="1">
      <c r="A901" s="690"/>
      <c r="B901" s="506" t="str">
        <f>IF(SUM('Easy Buttons'!$L$3:$M$4)&gt;0,"Infant Carrier","")</f>
        <v>Infant Carrier</v>
      </c>
      <c r="C901" s="507" t="s">
        <v>1614</v>
      </c>
      <c r="D901" s="506" t="s">
        <v>3052</v>
      </c>
      <c r="E901" s="509" t="str">
        <f>IF('GPS Anthro Tool'!$B$4=1,"North America CPSC","")</f>
        <v>North America CPSC</v>
      </c>
      <c r="F901" s="507" t="s">
        <v>4316</v>
      </c>
      <c r="G901" s="506" t="s">
        <v>3181</v>
      </c>
      <c r="H901" s="507" t="s">
        <v>3208</v>
      </c>
      <c r="I901" s="507"/>
      <c r="J901" s="533" t="s">
        <v>3960</v>
      </c>
      <c r="K901" s="527" t="s">
        <v>315</v>
      </c>
      <c r="L901" s="526" t="s">
        <v>315</v>
      </c>
      <c r="M901" s="527" t="s">
        <v>315</v>
      </c>
      <c r="N901" s="528" t="s">
        <v>315</v>
      </c>
      <c r="O901" s="663"/>
      <c r="P901" s="529"/>
      <c r="Q901" s="531"/>
      <c r="R901" s="530"/>
      <c r="S901" s="530" t="s">
        <v>315</v>
      </c>
      <c r="T901" s="566"/>
    </row>
    <row r="902" spans="1:20" s="508" customFormat="1" ht="30" hidden="1">
      <c r="A902" s="690"/>
      <c r="B902" s="506" t="str">
        <f>IF(SUM('Easy Buttons'!$L$3:$M$4)&gt;0,"Infant Carrier","")</f>
        <v>Infant Carrier</v>
      </c>
      <c r="C902" s="507" t="s">
        <v>1614</v>
      </c>
      <c r="D902" s="506" t="s">
        <v>3052</v>
      </c>
      <c r="E902" s="509" t="str">
        <f>IF('GPS Anthro Tool'!$B$4=1,"North America CPSC","")</f>
        <v>North America CPSC</v>
      </c>
      <c r="F902" s="507" t="s">
        <v>4316</v>
      </c>
      <c r="G902" s="506" t="s">
        <v>3181</v>
      </c>
      <c r="H902" s="507" t="s">
        <v>3209</v>
      </c>
      <c r="I902" s="507"/>
      <c r="J902" s="533" t="s">
        <v>3960</v>
      </c>
      <c r="K902" s="527" t="s">
        <v>315</v>
      </c>
      <c r="L902" s="526" t="s">
        <v>315</v>
      </c>
      <c r="M902" s="527" t="s">
        <v>315</v>
      </c>
      <c r="N902" s="528" t="s">
        <v>315</v>
      </c>
      <c r="O902" s="663"/>
      <c r="P902" s="529"/>
      <c r="Q902" s="531"/>
      <c r="R902" s="530"/>
      <c r="S902" s="530" t="s">
        <v>315</v>
      </c>
      <c r="T902" s="667"/>
    </row>
    <row r="903" spans="1:20" s="508" customFormat="1" ht="30" hidden="1">
      <c r="A903" s="690"/>
      <c r="B903" s="506" t="str">
        <f>IF(SUM('Easy Buttons'!$L$3:$M$4)&gt;0,"Infant Carrier","")</f>
        <v>Infant Carrier</v>
      </c>
      <c r="C903" s="507" t="s">
        <v>1614</v>
      </c>
      <c r="D903" s="506" t="s">
        <v>3052</v>
      </c>
      <c r="E903" s="509" t="str">
        <f>IF('GPS Anthro Tool'!$B$4=1,"North America CPSC","")</f>
        <v>North America CPSC</v>
      </c>
      <c r="F903" s="507" t="s">
        <v>4316</v>
      </c>
      <c r="G903" s="506" t="s">
        <v>3181</v>
      </c>
      <c r="H903" s="507" t="s">
        <v>3210</v>
      </c>
      <c r="I903" s="507"/>
      <c r="J903" s="533" t="s">
        <v>3960</v>
      </c>
      <c r="K903" s="527" t="s">
        <v>315</v>
      </c>
      <c r="L903" s="526" t="s">
        <v>315</v>
      </c>
      <c r="M903" s="527" t="s">
        <v>315</v>
      </c>
      <c r="N903" s="528" t="s">
        <v>315</v>
      </c>
      <c r="O903" s="663"/>
      <c r="P903" s="529"/>
      <c r="Q903" s="531"/>
      <c r="R903" s="530"/>
      <c r="S903" s="530" t="s">
        <v>315</v>
      </c>
      <c r="T903" s="566"/>
    </row>
    <row r="904" spans="1:20" s="508" customFormat="1" ht="75" hidden="1">
      <c r="A904" s="690"/>
      <c r="B904" s="506" t="str">
        <f>IF(SUM('Easy Buttons'!$L$3:$M$4)&gt;0,"Infant Carrier","")</f>
        <v>Infant Carrier</v>
      </c>
      <c r="C904" s="507" t="s">
        <v>1614</v>
      </c>
      <c r="D904" s="506" t="s">
        <v>3052</v>
      </c>
      <c r="E904" s="509" t="str">
        <f>IF('GPS Anthro Tool'!$B$4=1,"North America CPSC","")</f>
        <v>North America CPSC</v>
      </c>
      <c r="F904" s="507" t="s">
        <v>4316</v>
      </c>
      <c r="G904" s="506" t="s">
        <v>3181</v>
      </c>
      <c r="H904" s="507" t="s">
        <v>3211</v>
      </c>
      <c r="I904" s="507"/>
      <c r="J904" s="533" t="s">
        <v>3960</v>
      </c>
      <c r="K904" s="645" t="s">
        <v>315</v>
      </c>
      <c r="L904" s="653" t="s">
        <v>315</v>
      </c>
      <c r="M904" s="645" t="s">
        <v>315</v>
      </c>
      <c r="N904" s="654" t="s">
        <v>315</v>
      </c>
      <c r="O904" s="663"/>
      <c r="P904" s="694"/>
      <c r="Q904" s="696"/>
      <c r="R904" s="655"/>
      <c r="S904" s="655" t="s">
        <v>315</v>
      </c>
      <c r="T904" s="697"/>
    </row>
    <row r="905" spans="1:20" s="508" customFormat="1" ht="30" hidden="1">
      <c r="A905" s="690"/>
      <c r="B905" s="506" t="str">
        <f>IF(SUM('Easy Buttons'!$L$3:$M$4)&gt;0,"Infant Carrier","")</f>
        <v>Infant Carrier</v>
      </c>
      <c r="C905" s="507" t="s">
        <v>1614</v>
      </c>
      <c r="D905" s="506" t="s">
        <v>3052</v>
      </c>
      <c r="E905" s="509" t="str">
        <f>IF('GPS Anthro Tool'!$B$4=1,"North America CPSC","")</f>
        <v>North America CPSC</v>
      </c>
      <c r="F905" s="507" t="s">
        <v>4316</v>
      </c>
      <c r="G905" s="506" t="s">
        <v>604</v>
      </c>
      <c r="H905" s="507" t="s">
        <v>3212</v>
      </c>
      <c r="I905" s="507"/>
      <c r="J905" s="533" t="s">
        <v>3960</v>
      </c>
      <c r="K905" s="649" t="s">
        <v>315</v>
      </c>
      <c r="L905" s="649" t="s">
        <v>315</v>
      </c>
      <c r="M905" s="649" t="s">
        <v>315</v>
      </c>
      <c r="N905" s="649" t="s">
        <v>315</v>
      </c>
      <c r="O905" s="663"/>
      <c r="P905" s="693"/>
      <c r="Q905" s="693"/>
      <c r="R905" s="656"/>
      <c r="S905" s="656" t="s">
        <v>315</v>
      </c>
      <c r="T905" s="518"/>
    </row>
    <row r="906" spans="1:20" s="508" customFormat="1" ht="75" hidden="1">
      <c r="A906" s="690"/>
      <c r="B906" s="506" t="str">
        <f>IF(SUM('Easy Buttons'!$L$3:$M$4)&gt;0,"Infant Carrier","")</f>
        <v>Infant Carrier</v>
      </c>
      <c r="C906" s="507" t="s">
        <v>1614</v>
      </c>
      <c r="D906" s="506" t="s">
        <v>3052</v>
      </c>
      <c r="E906" s="509" t="str">
        <f>IF('GPS Anthro Tool'!$B$4=1,"North America CPSC","")</f>
        <v>North America CPSC</v>
      </c>
      <c r="F906" s="507" t="s">
        <v>4316</v>
      </c>
      <c r="G906" s="506" t="s">
        <v>604</v>
      </c>
      <c r="H906" s="507" t="s">
        <v>3213</v>
      </c>
      <c r="I906" s="507"/>
      <c r="J906" s="533" t="s">
        <v>3960</v>
      </c>
      <c r="K906" s="649" t="s">
        <v>315</v>
      </c>
      <c r="L906" s="649" t="s">
        <v>315</v>
      </c>
      <c r="M906" s="649" t="s">
        <v>315</v>
      </c>
      <c r="N906" s="649" t="s">
        <v>315</v>
      </c>
      <c r="O906" s="663"/>
      <c r="P906" s="693"/>
      <c r="Q906" s="693"/>
      <c r="R906" s="656"/>
      <c r="S906" s="656" t="s">
        <v>315</v>
      </c>
      <c r="T906" s="518"/>
    </row>
    <row r="907" spans="1:20" s="508" customFormat="1" ht="150" hidden="1">
      <c r="A907" s="690"/>
      <c r="B907" s="506" t="str">
        <f>IF(SUM('Easy Buttons'!$L$3:$M$4)&gt;0,"Infant Carrier","")</f>
        <v>Infant Carrier</v>
      </c>
      <c r="C907" s="507" t="s">
        <v>3091</v>
      </c>
      <c r="D907" s="506" t="s">
        <v>3052</v>
      </c>
      <c r="E907" s="509" t="str">
        <f>IF('GPS Anthro Tool'!$B$4=1,"North America CPSC","")</f>
        <v>North America CPSC</v>
      </c>
      <c r="F907" s="507" t="s">
        <v>4316</v>
      </c>
      <c r="G907" s="506" t="s">
        <v>3092</v>
      </c>
      <c r="H907" s="507" t="s">
        <v>3093</v>
      </c>
      <c r="I907" s="507"/>
      <c r="J907" s="533" t="s">
        <v>3960</v>
      </c>
      <c r="K907" s="649" t="s">
        <v>315</v>
      </c>
      <c r="L907" s="649" t="s">
        <v>315</v>
      </c>
      <c r="M907" s="649" t="s">
        <v>315</v>
      </c>
      <c r="N907" s="649" t="s">
        <v>315</v>
      </c>
      <c r="O907" s="663"/>
      <c r="P907" s="693"/>
      <c r="Q907" s="693"/>
      <c r="R907" s="656"/>
      <c r="S907" s="656" t="s">
        <v>315</v>
      </c>
      <c r="T907" s="518"/>
    </row>
    <row r="908" spans="1:20" s="508" customFormat="1" ht="75" hidden="1">
      <c r="A908" s="690"/>
      <c r="B908" s="506" t="str">
        <f>IF(SUM('Easy Buttons'!$L$3:$M$4)&gt;0,"Infant Carrier","")</f>
        <v>Infant Carrier</v>
      </c>
      <c r="C908" s="507" t="s">
        <v>3091</v>
      </c>
      <c r="D908" s="506" t="s">
        <v>3052</v>
      </c>
      <c r="E908" s="509" t="str">
        <f>IF('GPS Anthro Tool'!$B$4=1,"North America CPSC","")</f>
        <v>North America CPSC</v>
      </c>
      <c r="F908" s="507" t="s">
        <v>4316</v>
      </c>
      <c r="G908" s="506" t="s">
        <v>3092</v>
      </c>
      <c r="H908" s="507" t="s">
        <v>3094</v>
      </c>
      <c r="I908" s="507"/>
      <c r="J908" s="533" t="s">
        <v>3960</v>
      </c>
      <c r="K908" s="649" t="s">
        <v>315</v>
      </c>
      <c r="L908" s="649" t="s">
        <v>315</v>
      </c>
      <c r="M908" s="649" t="s">
        <v>315</v>
      </c>
      <c r="N908" s="649" t="s">
        <v>315</v>
      </c>
      <c r="O908" s="663"/>
      <c r="P908" s="693"/>
      <c r="Q908" s="693"/>
      <c r="R908" s="656"/>
      <c r="S908" s="656" t="s">
        <v>315</v>
      </c>
      <c r="T908" s="518"/>
    </row>
    <row r="909" spans="1:20" s="508" customFormat="1" ht="75" hidden="1">
      <c r="A909" s="690"/>
      <c r="B909" s="506" t="str">
        <f>IF(SUM('Easy Buttons'!$L$3:$M$4)&gt;0,"Infant Carrier","")</f>
        <v>Infant Carrier</v>
      </c>
      <c r="C909" s="507" t="s">
        <v>3067</v>
      </c>
      <c r="D909" s="506" t="s">
        <v>3052</v>
      </c>
      <c r="E909" s="509" t="str">
        <f>IF('GPS Anthro Tool'!$B$4=1,"North America CPSC","")</f>
        <v>North America CPSC</v>
      </c>
      <c r="F909" s="507" t="s">
        <v>4316</v>
      </c>
      <c r="G909" s="506" t="s">
        <v>4262</v>
      </c>
      <c r="H909" s="507" t="s">
        <v>3068</v>
      </c>
      <c r="I909" s="507"/>
      <c r="J909" s="533" t="s">
        <v>3960</v>
      </c>
      <c r="K909" s="649" t="s">
        <v>315</v>
      </c>
      <c r="L909" s="649" t="s">
        <v>315</v>
      </c>
      <c r="M909" s="649" t="s">
        <v>315</v>
      </c>
      <c r="N909" s="649" t="s">
        <v>315</v>
      </c>
      <c r="O909" s="663"/>
      <c r="P909" s="693"/>
      <c r="Q909" s="693"/>
      <c r="R909" s="656"/>
      <c r="S909" s="656" t="s">
        <v>315</v>
      </c>
      <c r="T909" s="518"/>
    </row>
    <row r="910" spans="1:20" s="508" customFormat="1" ht="60" hidden="1">
      <c r="A910" s="690"/>
      <c r="B910" s="506" t="str">
        <f>IF(SUM('Easy Buttons'!$L$3:$M$4)&gt;0,"Infant Carrier","")</f>
        <v>Infant Carrier</v>
      </c>
      <c r="C910" s="507" t="s">
        <v>3144</v>
      </c>
      <c r="D910" s="506" t="s">
        <v>3052</v>
      </c>
      <c r="E910" s="509" t="str">
        <f>IF('GPS Anthro Tool'!$B$4=1,"North America CPSC","")</f>
        <v>North America CPSC</v>
      </c>
      <c r="F910" s="507" t="s">
        <v>4316</v>
      </c>
      <c r="G910" s="507" t="s">
        <v>4263</v>
      </c>
      <c r="H910" s="507" t="s">
        <v>3145</v>
      </c>
      <c r="I910" s="507"/>
      <c r="J910" s="533" t="s">
        <v>3960</v>
      </c>
      <c r="K910" s="649" t="s">
        <v>315</v>
      </c>
      <c r="L910" s="649" t="s">
        <v>315</v>
      </c>
      <c r="M910" s="649" t="s">
        <v>315</v>
      </c>
      <c r="N910" s="649" t="s">
        <v>315</v>
      </c>
      <c r="O910" s="663"/>
      <c r="P910" s="693"/>
      <c r="Q910" s="693"/>
      <c r="R910" s="656"/>
      <c r="S910" s="656" t="s">
        <v>315</v>
      </c>
      <c r="T910" s="518"/>
    </row>
    <row r="911" spans="1:20" s="508" customFormat="1" ht="60" hidden="1">
      <c r="A911" s="690"/>
      <c r="B911" s="506" t="str">
        <f>IF(SUM('Easy Buttons'!$L$3:$M$4)&gt;0,"Infant Carrier","")</f>
        <v>Infant Carrier</v>
      </c>
      <c r="C911" s="507" t="s">
        <v>3144</v>
      </c>
      <c r="D911" s="506" t="s">
        <v>3052</v>
      </c>
      <c r="E911" s="509" t="str">
        <f>IF('GPS Anthro Tool'!$B$4=1,"North America CPSC","")</f>
        <v>North America CPSC</v>
      </c>
      <c r="F911" s="507" t="s">
        <v>4316</v>
      </c>
      <c r="G911" s="507" t="s">
        <v>4263</v>
      </c>
      <c r="H911" s="507" t="s">
        <v>3146</v>
      </c>
      <c r="I911" s="507"/>
      <c r="J911" s="533" t="s">
        <v>3960</v>
      </c>
      <c r="K911" s="527" t="s">
        <v>315</v>
      </c>
      <c r="L911" s="526" t="s">
        <v>315</v>
      </c>
      <c r="M911" s="527" t="s">
        <v>315</v>
      </c>
      <c r="N911" s="528" t="s">
        <v>315</v>
      </c>
      <c r="O911" s="663"/>
      <c r="P911" s="529"/>
      <c r="Q911" s="531"/>
      <c r="R911" s="530"/>
      <c r="S911" s="530" t="s">
        <v>315</v>
      </c>
      <c r="T911" s="667"/>
    </row>
    <row r="912" spans="1:20" s="508" customFormat="1" ht="75" hidden="1">
      <c r="A912" s="690"/>
      <c r="B912" s="506" t="str">
        <f>IF(SUM('Easy Buttons'!$L$3:$M$4)&gt;0,"Infant Carrier","")</f>
        <v>Infant Carrier</v>
      </c>
      <c r="C912" s="507" t="s">
        <v>3144</v>
      </c>
      <c r="D912" s="506" t="s">
        <v>3052</v>
      </c>
      <c r="E912" s="509" t="str">
        <f>IF('GPS Anthro Tool'!$B$4=1,"North America CPSC","")</f>
        <v>North America CPSC</v>
      </c>
      <c r="F912" s="507" t="s">
        <v>4316</v>
      </c>
      <c r="G912" s="507" t="s">
        <v>4263</v>
      </c>
      <c r="H912" s="507" t="s">
        <v>3147</v>
      </c>
      <c r="I912" s="507"/>
      <c r="J912" s="533" t="s">
        <v>3960</v>
      </c>
      <c r="K912" s="527" t="s">
        <v>315</v>
      </c>
      <c r="L912" s="526" t="s">
        <v>315</v>
      </c>
      <c r="M912" s="527" t="s">
        <v>315</v>
      </c>
      <c r="N912" s="528" t="s">
        <v>315</v>
      </c>
      <c r="O912" s="663"/>
      <c r="P912" s="529"/>
      <c r="Q912" s="531"/>
      <c r="R912" s="530"/>
      <c r="S912" s="530" t="s">
        <v>315</v>
      </c>
      <c r="T912" s="667"/>
    </row>
    <row r="913" spans="1:20" s="508" customFormat="1" ht="105" hidden="1">
      <c r="A913" s="690"/>
      <c r="B913" s="506" t="str">
        <f>IF(SUM('Easy Buttons'!$L$3:$M$4)&gt;0,"Infant Carrier","")</f>
        <v>Infant Carrier</v>
      </c>
      <c r="C913" s="507" t="s">
        <v>3144</v>
      </c>
      <c r="D913" s="506" t="s">
        <v>3052</v>
      </c>
      <c r="E913" s="509" t="str">
        <f>IF('GPS Anthro Tool'!$B$4=1,"North America CPSC","")</f>
        <v>North America CPSC</v>
      </c>
      <c r="F913" s="507" t="s">
        <v>4316</v>
      </c>
      <c r="G913" s="507" t="s">
        <v>4263</v>
      </c>
      <c r="H913" s="507" t="s">
        <v>3148</v>
      </c>
      <c r="I913" s="507"/>
      <c r="J913" s="533" t="s">
        <v>3960</v>
      </c>
      <c r="K913" s="527" t="s">
        <v>315</v>
      </c>
      <c r="L913" s="526" t="s">
        <v>315</v>
      </c>
      <c r="M913" s="527" t="s">
        <v>315</v>
      </c>
      <c r="N913" s="528" t="s">
        <v>315</v>
      </c>
      <c r="O913" s="663"/>
      <c r="P913" s="529"/>
      <c r="Q913" s="531"/>
      <c r="R913" s="530"/>
      <c r="S913" s="530" t="s">
        <v>315</v>
      </c>
      <c r="T913" s="667"/>
    </row>
    <row r="914" spans="1:20" s="508" customFormat="1" ht="30" hidden="1">
      <c r="A914" s="690"/>
      <c r="B914" s="506" t="str">
        <f>IF(SUM('Easy Buttons'!$L$3:$M$4)&gt;0,"Infant Carrier","")</f>
        <v>Infant Carrier</v>
      </c>
      <c r="C914" s="507" t="s">
        <v>3144</v>
      </c>
      <c r="D914" s="506" t="s">
        <v>3052</v>
      </c>
      <c r="E914" s="509" t="str">
        <f>IF('GPS Anthro Tool'!$B$4=1,"North America CPSC","")</f>
        <v>North America CPSC</v>
      </c>
      <c r="F914" s="507" t="s">
        <v>4316</v>
      </c>
      <c r="G914" s="507" t="s">
        <v>4263</v>
      </c>
      <c r="H914" s="507" t="s">
        <v>3149</v>
      </c>
      <c r="I914" s="507"/>
      <c r="J914" s="533" t="s">
        <v>3960</v>
      </c>
      <c r="K914" s="527" t="s">
        <v>315</v>
      </c>
      <c r="L914" s="526" t="s">
        <v>315</v>
      </c>
      <c r="M914" s="527" t="s">
        <v>315</v>
      </c>
      <c r="N914" s="528" t="s">
        <v>315</v>
      </c>
      <c r="O914" s="663"/>
      <c r="P914" s="529"/>
      <c r="Q914" s="531"/>
      <c r="R914" s="530"/>
      <c r="S914" s="530" t="s">
        <v>315</v>
      </c>
      <c r="T914" s="667"/>
    </row>
    <row r="915" spans="1:20" s="508" customFormat="1" ht="30" hidden="1">
      <c r="A915" s="690"/>
      <c r="B915" s="506" t="str">
        <f>IF(SUM('Easy Buttons'!$L$3:$M$4)&gt;0,"Infant Carrier","")</f>
        <v>Infant Carrier</v>
      </c>
      <c r="C915" s="507" t="s">
        <v>3144</v>
      </c>
      <c r="D915" s="506" t="s">
        <v>3052</v>
      </c>
      <c r="E915" s="509" t="str">
        <f>IF('GPS Anthro Tool'!$B$4=1,"North America CPSC","")</f>
        <v>North America CPSC</v>
      </c>
      <c r="F915" s="507" t="s">
        <v>4316</v>
      </c>
      <c r="G915" s="507" t="s">
        <v>4263</v>
      </c>
      <c r="H915" s="507" t="s">
        <v>3150</v>
      </c>
      <c r="I915" s="507"/>
      <c r="J915" s="533" t="s">
        <v>3960</v>
      </c>
      <c r="K915" s="527" t="s">
        <v>315</v>
      </c>
      <c r="L915" s="526" t="s">
        <v>315</v>
      </c>
      <c r="M915" s="527" t="s">
        <v>315</v>
      </c>
      <c r="N915" s="528" t="s">
        <v>315</v>
      </c>
      <c r="O915" s="663"/>
      <c r="P915" s="529"/>
      <c r="Q915" s="531"/>
      <c r="R915" s="530"/>
      <c r="S915" s="530" t="s">
        <v>315</v>
      </c>
      <c r="T915" s="667"/>
    </row>
    <row r="916" spans="1:20" s="508" customFormat="1" ht="30" hidden="1">
      <c r="A916" s="690"/>
      <c r="B916" s="506" t="str">
        <f>IF(SUM('Easy Buttons'!$L$3:$M$4)&gt;0,"Infant Carrier","")</f>
        <v>Infant Carrier</v>
      </c>
      <c r="C916" s="507" t="s">
        <v>3144</v>
      </c>
      <c r="D916" s="506" t="s">
        <v>3052</v>
      </c>
      <c r="E916" s="509" t="str">
        <f>IF('GPS Anthro Tool'!$B$4=1,"North America CPSC","")</f>
        <v>North America CPSC</v>
      </c>
      <c r="F916" s="507" t="s">
        <v>4316</v>
      </c>
      <c r="G916" s="507" t="s">
        <v>4263</v>
      </c>
      <c r="H916" s="507" t="s">
        <v>3151</v>
      </c>
      <c r="I916" s="507"/>
      <c r="J916" s="533" t="s">
        <v>3960</v>
      </c>
      <c r="K916" s="527" t="s">
        <v>315</v>
      </c>
      <c r="L916" s="526" t="s">
        <v>315</v>
      </c>
      <c r="M916" s="527" t="s">
        <v>315</v>
      </c>
      <c r="N916" s="528" t="s">
        <v>315</v>
      </c>
      <c r="O916" s="663"/>
      <c r="P916" s="529"/>
      <c r="Q916" s="531"/>
      <c r="R916" s="530"/>
      <c r="S916" s="530" t="s">
        <v>315</v>
      </c>
      <c r="T916" s="667"/>
    </row>
    <row r="917" spans="1:20" s="508" customFormat="1" ht="45" hidden="1">
      <c r="A917" s="690"/>
      <c r="B917" s="506" t="str">
        <f>IF(SUM('Easy Buttons'!$L$3:$M$4)&gt;0,"Infant Carrier","")</f>
        <v>Infant Carrier</v>
      </c>
      <c r="C917" s="507" t="s">
        <v>3144</v>
      </c>
      <c r="D917" s="506" t="s">
        <v>3052</v>
      </c>
      <c r="E917" s="509" t="str">
        <f>IF('GPS Anthro Tool'!$B$4=1,"North America CPSC","")</f>
        <v>North America CPSC</v>
      </c>
      <c r="F917" s="507" t="s">
        <v>4316</v>
      </c>
      <c r="G917" s="507" t="s">
        <v>4263</v>
      </c>
      <c r="H917" s="507" t="s">
        <v>3152</v>
      </c>
      <c r="I917" s="507"/>
      <c r="J917" s="533" t="s">
        <v>3960</v>
      </c>
      <c r="K917" s="527" t="s">
        <v>315</v>
      </c>
      <c r="L917" s="526" t="s">
        <v>315</v>
      </c>
      <c r="M917" s="527" t="s">
        <v>315</v>
      </c>
      <c r="N917" s="528" t="s">
        <v>315</v>
      </c>
      <c r="O917" s="663"/>
      <c r="P917" s="529"/>
      <c r="Q917" s="531"/>
      <c r="R917" s="530"/>
      <c r="S917" s="530" t="s">
        <v>315</v>
      </c>
      <c r="T917" s="667"/>
    </row>
    <row r="918" spans="1:20" s="508" customFormat="1" ht="90" hidden="1">
      <c r="A918" s="690"/>
      <c r="B918" s="506" t="str">
        <f>IF(SUM('Easy Buttons'!$L$3:$M$4)&gt;0,"Infant Carrier","")</f>
        <v>Infant Carrier</v>
      </c>
      <c r="C918" s="507" t="s">
        <v>3144</v>
      </c>
      <c r="D918" s="506" t="s">
        <v>3052</v>
      </c>
      <c r="E918" s="509" t="str">
        <f>IF('GPS Anthro Tool'!$B$4=1,"North America CPSC","")</f>
        <v>North America CPSC</v>
      </c>
      <c r="F918" s="507" t="s">
        <v>4316</v>
      </c>
      <c r="G918" s="507" t="s">
        <v>4263</v>
      </c>
      <c r="H918" s="507" t="s">
        <v>3153</v>
      </c>
      <c r="I918" s="507"/>
      <c r="J918" s="533" t="s">
        <v>3960</v>
      </c>
      <c r="K918" s="527" t="s">
        <v>315</v>
      </c>
      <c r="L918" s="526" t="s">
        <v>315</v>
      </c>
      <c r="M918" s="527" t="s">
        <v>315</v>
      </c>
      <c r="N918" s="528" t="s">
        <v>315</v>
      </c>
      <c r="O918" s="663"/>
      <c r="P918" s="529"/>
      <c r="Q918" s="531"/>
      <c r="R918" s="530"/>
      <c r="S918" s="530" t="s">
        <v>315</v>
      </c>
      <c r="T918" s="667"/>
    </row>
    <row r="919" spans="1:20" s="508" customFormat="1" ht="75" hidden="1">
      <c r="A919" s="690"/>
      <c r="B919" s="506" t="str">
        <f>IF(SUM('Easy Buttons'!$L$3:$M$4)&gt;0,"Infant Carrier","")</f>
        <v>Infant Carrier</v>
      </c>
      <c r="C919" s="507" t="s">
        <v>3144</v>
      </c>
      <c r="D919" s="506" t="s">
        <v>3052</v>
      </c>
      <c r="E919" s="509" t="str">
        <f>IF('GPS Anthro Tool'!$B$4=1,"North America CPSC","")</f>
        <v>North America CPSC</v>
      </c>
      <c r="F919" s="507" t="s">
        <v>4316</v>
      </c>
      <c r="G919" s="507" t="s">
        <v>4263</v>
      </c>
      <c r="H919" s="507" t="s">
        <v>3154</v>
      </c>
      <c r="I919" s="507"/>
      <c r="J919" s="533" t="s">
        <v>3960</v>
      </c>
      <c r="K919" s="527" t="s">
        <v>315</v>
      </c>
      <c r="L919" s="526" t="s">
        <v>315</v>
      </c>
      <c r="M919" s="527" t="s">
        <v>315</v>
      </c>
      <c r="N919" s="528" t="s">
        <v>315</v>
      </c>
      <c r="O919" s="663"/>
      <c r="P919" s="529"/>
      <c r="Q919" s="531"/>
      <c r="R919" s="530"/>
      <c r="S919" s="530" t="s">
        <v>315</v>
      </c>
      <c r="T919" s="667"/>
    </row>
    <row r="920" spans="1:20" s="508" customFormat="1" ht="60" hidden="1">
      <c r="A920" s="690"/>
      <c r="B920" s="506" t="str">
        <f>IF(SUM('Easy Buttons'!$L$3:$M$4)&gt;0,"Infant Carrier","")</f>
        <v>Infant Carrier</v>
      </c>
      <c r="C920" s="507" t="s">
        <v>3144</v>
      </c>
      <c r="D920" s="506" t="s">
        <v>3052</v>
      </c>
      <c r="E920" s="509" t="str">
        <f>IF('GPS Anthro Tool'!$B$4=1,"North America CPSC","")</f>
        <v>North America CPSC</v>
      </c>
      <c r="F920" s="507" t="s">
        <v>4316</v>
      </c>
      <c r="G920" s="507" t="s">
        <v>4263</v>
      </c>
      <c r="H920" s="507" t="s">
        <v>3155</v>
      </c>
      <c r="I920" s="507"/>
      <c r="J920" s="533" t="s">
        <v>3960</v>
      </c>
      <c r="K920" s="527" t="s">
        <v>315</v>
      </c>
      <c r="L920" s="526" t="s">
        <v>315</v>
      </c>
      <c r="M920" s="527" t="s">
        <v>315</v>
      </c>
      <c r="N920" s="528" t="s">
        <v>315</v>
      </c>
      <c r="O920" s="663"/>
      <c r="P920" s="529"/>
      <c r="Q920" s="531"/>
      <c r="R920" s="530"/>
      <c r="S920" s="530" t="s">
        <v>315</v>
      </c>
      <c r="T920" s="667"/>
    </row>
    <row r="921" spans="1:20" s="508" customFormat="1" ht="75" hidden="1">
      <c r="A921" s="690"/>
      <c r="B921" s="506" t="str">
        <f>IF(SUM('Easy Buttons'!$L$3:$M$4)&gt;0,"Infant Carrier","")</f>
        <v>Infant Carrier</v>
      </c>
      <c r="C921" s="507" t="s">
        <v>3144</v>
      </c>
      <c r="D921" s="506" t="s">
        <v>3052</v>
      </c>
      <c r="E921" s="509" t="str">
        <f>IF('GPS Anthro Tool'!$B$4=1,"North America CPSC","")</f>
        <v>North America CPSC</v>
      </c>
      <c r="F921" s="507" t="s">
        <v>4316</v>
      </c>
      <c r="G921" s="507" t="s">
        <v>4263</v>
      </c>
      <c r="H921" s="507" t="s">
        <v>3156</v>
      </c>
      <c r="I921" s="507"/>
      <c r="J921" s="533" t="s">
        <v>3960</v>
      </c>
      <c r="K921" s="527" t="s">
        <v>315</v>
      </c>
      <c r="L921" s="526" t="s">
        <v>315</v>
      </c>
      <c r="M921" s="527" t="s">
        <v>315</v>
      </c>
      <c r="N921" s="528" t="s">
        <v>315</v>
      </c>
      <c r="O921" s="663"/>
      <c r="P921" s="529"/>
      <c r="Q921" s="531"/>
      <c r="R921" s="530"/>
      <c r="S921" s="530" t="s">
        <v>315</v>
      </c>
      <c r="T921" s="667"/>
    </row>
    <row r="922" spans="1:20" s="508" customFormat="1" ht="60" hidden="1">
      <c r="A922" s="690"/>
      <c r="B922" s="506" t="str">
        <f>IF(SUM('Easy Buttons'!$L$3:$M$4)&gt;0,"Infant Carrier","")</f>
        <v>Infant Carrier</v>
      </c>
      <c r="C922" s="507" t="s">
        <v>3144</v>
      </c>
      <c r="D922" s="506" t="s">
        <v>3052</v>
      </c>
      <c r="E922" s="509" t="str">
        <f>IF('GPS Anthro Tool'!$B$4=1,"North America CPSC","")</f>
        <v>North America CPSC</v>
      </c>
      <c r="F922" s="507" t="s">
        <v>4316</v>
      </c>
      <c r="G922" s="507" t="s">
        <v>4264</v>
      </c>
      <c r="H922" s="507" t="s">
        <v>3157</v>
      </c>
      <c r="I922" s="507"/>
      <c r="J922" s="533" t="s">
        <v>3960</v>
      </c>
      <c r="K922" s="527" t="s">
        <v>315</v>
      </c>
      <c r="L922" s="526" t="s">
        <v>315</v>
      </c>
      <c r="M922" s="527" t="s">
        <v>315</v>
      </c>
      <c r="N922" s="528" t="s">
        <v>315</v>
      </c>
      <c r="O922" s="663"/>
      <c r="P922" s="529"/>
      <c r="Q922" s="531"/>
      <c r="R922" s="530"/>
      <c r="S922" s="530" t="s">
        <v>315</v>
      </c>
      <c r="T922" s="667"/>
    </row>
    <row r="923" spans="1:20" s="508" customFormat="1" ht="330" hidden="1">
      <c r="A923" s="690"/>
      <c r="B923" s="506" t="str">
        <f>IF(SUM('Easy Buttons'!$L$3:$M$4)&gt;0,"Infant Carrier","")</f>
        <v>Infant Carrier</v>
      </c>
      <c r="C923" s="507" t="s">
        <v>3110</v>
      </c>
      <c r="D923" s="506" t="s">
        <v>3052</v>
      </c>
      <c r="E923" s="509" t="str">
        <f>IF('GPS Anthro Tool'!$B$4=1,"North America CPSC","")</f>
        <v>North America CPSC</v>
      </c>
      <c r="F923" s="507" t="s">
        <v>4316</v>
      </c>
      <c r="G923" s="507" t="s">
        <v>4263</v>
      </c>
      <c r="H923" s="507" t="s">
        <v>3111</v>
      </c>
      <c r="I923" s="507"/>
      <c r="J923" s="533" t="s">
        <v>3960</v>
      </c>
      <c r="K923" s="527" t="s">
        <v>315</v>
      </c>
      <c r="L923" s="526" t="s">
        <v>315</v>
      </c>
      <c r="M923" s="527" t="s">
        <v>315</v>
      </c>
      <c r="N923" s="528" t="s">
        <v>315</v>
      </c>
      <c r="O923" s="663"/>
      <c r="P923" s="529"/>
      <c r="Q923" s="531"/>
      <c r="R923" s="530"/>
      <c r="S923" s="530" t="s">
        <v>315</v>
      </c>
      <c r="T923" s="667"/>
    </row>
    <row r="924" spans="1:20" s="508" customFormat="1" ht="60" hidden="1">
      <c r="A924" s="690"/>
      <c r="B924" s="506" t="str">
        <f>IF(SUM('Easy Buttons'!$L$3:$M$4)&gt;0,"Infant Carrier","")</f>
        <v>Infant Carrier</v>
      </c>
      <c r="C924" s="507" t="s">
        <v>3110</v>
      </c>
      <c r="D924" s="506" t="s">
        <v>3052</v>
      </c>
      <c r="E924" s="509" t="str">
        <f>IF('GPS Anthro Tool'!$B$4=1,"North America CPSC","")</f>
        <v>North America CPSC</v>
      </c>
      <c r="F924" s="507" t="s">
        <v>4316</v>
      </c>
      <c r="G924" s="507" t="s">
        <v>4263</v>
      </c>
      <c r="H924" s="507" t="s">
        <v>3112</v>
      </c>
      <c r="I924" s="507"/>
      <c r="J924" s="533" t="s">
        <v>3960</v>
      </c>
      <c r="K924" s="527" t="s">
        <v>315</v>
      </c>
      <c r="L924" s="526" t="s">
        <v>315</v>
      </c>
      <c r="M924" s="527" t="s">
        <v>315</v>
      </c>
      <c r="N924" s="528" t="s">
        <v>315</v>
      </c>
      <c r="O924" s="663"/>
      <c r="P924" s="529"/>
      <c r="Q924" s="531"/>
      <c r="R924" s="530"/>
      <c r="S924" s="530" t="s">
        <v>315</v>
      </c>
      <c r="T924" s="667"/>
    </row>
    <row r="925" spans="1:20" s="508" customFormat="1" ht="60" hidden="1">
      <c r="A925" s="690"/>
      <c r="B925" s="506" t="str">
        <f>IF(SUM('Easy Buttons'!$L$3:$M$4)&gt;0,"Infant Carrier","")</f>
        <v>Infant Carrier</v>
      </c>
      <c r="C925" s="507" t="s">
        <v>3069</v>
      </c>
      <c r="D925" s="506" t="s">
        <v>3052</v>
      </c>
      <c r="E925" s="509" t="str">
        <f>IF('GPS Anthro Tool'!$B$4=1,"North America CPSC","")</f>
        <v>North America CPSC</v>
      </c>
      <c r="F925" s="507" t="s">
        <v>4316</v>
      </c>
      <c r="G925" s="506" t="s">
        <v>4265</v>
      </c>
      <c r="H925" s="507" t="s">
        <v>3070</v>
      </c>
      <c r="I925" s="507"/>
      <c r="J925" s="533" t="s">
        <v>3960</v>
      </c>
      <c r="K925" s="527" t="s">
        <v>315</v>
      </c>
      <c r="L925" s="526" t="s">
        <v>315</v>
      </c>
      <c r="M925" s="527" t="s">
        <v>315</v>
      </c>
      <c r="N925" s="528" t="s">
        <v>315</v>
      </c>
      <c r="O925" s="663"/>
      <c r="P925" s="529"/>
      <c r="Q925" s="531"/>
      <c r="R925" s="530"/>
      <c r="S925" s="530" t="s">
        <v>315</v>
      </c>
      <c r="T925" s="667"/>
    </row>
    <row r="926" spans="1:20" s="508" customFormat="1" ht="45" hidden="1">
      <c r="A926" s="690"/>
      <c r="B926" s="506" t="str">
        <f>IF(SUM('Easy Buttons'!$L$3:$M$4)&gt;0,"Infant Carrier","")</f>
        <v>Infant Carrier</v>
      </c>
      <c r="C926" s="507" t="s">
        <v>3074</v>
      </c>
      <c r="D926" s="506" t="s">
        <v>3052</v>
      </c>
      <c r="E926" s="509" t="str">
        <f>IF('GPS Anthro Tool'!$B$4=1,"North America CPSC","")</f>
        <v>North America CPSC</v>
      </c>
      <c r="F926" s="507" t="s">
        <v>4316</v>
      </c>
      <c r="G926" s="506" t="s">
        <v>4266</v>
      </c>
      <c r="H926" s="507" t="s">
        <v>3075</v>
      </c>
      <c r="I926" s="507"/>
      <c r="J926" s="533" t="s">
        <v>3960</v>
      </c>
      <c r="K926" s="527" t="s">
        <v>315</v>
      </c>
      <c r="L926" s="526" t="s">
        <v>315</v>
      </c>
      <c r="M926" s="527" t="s">
        <v>315</v>
      </c>
      <c r="N926" s="528" t="s">
        <v>315</v>
      </c>
      <c r="O926" s="663"/>
      <c r="P926" s="529"/>
      <c r="Q926" s="531"/>
      <c r="R926" s="530"/>
      <c r="S926" s="530" t="s">
        <v>315</v>
      </c>
      <c r="T926" s="667"/>
    </row>
    <row r="927" spans="1:20" s="508" customFormat="1" ht="30" hidden="1">
      <c r="A927" s="690"/>
      <c r="B927" s="506" t="str">
        <f>IF(SUM('Easy Buttons'!$L$3:$M$4)&gt;0,"Infant Carrier","")</f>
        <v>Infant Carrier</v>
      </c>
      <c r="C927" s="507" t="s">
        <v>3159</v>
      </c>
      <c r="D927" s="506" t="s">
        <v>3052</v>
      </c>
      <c r="E927" s="509" t="str">
        <f>IF('GPS Anthro Tool'!$B$4=1,"North America CPSC","")</f>
        <v>North America CPSC</v>
      </c>
      <c r="F927" s="507" t="s">
        <v>4316</v>
      </c>
      <c r="G927" s="507" t="s">
        <v>4264</v>
      </c>
      <c r="H927" s="507" t="s">
        <v>3160</v>
      </c>
      <c r="I927" s="507"/>
      <c r="J927" s="533" t="s">
        <v>3960</v>
      </c>
      <c r="K927" s="527" t="s">
        <v>315</v>
      </c>
      <c r="L927" s="526" t="s">
        <v>315</v>
      </c>
      <c r="M927" s="527" t="s">
        <v>315</v>
      </c>
      <c r="N927" s="528" t="s">
        <v>315</v>
      </c>
      <c r="O927" s="663"/>
      <c r="P927" s="529"/>
      <c r="Q927" s="531"/>
      <c r="R927" s="530"/>
      <c r="S927" s="530" t="s">
        <v>315</v>
      </c>
      <c r="T927" s="667"/>
    </row>
    <row r="928" spans="1:20" s="508" customFormat="1" ht="180" hidden="1">
      <c r="A928" s="690"/>
      <c r="B928" s="506" t="str">
        <f>IF(SUM('Easy Buttons'!$L$3:$M$4)&gt;0,"Infant Carrier","")</f>
        <v>Infant Carrier</v>
      </c>
      <c r="C928" s="507" t="s">
        <v>3159</v>
      </c>
      <c r="D928" s="506" t="s">
        <v>3052</v>
      </c>
      <c r="E928" s="509" t="str">
        <f>IF('GPS Anthro Tool'!$B$4=1,"North America CPSC","")</f>
        <v>North America CPSC</v>
      </c>
      <c r="F928" s="507" t="s">
        <v>4316</v>
      </c>
      <c r="G928" s="507" t="s">
        <v>4264</v>
      </c>
      <c r="H928" s="507" t="s">
        <v>3161</v>
      </c>
      <c r="I928" s="507"/>
      <c r="J928" s="533" t="s">
        <v>3960</v>
      </c>
      <c r="K928" s="527" t="s">
        <v>315</v>
      </c>
      <c r="L928" s="526" t="s">
        <v>315</v>
      </c>
      <c r="M928" s="527" t="s">
        <v>315</v>
      </c>
      <c r="N928" s="528" t="s">
        <v>315</v>
      </c>
      <c r="O928" s="663"/>
      <c r="P928" s="529"/>
      <c r="Q928" s="531"/>
      <c r="R928" s="530"/>
      <c r="S928" s="530" t="s">
        <v>315</v>
      </c>
      <c r="T928" s="667"/>
    </row>
    <row r="929" spans="1:20" s="508" customFormat="1" ht="60" hidden="1">
      <c r="A929" s="690"/>
      <c r="B929" s="506" t="str">
        <f>IF(SUM('Easy Buttons'!$L$3:$M$4)&gt;0,"Infant Carrier","")</f>
        <v>Infant Carrier</v>
      </c>
      <c r="C929" s="507" t="s">
        <v>3159</v>
      </c>
      <c r="D929" s="506" t="s">
        <v>3052</v>
      </c>
      <c r="E929" s="509" t="str">
        <f>IF('GPS Anthro Tool'!$B$4=1,"North America CPSC","")</f>
        <v>North America CPSC</v>
      </c>
      <c r="F929" s="507" t="s">
        <v>4316</v>
      </c>
      <c r="G929" s="507" t="s">
        <v>4264</v>
      </c>
      <c r="H929" s="507" t="s">
        <v>3162</v>
      </c>
      <c r="I929" s="507"/>
      <c r="J929" s="533" t="s">
        <v>3960</v>
      </c>
      <c r="K929" s="527" t="s">
        <v>315</v>
      </c>
      <c r="L929" s="526" t="s">
        <v>315</v>
      </c>
      <c r="M929" s="527" t="s">
        <v>315</v>
      </c>
      <c r="N929" s="528" t="s">
        <v>315</v>
      </c>
      <c r="O929" s="663"/>
      <c r="P929" s="529"/>
      <c r="Q929" s="531"/>
      <c r="R929" s="530"/>
      <c r="S929" s="530" t="s">
        <v>315</v>
      </c>
      <c r="T929" s="667"/>
    </row>
    <row r="930" spans="1:20" s="508" customFormat="1" ht="75" hidden="1">
      <c r="A930" s="690"/>
      <c r="B930" s="506" t="str">
        <f>IF(SUM('Easy Buttons'!$L$3:$M$4)&gt;0,"Infant Carrier","")</f>
        <v>Infant Carrier</v>
      </c>
      <c r="C930" s="507" t="s">
        <v>3159</v>
      </c>
      <c r="D930" s="506" t="s">
        <v>3052</v>
      </c>
      <c r="E930" s="509" t="str">
        <f>IF('GPS Anthro Tool'!$B$4=1,"North America CPSC","")</f>
        <v>North America CPSC</v>
      </c>
      <c r="F930" s="507" t="s">
        <v>4316</v>
      </c>
      <c r="G930" s="507" t="s">
        <v>4264</v>
      </c>
      <c r="H930" s="507" t="s">
        <v>3163</v>
      </c>
      <c r="I930" s="507"/>
      <c r="J930" s="533" t="s">
        <v>3960</v>
      </c>
      <c r="K930" s="527" t="s">
        <v>315</v>
      </c>
      <c r="L930" s="526" t="s">
        <v>315</v>
      </c>
      <c r="M930" s="527" t="s">
        <v>315</v>
      </c>
      <c r="N930" s="528" t="s">
        <v>315</v>
      </c>
      <c r="O930" s="663"/>
      <c r="P930" s="529"/>
      <c r="Q930" s="531"/>
      <c r="R930" s="530"/>
      <c r="S930" s="530" t="s">
        <v>315</v>
      </c>
      <c r="T930" s="667"/>
    </row>
    <row r="931" spans="1:20" s="508" customFormat="1" ht="30" hidden="1">
      <c r="A931" s="690"/>
      <c r="B931" s="506" t="str">
        <f>IF(SUM('Easy Buttons'!$L$3:$M$4)&gt;0,"Infant Carrier","")</f>
        <v>Infant Carrier</v>
      </c>
      <c r="C931" s="507" t="s">
        <v>3060</v>
      </c>
      <c r="D931" s="506" t="s">
        <v>3052</v>
      </c>
      <c r="E931" s="509" t="str">
        <f>IF('GPS Anthro Tool'!$B$4=1,"North America CPSC","")</f>
        <v>North America CPSC</v>
      </c>
      <c r="F931" s="507" t="s">
        <v>4316</v>
      </c>
      <c r="G931" s="507" t="s">
        <v>4267</v>
      </c>
      <c r="H931" s="506" t="s">
        <v>3061</v>
      </c>
      <c r="I931" s="506"/>
      <c r="J931" s="533" t="s">
        <v>3960</v>
      </c>
      <c r="K931" s="527" t="s">
        <v>315</v>
      </c>
      <c r="L931" s="526" t="s">
        <v>315</v>
      </c>
      <c r="M931" s="527" t="s">
        <v>315</v>
      </c>
      <c r="N931" s="528" t="s">
        <v>315</v>
      </c>
      <c r="O931" s="663"/>
      <c r="P931" s="529"/>
      <c r="Q931" s="531"/>
      <c r="R931" s="530"/>
      <c r="S931" s="530" t="s">
        <v>315</v>
      </c>
      <c r="T931" s="667"/>
    </row>
    <row r="932" spans="1:20" s="508" customFormat="1" ht="60" hidden="1">
      <c r="A932" s="690"/>
      <c r="B932" s="506" t="str">
        <f>IF(SUM('Easy Buttons'!$L$3:$M$4)&gt;0,"Infant Carrier","")</f>
        <v>Infant Carrier</v>
      </c>
      <c r="C932" s="507" t="s">
        <v>3060</v>
      </c>
      <c r="D932" s="506" t="s">
        <v>3052</v>
      </c>
      <c r="E932" s="509" t="str">
        <f>IF('GPS Anthro Tool'!$B$4=1,"North America CPSC","")</f>
        <v>North America CPSC</v>
      </c>
      <c r="F932" s="507" t="s">
        <v>4316</v>
      </c>
      <c r="G932" s="507" t="s">
        <v>4267</v>
      </c>
      <c r="H932" s="507" t="s">
        <v>3062</v>
      </c>
      <c r="I932" s="507"/>
      <c r="J932" s="533" t="s">
        <v>3960</v>
      </c>
      <c r="K932" s="527" t="s">
        <v>315</v>
      </c>
      <c r="L932" s="526" t="s">
        <v>315</v>
      </c>
      <c r="M932" s="527" t="s">
        <v>315</v>
      </c>
      <c r="N932" s="528" t="s">
        <v>315</v>
      </c>
      <c r="O932" s="663"/>
      <c r="P932" s="529"/>
      <c r="Q932" s="531"/>
      <c r="R932" s="530"/>
      <c r="S932" s="530" t="s">
        <v>315</v>
      </c>
      <c r="T932" s="667"/>
    </row>
    <row r="933" spans="1:20" s="508" customFormat="1" ht="60" hidden="1">
      <c r="A933" s="690"/>
      <c r="B933" s="506" t="str">
        <f>IF(SUM('Easy Buttons'!$L$3:$M$4)&gt;0,"Infant Carrier","")</f>
        <v>Infant Carrier</v>
      </c>
      <c r="C933" s="507" t="s">
        <v>3060</v>
      </c>
      <c r="D933" s="506" t="s">
        <v>3052</v>
      </c>
      <c r="E933" s="509" t="str">
        <f>IF('GPS Anthro Tool'!$B$4=1,"North America CPSC","")</f>
        <v>North America CPSC</v>
      </c>
      <c r="F933" s="507" t="s">
        <v>4316</v>
      </c>
      <c r="G933" s="507" t="s">
        <v>4267</v>
      </c>
      <c r="H933" s="507" t="s">
        <v>3063</v>
      </c>
      <c r="I933" s="507"/>
      <c r="J933" s="533" t="s">
        <v>3960</v>
      </c>
      <c r="K933" s="527" t="s">
        <v>315</v>
      </c>
      <c r="L933" s="526" t="s">
        <v>315</v>
      </c>
      <c r="M933" s="527" t="s">
        <v>315</v>
      </c>
      <c r="N933" s="528" t="s">
        <v>315</v>
      </c>
      <c r="O933" s="663"/>
      <c r="P933" s="529"/>
      <c r="Q933" s="531"/>
      <c r="R933" s="530"/>
      <c r="S933" s="530" t="s">
        <v>315</v>
      </c>
      <c r="T933" s="667"/>
    </row>
    <row r="934" spans="1:20" s="508" customFormat="1" ht="30" hidden="1">
      <c r="A934" s="518"/>
      <c r="B934" s="506" t="str">
        <f>IF(SUM('Easy Buttons'!$L$3:$M$4)&gt;0,"Infant Carrier","")</f>
        <v>Infant Carrier</v>
      </c>
      <c r="C934" s="507" t="s">
        <v>3060</v>
      </c>
      <c r="D934" s="506" t="s">
        <v>3052</v>
      </c>
      <c r="E934" s="509" t="str">
        <f>IF('GPS Anthro Tool'!$B$4=1,"North America CPSC","")</f>
        <v>North America CPSC</v>
      </c>
      <c r="F934" s="507" t="s">
        <v>4316</v>
      </c>
      <c r="G934" s="507" t="s">
        <v>4267</v>
      </c>
      <c r="H934" s="507" t="s">
        <v>3064</v>
      </c>
      <c r="I934" s="506"/>
      <c r="J934" s="533" t="s">
        <v>3960</v>
      </c>
      <c r="K934" s="527" t="s">
        <v>315</v>
      </c>
      <c r="L934" s="526" t="s">
        <v>315</v>
      </c>
      <c r="M934" s="527" t="s">
        <v>315</v>
      </c>
      <c r="N934" s="528" t="s">
        <v>315</v>
      </c>
      <c r="O934" s="663"/>
      <c r="P934" s="529"/>
      <c r="Q934" s="531"/>
      <c r="R934" s="530"/>
      <c r="S934" s="530" t="s">
        <v>315</v>
      </c>
      <c r="T934" s="667"/>
    </row>
    <row r="935" spans="1:20" s="508" customFormat="1" ht="30" hidden="1">
      <c r="A935" s="518"/>
      <c r="B935" s="506" t="str">
        <f>IF(SUM('Easy Buttons'!$L$3:$M$4)&gt;0,"Infant Carrier","")</f>
        <v>Infant Carrier</v>
      </c>
      <c r="C935" s="507" t="s">
        <v>3060</v>
      </c>
      <c r="D935" s="506" t="s">
        <v>3052</v>
      </c>
      <c r="E935" s="509" t="str">
        <f>IF('GPS Anthro Tool'!$B$4=1,"North America CPSC","")</f>
        <v>North America CPSC</v>
      </c>
      <c r="F935" s="507" t="s">
        <v>4316</v>
      </c>
      <c r="G935" s="507" t="s">
        <v>4267</v>
      </c>
      <c r="H935" s="507" t="s">
        <v>3065</v>
      </c>
      <c r="I935" s="507"/>
      <c r="J935" s="533" t="s">
        <v>3960</v>
      </c>
      <c r="K935" s="527" t="s">
        <v>315</v>
      </c>
      <c r="L935" s="526" t="s">
        <v>315</v>
      </c>
      <c r="M935" s="527" t="s">
        <v>315</v>
      </c>
      <c r="N935" s="528" t="s">
        <v>315</v>
      </c>
      <c r="O935" s="663"/>
      <c r="P935" s="529"/>
      <c r="Q935" s="531"/>
      <c r="R935" s="530"/>
      <c r="S935" s="530" t="s">
        <v>315</v>
      </c>
      <c r="T935" s="667"/>
    </row>
    <row r="936" spans="1:20" s="508" customFormat="1" ht="180" hidden="1">
      <c r="A936" s="518"/>
      <c r="B936" s="506" t="str">
        <f>IF(SUM('Easy Buttons'!$L$3:$M$4)&gt;0,"Infant Carrier","")</f>
        <v>Infant Carrier</v>
      </c>
      <c r="C936" s="507" t="s">
        <v>2105</v>
      </c>
      <c r="D936" s="506" t="s">
        <v>3052</v>
      </c>
      <c r="E936" s="509" t="str">
        <f>IF('GPS Anthro Tool'!$B$4=1,"North America CPSC","")</f>
        <v>North America CPSC</v>
      </c>
      <c r="F936" s="507" t="s">
        <v>4316</v>
      </c>
      <c r="G936" s="507" t="s">
        <v>4264</v>
      </c>
      <c r="H936" s="507" t="s">
        <v>3158</v>
      </c>
      <c r="I936" s="507"/>
      <c r="J936" s="533" t="s">
        <v>3960</v>
      </c>
      <c r="K936" s="527" t="s">
        <v>315</v>
      </c>
      <c r="L936" s="526" t="s">
        <v>315</v>
      </c>
      <c r="M936" s="527" t="s">
        <v>315</v>
      </c>
      <c r="N936" s="528" t="s">
        <v>315</v>
      </c>
      <c r="O936" s="663"/>
      <c r="P936" s="529"/>
      <c r="Q936" s="531"/>
      <c r="R936" s="530"/>
      <c r="S936" s="530" t="s">
        <v>315</v>
      </c>
      <c r="T936" s="667"/>
    </row>
    <row r="937" spans="1:20" s="508" customFormat="1" ht="90" hidden="1">
      <c r="A937" s="518"/>
      <c r="B937" s="506" t="str">
        <f>IF(SUM('Easy Buttons'!$L$3:$M$4)&gt;0,"Infant Carrier","")</f>
        <v>Infant Carrier</v>
      </c>
      <c r="C937" s="507" t="s">
        <v>3089</v>
      </c>
      <c r="D937" s="506" t="s">
        <v>3052</v>
      </c>
      <c r="E937" s="509" t="str">
        <f>IF('GPS Anthro Tool'!$B$4=1,"North America CPSC","")</f>
        <v>North America CPSC</v>
      </c>
      <c r="F937" s="507" t="s">
        <v>4316</v>
      </c>
      <c r="G937" s="507" t="s">
        <v>4268</v>
      </c>
      <c r="H937" s="507" t="s">
        <v>3090</v>
      </c>
      <c r="I937" s="507"/>
      <c r="J937" s="533" t="s">
        <v>3960</v>
      </c>
      <c r="K937" s="527" t="s">
        <v>315</v>
      </c>
      <c r="L937" s="526" t="s">
        <v>315</v>
      </c>
      <c r="M937" s="527" t="s">
        <v>315</v>
      </c>
      <c r="N937" s="528" t="s">
        <v>315</v>
      </c>
      <c r="O937" s="663"/>
      <c r="P937" s="529"/>
      <c r="Q937" s="531"/>
      <c r="R937" s="530"/>
      <c r="S937" s="530" t="s">
        <v>315</v>
      </c>
      <c r="T937" s="667"/>
    </row>
    <row r="938" spans="1:20" s="508" customFormat="1" ht="30" hidden="1">
      <c r="A938" s="518"/>
      <c r="B938" s="506" t="str">
        <f>IF(SUM('Easy Buttons'!$L$3:$M$4)&gt;0,"Infant Carrier","")</f>
        <v>Infant Carrier</v>
      </c>
      <c r="C938" s="507"/>
      <c r="D938" s="506" t="s">
        <v>3052</v>
      </c>
      <c r="E938" s="509" t="str">
        <f>IF('GPS Anthro Tool'!$B$4=1,"North America CPSC","")</f>
        <v>North America CPSC</v>
      </c>
      <c r="F938" s="507" t="s">
        <v>4316</v>
      </c>
      <c r="G938" s="507" t="s">
        <v>4263</v>
      </c>
      <c r="H938" s="507" t="s">
        <v>3135</v>
      </c>
      <c r="I938" s="507"/>
      <c r="J938" s="533" t="s">
        <v>3960</v>
      </c>
      <c r="K938" s="527" t="s">
        <v>315</v>
      </c>
      <c r="L938" s="526" t="s">
        <v>315</v>
      </c>
      <c r="M938" s="527" t="s">
        <v>315</v>
      </c>
      <c r="N938" s="528" t="s">
        <v>315</v>
      </c>
      <c r="O938" s="663"/>
      <c r="P938" s="529"/>
      <c r="Q938" s="531"/>
      <c r="R938" s="530"/>
      <c r="S938" s="530" t="s">
        <v>315</v>
      </c>
      <c r="T938" s="667"/>
    </row>
    <row r="939" spans="1:20" s="508" customFormat="1" ht="30" hidden="1">
      <c r="A939" s="518"/>
      <c r="B939" s="506" t="str">
        <f>IF(SUM('Easy Buttons'!$L$3:$M$4)&gt;0,"Infant Carrier","")</f>
        <v>Infant Carrier</v>
      </c>
      <c r="C939" s="507"/>
      <c r="D939" s="506" t="s">
        <v>3052</v>
      </c>
      <c r="E939" s="509" t="str">
        <f>IF('GPS Anthro Tool'!$B$4=1,"North America CPSC","")</f>
        <v>North America CPSC</v>
      </c>
      <c r="F939" s="507" t="s">
        <v>4316</v>
      </c>
      <c r="G939" s="507" t="s">
        <v>4263</v>
      </c>
      <c r="H939" s="507" t="s">
        <v>3143</v>
      </c>
      <c r="I939" s="507"/>
      <c r="J939" s="533" t="s">
        <v>3960</v>
      </c>
      <c r="K939" s="527" t="s">
        <v>315</v>
      </c>
      <c r="L939" s="526" t="s">
        <v>315</v>
      </c>
      <c r="M939" s="527" t="s">
        <v>315</v>
      </c>
      <c r="N939" s="528" t="s">
        <v>315</v>
      </c>
      <c r="O939" s="663"/>
      <c r="P939" s="529"/>
      <c r="Q939" s="531"/>
      <c r="R939" s="530"/>
      <c r="S939" s="530" t="s">
        <v>315</v>
      </c>
      <c r="T939" s="667"/>
    </row>
    <row r="940" spans="1:20" s="508" customFormat="1" ht="75" hidden="1">
      <c r="A940" s="518"/>
      <c r="B940" s="509" t="s">
        <v>2104</v>
      </c>
      <c r="C940" s="509" t="s">
        <v>2128</v>
      </c>
      <c r="D940" s="509" t="s">
        <v>2129</v>
      </c>
      <c r="E940" s="509" t="str">
        <f>IF('GPS Anthro Tool'!$B$4=1,"North America CPSC","")</f>
        <v>North America CPSC</v>
      </c>
      <c r="F940" s="507" t="s">
        <v>4242</v>
      </c>
      <c r="G940" s="506" t="s">
        <v>2130</v>
      </c>
      <c r="H940" s="509" t="s">
        <v>2131</v>
      </c>
      <c r="I940" s="506"/>
      <c r="J940" s="506"/>
      <c r="K940" s="535"/>
      <c r="L940" s="662"/>
      <c r="M940" s="535"/>
      <c r="N940" s="658"/>
      <c r="O940" s="663"/>
      <c r="P940" s="666"/>
      <c r="Q940" s="566"/>
      <c r="R940" s="535"/>
      <c r="S940" s="535" t="s">
        <v>1819</v>
      </c>
      <c r="T940" s="667"/>
    </row>
    <row r="941" spans="1:20" s="508" customFormat="1" ht="60" hidden="1">
      <c r="A941" s="518"/>
      <c r="B941" s="509" t="s">
        <v>2104</v>
      </c>
      <c r="C941" s="509" t="s">
        <v>2116</v>
      </c>
      <c r="D941" s="509" t="s">
        <v>2117</v>
      </c>
      <c r="E941" s="509" t="str">
        <f>IF('GPS Anthro Tool'!$B$4=1,"North America CPSC","")</f>
        <v>North America CPSC</v>
      </c>
      <c r="F941" s="507" t="s">
        <v>4316</v>
      </c>
      <c r="G941" s="506" t="s">
        <v>4269</v>
      </c>
      <c r="H941" s="509" t="s">
        <v>2118</v>
      </c>
      <c r="I941" s="506"/>
      <c r="J941" s="506"/>
      <c r="K941" s="535"/>
      <c r="L941" s="662"/>
      <c r="M941" s="535"/>
      <c r="N941" s="658"/>
      <c r="O941" s="663"/>
      <c r="P941" s="666"/>
      <c r="Q941" s="566"/>
      <c r="R941" s="535"/>
      <c r="S941" s="535" t="s">
        <v>1819</v>
      </c>
      <c r="T941" s="667"/>
    </row>
    <row r="942" spans="1:20" s="508" customFormat="1" ht="225" hidden="1">
      <c r="A942" s="518"/>
      <c r="B942" s="670" t="s">
        <v>3066</v>
      </c>
      <c r="C942" s="660" t="s">
        <v>2981</v>
      </c>
      <c r="D942" s="660" t="s">
        <v>4302</v>
      </c>
      <c r="E942" s="509" t="str">
        <f>IF('GPS Anthro Tool'!$B$4=1,"North America FMVSS","")</f>
        <v>North America FMVSS</v>
      </c>
      <c r="F942" s="506" t="s">
        <v>4246</v>
      </c>
      <c r="G942" s="506"/>
      <c r="H942" s="660" t="s">
        <v>2982</v>
      </c>
      <c r="I942" s="639"/>
      <c r="J942" s="513"/>
      <c r="K942" s="647"/>
      <c r="L942" s="526" t="s">
        <v>315</v>
      </c>
      <c r="M942" s="527" t="s">
        <v>315</v>
      </c>
      <c r="N942" s="528" t="s">
        <v>315</v>
      </c>
      <c r="O942" s="663"/>
      <c r="P942" s="529"/>
      <c r="Q942" s="531"/>
      <c r="R942" s="530"/>
      <c r="S942" s="530" t="s">
        <v>315</v>
      </c>
      <c r="T942" s="667"/>
    </row>
    <row r="943" spans="1:20" s="508" customFormat="1" ht="45" hidden="1">
      <c r="A943" s="518"/>
      <c r="B943" s="660" t="s">
        <v>3968</v>
      </c>
      <c r="C943" s="659" t="s">
        <v>2251</v>
      </c>
      <c r="D943" s="512" t="s">
        <v>2252</v>
      </c>
      <c r="E943" s="509" t="str">
        <f>IF('GPS Anthro Tool'!$B$4=1,"North America FMVSS","")</f>
        <v>North America FMVSS</v>
      </c>
      <c r="F943" s="506" t="s">
        <v>4246</v>
      </c>
      <c r="G943" s="506"/>
      <c r="H943" s="660" t="s">
        <v>2253</v>
      </c>
      <c r="I943" s="639"/>
      <c r="J943" s="513"/>
      <c r="K943" s="647"/>
      <c r="L943" s="526" t="s">
        <v>315</v>
      </c>
      <c r="M943" s="527" t="s">
        <v>315</v>
      </c>
      <c r="N943" s="528" t="s">
        <v>315</v>
      </c>
      <c r="O943" s="663"/>
      <c r="P943" s="529"/>
      <c r="Q943" s="531"/>
      <c r="R943" s="530"/>
      <c r="S943" s="530" t="s">
        <v>315</v>
      </c>
      <c r="T943" s="667"/>
    </row>
    <row r="944" spans="1:20" s="508" customFormat="1" ht="45" hidden="1">
      <c r="A944" s="518"/>
      <c r="B944" s="660" t="s">
        <v>3968</v>
      </c>
      <c r="C944" s="659" t="s">
        <v>2255</v>
      </c>
      <c r="D944" s="512" t="s">
        <v>2256</v>
      </c>
      <c r="E944" s="509" t="str">
        <f>IF('GPS Anthro Tool'!$B$4=1,"North America FMVSS","")</f>
        <v>North America FMVSS</v>
      </c>
      <c r="F944" s="506" t="s">
        <v>4246</v>
      </c>
      <c r="G944" s="506"/>
      <c r="H944" s="660" t="s">
        <v>2253</v>
      </c>
      <c r="I944" s="639"/>
      <c r="J944" s="513"/>
      <c r="K944" s="647"/>
      <c r="L944" s="526" t="s">
        <v>315</v>
      </c>
      <c r="M944" s="527" t="s">
        <v>315</v>
      </c>
      <c r="N944" s="528" t="s">
        <v>315</v>
      </c>
      <c r="O944" s="663"/>
      <c r="P944" s="529"/>
      <c r="Q944" s="531"/>
      <c r="R944" s="530"/>
      <c r="S944" s="530" t="s">
        <v>315</v>
      </c>
      <c r="T944" s="667"/>
    </row>
    <row r="945" spans="1:20" s="508" customFormat="1" ht="60" hidden="1">
      <c r="A945" s="518"/>
      <c r="B945" s="660" t="s">
        <v>3968</v>
      </c>
      <c r="C945" s="659" t="s">
        <v>3005</v>
      </c>
      <c r="D945" s="512" t="s">
        <v>2259</v>
      </c>
      <c r="E945" s="509" t="str">
        <f>IF('GPS Anthro Tool'!$B$4=1,"North America FMVSS","")</f>
        <v>North America FMVSS</v>
      </c>
      <c r="F945" s="506" t="s">
        <v>4246</v>
      </c>
      <c r="G945" s="506"/>
      <c r="H945" s="660" t="s">
        <v>2253</v>
      </c>
      <c r="I945" s="639"/>
      <c r="J945" s="513"/>
      <c r="K945" s="647"/>
      <c r="L945" s="526" t="s">
        <v>315</v>
      </c>
      <c r="M945" s="527" t="s">
        <v>315</v>
      </c>
      <c r="N945" s="528" t="s">
        <v>315</v>
      </c>
      <c r="O945" s="663"/>
      <c r="P945" s="529"/>
      <c r="Q945" s="531"/>
      <c r="R945" s="530"/>
      <c r="S945" s="530" t="s">
        <v>315</v>
      </c>
      <c r="T945" s="667"/>
    </row>
    <row r="946" spans="1:20" s="508" customFormat="1" ht="60" hidden="1">
      <c r="A946" s="518"/>
      <c r="B946" s="660" t="s">
        <v>3968</v>
      </c>
      <c r="C946" s="659" t="s">
        <v>2260</v>
      </c>
      <c r="D946" s="512" t="s">
        <v>2261</v>
      </c>
      <c r="E946" s="509" t="str">
        <f>IF('GPS Anthro Tool'!$B$4=1,"North America FMVSS","")</f>
        <v>North America FMVSS</v>
      </c>
      <c r="F946" s="506" t="s">
        <v>4246</v>
      </c>
      <c r="G946" s="506"/>
      <c r="H946" s="660" t="s">
        <v>2253</v>
      </c>
      <c r="I946" s="639"/>
      <c r="J946" s="513"/>
      <c r="K946" s="647"/>
      <c r="L946" s="526" t="s">
        <v>315</v>
      </c>
      <c r="M946" s="527" t="s">
        <v>315</v>
      </c>
      <c r="N946" s="528" t="s">
        <v>315</v>
      </c>
      <c r="O946" s="663"/>
      <c r="P946" s="529"/>
      <c r="Q946" s="531"/>
      <c r="R946" s="530"/>
      <c r="S946" s="530" t="s">
        <v>315</v>
      </c>
      <c r="T946" s="667"/>
    </row>
    <row r="947" spans="1:20" s="508" customFormat="1" ht="60" hidden="1">
      <c r="A947" s="518"/>
      <c r="B947" s="660" t="s">
        <v>3968</v>
      </c>
      <c r="C947" s="659" t="s">
        <v>3006</v>
      </c>
      <c r="D947" s="512" t="s">
        <v>2267</v>
      </c>
      <c r="E947" s="509" t="str">
        <f>IF('GPS Anthro Tool'!$B$4=1,"North America FMVSS","")</f>
        <v>North America FMVSS</v>
      </c>
      <c r="F947" s="506" t="s">
        <v>4246</v>
      </c>
      <c r="G947" s="506"/>
      <c r="H947" s="660" t="s">
        <v>2253</v>
      </c>
      <c r="I947" s="639"/>
      <c r="J947" s="513"/>
      <c r="K947" s="647"/>
      <c r="L947" s="526" t="s">
        <v>315</v>
      </c>
      <c r="M947" s="527" t="s">
        <v>315</v>
      </c>
      <c r="N947" s="528" t="s">
        <v>315</v>
      </c>
      <c r="O947" s="663"/>
      <c r="P947" s="529"/>
      <c r="Q947" s="531"/>
      <c r="R947" s="530"/>
      <c r="S947" s="530" t="s">
        <v>315</v>
      </c>
      <c r="T947" s="667"/>
    </row>
    <row r="948" spans="1:20" s="508" customFormat="1" ht="45" hidden="1">
      <c r="A948" s="518"/>
      <c r="B948" s="660" t="s">
        <v>3968</v>
      </c>
      <c r="C948" s="659" t="s">
        <v>3008</v>
      </c>
      <c r="D948" s="512" t="s">
        <v>3007</v>
      </c>
      <c r="E948" s="509" t="str">
        <f>IF('GPS Anthro Tool'!$B$4=1,"North America FMVSS","")</f>
        <v>North America FMVSS</v>
      </c>
      <c r="F948" s="506" t="s">
        <v>4246</v>
      </c>
      <c r="G948" s="506"/>
      <c r="H948" s="660" t="s">
        <v>2253</v>
      </c>
      <c r="I948" s="639"/>
      <c r="J948" s="513"/>
      <c r="K948" s="647"/>
      <c r="L948" s="526" t="s">
        <v>315</v>
      </c>
      <c r="M948" s="527" t="s">
        <v>315</v>
      </c>
      <c r="N948" s="528" t="s">
        <v>315</v>
      </c>
      <c r="O948" s="663"/>
      <c r="P948" s="529"/>
      <c r="Q948" s="531"/>
      <c r="R948" s="530"/>
      <c r="S948" s="530" t="s">
        <v>315</v>
      </c>
      <c r="T948" s="667"/>
    </row>
    <row r="949" spans="1:20" s="508" customFormat="1" ht="60" hidden="1">
      <c r="A949" s="518"/>
      <c r="B949" s="670" t="s">
        <v>3965</v>
      </c>
      <c r="C949" s="659" t="s">
        <v>2995</v>
      </c>
      <c r="D949" s="660" t="s">
        <v>2994</v>
      </c>
      <c r="E949" s="509" t="str">
        <f>IF('GPS Anthro Tool'!$B$4=1,"North America FMVSS","")</f>
        <v>North America FMVSS</v>
      </c>
      <c r="F949" s="506" t="s">
        <v>4246</v>
      </c>
      <c r="G949" s="506"/>
      <c r="H949" s="659" t="s">
        <v>3993</v>
      </c>
      <c r="I949" s="639"/>
      <c r="J949" s="513"/>
      <c r="K949" s="647"/>
      <c r="L949" s="526" t="s">
        <v>315</v>
      </c>
      <c r="M949" s="527" t="s">
        <v>315</v>
      </c>
      <c r="N949" s="528" t="s">
        <v>315</v>
      </c>
      <c r="O949" s="663"/>
      <c r="P949" s="529"/>
      <c r="Q949" s="531"/>
      <c r="R949" s="530"/>
      <c r="S949" s="530" t="s">
        <v>315</v>
      </c>
      <c r="T949" s="667"/>
    </row>
    <row r="950" spans="1:20" s="508" customFormat="1" ht="45" hidden="1">
      <c r="A950" s="518"/>
      <c r="B950" s="660" t="s">
        <v>3968</v>
      </c>
      <c r="C950" s="659" t="s">
        <v>2270</v>
      </c>
      <c r="D950" s="512" t="s">
        <v>2271</v>
      </c>
      <c r="E950" s="509" t="str">
        <f>IF('GPS Anthro Tool'!$B$4=1,"North America FMVSS","")</f>
        <v>North America FMVSS</v>
      </c>
      <c r="F950" s="506" t="s">
        <v>4246</v>
      </c>
      <c r="G950" s="506"/>
      <c r="H950" s="660" t="s">
        <v>2253</v>
      </c>
      <c r="I950" s="639"/>
      <c r="J950" s="513"/>
      <c r="K950" s="647"/>
      <c r="L950" s="526" t="s">
        <v>315</v>
      </c>
      <c r="M950" s="527" t="s">
        <v>315</v>
      </c>
      <c r="N950" s="528" t="s">
        <v>315</v>
      </c>
      <c r="O950" s="663"/>
      <c r="P950" s="529"/>
      <c r="Q950" s="531"/>
      <c r="R950" s="530"/>
      <c r="S950" s="530" t="s">
        <v>315</v>
      </c>
      <c r="T950" s="667"/>
    </row>
    <row r="951" spans="1:20" s="508" customFormat="1" ht="45" hidden="1">
      <c r="A951" s="518"/>
      <c r="B951" s="670" t="s">
        <v>3967</v>
      </c>
      <c r="C951" s="659" t="s">
        <v>3002</v>
      </c>
      <c r="D951" s="660" t="s">
        <v>2235</v>
      </c>
      <c r="E951" s="509" t="str">
        <f>IF('GPS Anthro Tool'!$B$4=1,"North America FMVSS","")</f>
        <v>North America FMVSS</v>
      </c>
      <c r="F951" s="506" t="s">
        <v>4246</v>
      </c>
      <c r="G951" s="506"/>
      <c r="H951" s="659" t="s">
        <v>2237</v>
      </c>
      <c r="I951" s="639"/>
      <c r="J951" s="513"/>
      <c r="K951" s="647"/>
      <c r="L951" s="526" t="s">
        <v>315</v>
      </c>
      <c r="M951" s="527" t="s">
        <v>315</v>
      </c>
      <c r="N951" s="528" t="s">
        <v>315</v>
      </c>
      <c r="O951" s="663"/>
      <c r="P951" s="529"/>
      <c r="Q951" s="531"/>
      <c r="R951" s="530"/>
      <c r="S951" s="530" t="s">
        <v>315</v>
      </c>
      <c r="T951" s="667"/>
    </row>
    <row r="952" spans="1:20" s="508" customFormat="1" ht="45" hidden="1">
      <c r="A952" s="518"/>
      <c r="B952" s="670" t="s">
        <v>3961</v>
      </c>
      <c r="C952" s="659" t="s">
        <v>2958</v>
      </c>
      <c r="D952" s="660" t="s">
        <v>2957</v>
      </c>
      <c r="E952" s="509" t="str">
        <f>IF('GPS Anthro Tool'!$B$4=1,"North America FMVSS","")</f>
        <v>North America FMVSS</v>
      </c>
      <c r="F952" s="506" t="s">
        <v>4246</v>
      </c>
      <c r="G952" s="506"/>
      <c r="H952" s="659" t="s">
        <v>2959</v>
      </c>
      <c r="I952" s="639"/>
      <c r="J952" s="513"/>
      <c r="K952" s="647"/>
      <c r="L952" s="526" t="s">
        <v>315</v>
      </c>
      <c r="M952" s="527" t="s">
        <v>315</v>
      </c>
      <c r="N952" s="528" t="s">
        <v>315</v>
      </c>
      <c r="O952" s="663"/>
      <c r="P952" s="529"/>
      <c r="Q952" s="531"/>
      <c r="R952" s="530"/>
      <c r="S952" s="530" t="s">
        <v>315</v>
      </c>
      <c r="T952" s="667"/>
    </row>
    <row r="953" spans="1:20" s="508" customFormat="1" ht="75" hidden="1">
      <c r="A953" s="518"/>
      <c r="B953" s="670" t="s">
        <v>2036</v>
      </c>
      <c r="C953" s="660" t="s">
        <v>2036</v>
      </c>
      <c r="D953" s="660" t="s">
        <v>2957</v>
      </c>
      <c r="E953" s="509" t="str">
        <f>IF('GPS Anthro Tool'!$B$4=1,"North America FMVSS","")</f>
        <v>North America FMVSS</v>
      </c>
      <c r="F953" s="506" t="s">
        <v>4246</v>
      </c>
      <c r="G953" s="506"/>
      <c r="H953" s="660" t="s">
        <v>2038</v>
      </c>
      <c r="I953" s="639"/>
      <c r="J953" s="513"/>
      <c r="K953" s="647"/>
      <c r="L953" s="526" t="s">
        <v>315</v>
      </c>
      <c r="M953" s="527" t="s">
        <v>315</v>
      </c>
      <c r="N953" s="528" t="s">
        <v>315</v>
      </c>
      <c r="O953" s="663"/>
      <c r="P953" s="529"/>
      <c r="Q953" s="531"/>
      <c r="R953" s="530"/>
      <c r="S953" s="530" t="s">
        <v>315</v>
      </c>
      <c r="T953" s="667"/>
    </row>
    <row r="954" spans="1:20" s="508" customFormat="1" ht="60" hidden="1">
      <c r="A954" s="518"/>
      <c r="B954" s="660" t="s">
        <v>3968</v>
      </c>
      <c r="C954" s="659" t="s">
        <v>3038</v>
      </c>
      <c r="D954" s="660" t="s">
        <v>3036</v>
      </c>
      <c r="E954" s="509" t="str">
        <f>IF('GPS Anthro Tool'!$B$4=1,"North America FMVSS","")</f>
        <v>North America FMVSS</v>
      </c>
      <c r="F954" s="506" t="s">
        <v>4246</v>
      </c>
      <c r="G954" s="506"/>
      <c r="H954" s="660" t="s">
        <v>3039</v>
      </c>
      <c r="I954" s="639"/>
      <c r="J954" s="513"/>
      <c r="K954" s="647"/>
      <c r="L954" s="526" t="s">
        <v>315</v>
      </c>
      <c r="M954" s="527" t="s">
        <v>315</v>
      </c>
      <c r="N954" s="528" t="s">
        <v>315</v>
      </c>
      <c r="O954" s="663"/>
      <c r="P954" s="529"/>
      <c r="Q954" s="531"/>
      <c r="R954" s="530"/>
      <c r="S954" s="530" t="s">
        <v>315</v>
      </c>
      <c r="T954" s="667"/>
    </row>
    <row r="955" spans="1:20" s="508" customFormat="1" ht="60" hidden="1">
      <c r="A955" s="518"/>
      <c r="B955" s="660" t="s">
        <v>3968</v>
      </c>
      <c r="C955" s="659" t="s">
        <v>3035</v>
      </c>
      <c r="D955" s="660" t="s">
        <v>3036</v>
      </c>
      <c r="E955" s="509" t="str">
        <f>IF('GPS Anthro Tool'!$B$4=1,"North America FMVSS","")</f>
        <v>North America FMVSS</v>
      </c>
      <c r="F955" s="506" t="s">
        <v>4246</v>
      </c>
      <c r="G955" s="506"/>
      <c r="H955" s="660" t="s">
        <v>3037</v>
      </c>
      <c r="I955" s="639"/>
      <c r="J955" s="513"/>
      <c r="K955" s="647"/>
      <c r="L955" s="526" t="s">
        <v>315</v>
      </c>
      <c r="M955" s="527" t="s">
        <v>315</v>
      </c>
      <c r="N955" s="528" t="s">
        <v>315</v>
      </c>
      <c r="O955" s="663"/>
      <c r="P955" s="529"/>
      <c r="Q955" s="531"/>
      <c r="R955" s="530"/>
      <c r="S955" s="530" t="s">
        <v>315</v>
      </c>
      <c r="T955" s="667"/>
    </row>
    <row r="956" spans="1:20" s="508" customFormat="1" ht="90" hidden="1">
      <c r="A956" s="518"/>
      <c r="B956" s="660" t="s">
        <v>3968</v>
      </c>
      <c r="C956" s="660" t="s">
        <v>3042</v>
      </c>
      <c r="D956" s="660" t="s">
        <v>3036</v>
      </c>
      <c r="E956" s="509" t="str">
        <f>IF('GPS Anthro Tool'!$B$4=1,"North America FMVSS","")</f>
        <v>North America FMVSS</v>
      </c>
      <c r="F956" s="506" t="s">
        <v>4246</v>
      </c>
      <c r="G956" s="506"/>
      <c r="H956" s="660" t="s">
        <v>3043</v>
      </c>
      <c r="I956" s="639"/>
      <c r="J956" s="513"/>
      <c r="K956" s="647"/>
      <c r="L956" s="526" t="s">
        <v>315</v>
      </c>
      <c r="M956" s="527" t="s">
        <v>315</v>
      </c>
      <c r="N956" s="528" t="s">
        <v>315</v>
      </c>
      <c r="O956" s="663"/>
      <c r="P956" s="529"/>
      <c r="Q956" s="531"/>
      <c r="R956" s="530"/>
      <c r="S956" s="530" t="s">
        <v>315</v>
      </c>
      <c r="T956" s="667"/>
    </row>
    <row r="957" spans="1:20" s="508" customFormat="1" ht="45" hidden="1">
      <c r="A957" s="518"/>
      <c r="B957" s="660" t="s">
        <v>3968</v>
      </c>
      <c r="C957" s="659" t="s">
        <v>3023</v>
      </c>
      <c r="D957" s="660" t="s">
        <v>3021</v>
      </c>
      <c r="E957" s="509" t="str">
        <f>IF('GPS Anthro Tool'!$B$4=1,"North America FMVSS","")</f>
        <v>North America FMVSS</v>
      </c>
      <c r="F957" s="506" t="s">
        <v>4246</v>
      </c>
      <c r="G957" s="506"/>
      <c r="H957" s="679" t="s">
        <v>3024</v>
      </c>
      <c r="I957" s="639"/>
      <c r="J957" s="513"/>
      <c r="K957" s="647"/>
      <c r="L957" s="526" t="s">
        <v>315</v>
      </c>
      <c r="M957" s="527" t="s">
        <v>315</v>
      </c>
      <c r="N957" s="528" t="s">
        <v>315</v>
      </c>
      <c r="O957" s="663"/>
      <c r="P957" s="529"/>
      <c r="Q957" s="531"/>
      <c r="R957" s="530"/>
      <c r="S957" s="530" t="s">
        <v>315</v>
      </c>
      <c r="T957" s="667"/>
    </row>
    <row r="958" spans="1:20" s="508" customFormat="1" ht="90" hidden="1">
      <c r="A958" s="518"/>
      <c r="B958" s="660" t="s">
        <v>3968</v>
      </c>
      <c r="C958" s="659" t="s">
        <v>3020</v>
      </c>
      <c r="D958" s="660" t="s">
        <v>3021</v>
      </c>
      <c r="E958" s="509" t="str">
        <f>IF('GPS Anthro Tool'!$B$4=1,"North America FMVSS","")</f>
        <v>North America FMVSS</v>
      </c>
      <c r="F958" s="506" t="s">
        <v>4246</v>
      </c>
      <c r="G958" s="506"/>
      <c r="H958" s="659" t="s">
        <v>3022</v>
      </c>
      <c r="I958" s="639"/>
      <c r="J958" s="513"/>
      <c r="K958" s="647"/>
      <c r="L958" s="526" t="s">
        <v>315</v>
      </c>
      <c r="M958" s="527" t="s">
        <v>315</v>
      </c>
      <c r="N958" s="528" t="s">
        <v>315</v>
      </c>
      <c r="O958" s="663"/>
      <c r="P958" s="529"/>
      <c r="Q958" s="531"/>
      <c r="R958" s="530"/>
      <c r="S958" s="530" t="s">
        <v>315</v>
      </c>
      <c r="T958" s="667"/>
    </row>
    <row r="959" spans="1:20" s="508" customFormat="1" ht="120" hidden="1">
      <c r="A959" s="518"/>
      <c r="B959" s="660" t="s">
        <v>3968</v>
      </c>
      <c r="C959" s="659" t="s">
        <v>3025</v>
      </c>
      <c r="D959" s="660" t="s">
        <v>3021</v>
      </c>
      <c r="E959" s="509" t="str">
        <f>IF('GPS Anthro Tool'!$B$4=1,"North America FMVSS","")</f>
        <v>North America FMVSS</v>
      </c>
      <c r="F959" s="506" t="s">
        <v>4246</v>
      </c>
      <c r="G959" s="506"/>
      <c r="H959" s="659" t="s">
        <v>3026</v>
      </c>
      <c r="I959" s="639"/>
      <c r="J959" s="513"/>
      <c r="K959" s="647"/>
      <c r="L959" s="526" t="s">
        <v>315</v>
      </c>
      <c r="M959" s="527" t="s">
        <v>315</v>
      </c>
      <c r="N959" s="528" t="s">
        <v>315</v>
      </c>
      <c r="O959" s="663"/>
      <c r="P959" s="529"/>
      <c r="Q959" s="531"/>
      <c r="R959" s="530"/>
      <c r="S959" s="530" t="s">
        <v>315</v>
      </c>
      <c r="T959" s="667"/>
    </row>
    <row r="960" spans="1:20" s="508" customFormat="1" ht="105" hidden="1">
      <c r="A960" s="518"/>
      <c r="B960" s="660" t="s">
        <v>3968</v>
      </c>
      <c r="C960" s="659" t="s">
        <v>3012</v>
      </c>
      <c r="D960" s="660" t="s">
        <v>3021</v>
      </c>
      <c r="E960" s="509" t="str">
        <f>IF('GPS Anthro Tool'!$B$4=1,"North America FMVSS","")</f>
        <v>North America FMVSS</v>
      </c>
      <c r="F960" s="506" t="s">
        <v>4246</v>
      </c>
      <c r="G960" s="506"/>
      <c r="H960" s="659" t="s">
        <v>3013</v>
      </c>
      <c r="I960" s="639"/>
      <c r="J960" s="513"/>
      <c r="K960" s="647"/>
      <c r="L960" s="526" t="s">
        <v>315</v>
      </c>
      <c r="M960" s="527" t="s">
        <v>315</v>
      </c>
      <c r="N960" s="528" t="s">
        <v>315</v>
      </c>
      <c r="O960" s="663"/>
      <c r="P960" s="529"/>
      <c r="Q960" s="531"/>
      <c r="R960" s="530"/>
      <c r="S960" s="530" t="s">
        <v>315</v>
      </c>
      <c r="T960" s="667"/>
    </row>
    <row r="961" spans="1:20" s="508" customFormat="1" ht="45" hidden="1">
      <c r="A961" s="518"/>
      <c r="B961" s="670" t="s">
        <v>3963</v>
      </c>
      <c r="C961" s="672" t="s">
        <v>2164</v>
      </c>
      <c r="D961" s="660" t="s">
        <v>3982</v>
      </c>
      <c r="E961" s="509" t="str">
        <f>IF('GPS Anthro Tool'!$B$4=1,"North America FMVSS","")</f>
        <v>North America FMVSS</v>
      </c>
      <c r="F961" s="506" t="s">
        <v>4246</v>
      </c>
      <c r="G961" s="506"/>
      <c r="H961" s="659" t="s">
        <v>2190</v>
      </c>
      <c r="I961" s="639"/>
      <c r="J961" s="513"/>
      <c r="K961" s="647"/>
      <c r="L961" s="526" t="s">
        <v>315</v>
      </c>
      <c r="M961" s="527" t="s">
        <v>315</v>
      </c>
      <c r="N961" s="528" t="s">
        <v>315</v>
      </c>
      <c r="O961" s="663"/>
      <c r="P961" s="529"/>
      <c r="Q961" s="531"/>
      <c r="R961" s="530"/>
      <c r="S961" s="530" t="s">
        <v>315</v>
      </c>
      <c r="T961" s="667"/>
    </row>
    <row r="962" spans="1:20" s="508" customFormat="1" ht="30" hidden="1">
      <c r="A962" s="518"/>
      <c r="B962" s="670" t="s">
        <v>3963</v>
      </c>
      <c r="C962" s="659" t="s">
        <v>2191</v>
      </c>
      <c r="D962" s="660" t="s">
        <v>3982</v>
      </c>
      <c r="E962" s="509" t="str">
        <f>IF('GPS Anthro Tool'!$B$4=1,"North America FMVSS","")</f>
        <v>North America FMVSS</v>
      </c>
      <c r="F962" s="506" t="s">
        <v>4246</v>
      </c>
      <c r="G962" s="506"/>
      <c r="H962" s="659" t="s">
        <v>3992</v>
      </c>
      <c r="I962" s="639"/>
      <c r="J962" s="513"/>
      <c r="K962" s="647"/>
      <c r="L962" s="526" t="s">
        <v>315</v>
      </c>
      <c r="M962" s="527" t="s">
        <v>315</v>
      </c>
      <c r="N962" s="528" t="s">
        <v>315</v>
      </c>
      <c r="O962" s="663"/>
      <c r="P962" s="529"/>
      <c r="Q962" s="531"/>
      <c r="R962" s="530"/>
      <c r="S962" s="530" t="s">
        <v>315</v>
      </c>
      <c r="T962" s="667"/>
    </row>
    <row r="963" spans="1:20" s="508" customFormat="1" ht="90" hidden="1">
      <c r="A963" s="518"/>
      <c r="B963" s="670" t="s">
        <v>3963</v>
      </c>
      <c r="C963" s="659" t="s">
        <v>2186</v>
      </c>
      <c r="D963" s="660" t="s">
        <v>3982</v>
      </c>
      <c r="E963" s="509" t="str">
        <f>IF('GPS Anthro Tool'!$B$4=1,"North America FMVSS","")</f>
        <v>North America FMVSS</v>
      </c>
      <c r="F963" s="506" t="s">
        <v>4246</v>
      </c>
      <c r="G963" s="506"/>
      <c r="H963" s="659" t="s">
        <v>3991</v>
      </c>
      <c r="I963" s="639"/>
      <c r="J963" s="513"/>
      <c r="K963" s="647"/>
      <c r="L963" s="526" t="s">
        <v>315</v>
      </c>
      <c r="M963" s="527" t="s">
        <v>315</v>
      </c>
      <c r="N963" s="528" t="s">
        <v>315</v>
      </c>
      <c r="O963" s="663"/>
      <c r="P963" s="529"/>
      <c r="Q963" s="531"/>
      <c r="R963" s="530"/>
      <c r="S963" s="530" t="s">
        <v>315</v>
      </c>
      <c r="T963" s="667"/>
    </row>
    <row r="964" spans="1:20" s="508" customFormat="1" ht="45" hidden="1">
      <c r="A964" s="518"/>
      <c r="B964" s="670" t="s">
        <v>3965</v>
      </c>
      <c r="C964" s="659" t="s">
        <v>2211</v>
      </c>
      <c r="D964" s="660" t="s">
        <v>2129</v>
      </c>
      <c r="E964" s="509" t="str">
        <f>IF('GPS Anthro Tool'!$B$4=1,"North America FMVSS","")</f>
        <v>North America FMVSS</v>
      </c>
      <c r="F964" s="506" t="s">
        <v>4246</v>
      </c>
      <c r="G964" s="506"/>
      <c r="H964" s="659" t="s">
        <v>2997</v>
      </c>
      <c r="I964" s="639"/>
      <c r="J964" s="513"/>
      <c r="K964" s="647"/>
      <c r="L964" s="526" t="s">
        <v>315</v>
      </c>
      <c r="M964" s="527" t="s">
        <v>315</v>
      </c>
      <c r="N964" s="528" t="s">
        <v>315</v>
      </c>
      <c r="O964" s="663"/>
      <c r="P964" s="529"/>
      <c r="Q964" s="531"/>
      <c r="R964" s="530"/>
      <c r="S964" s="530" t="s">
        <v>315</v>
      </c>
      <c r="T964" s="667"/>
    </row>
    <row r="965" spans="1:20" s="508" customFormat="1" ht="60" hidden="1">
      <c r="A965" s="518"/>
      <c r="B965" s="660" t="s">
        <v>3968</v>
      </c>
      <c r="C965" s="659" t="s">
        <v>2281</v>
      </c>
      <c r="D965" s="660" t="s">
        <v>3014</v>
      </c>
      <c r="E965" s="509" t="str">
        <f>IF('GPS Anthro Tool'!$B$4=1,"North America FMVSS","")</f>
        <v>North America FMVSS</v>
      </c>
      <c r="F965" s="507" t="s">
        <v>4246</v>
      </c>
      <c r="G965" s="506"/>
      <c r="H965" s="659" t="s">
        <v>3015</v>
      </c>
      <c r="I965" s="639"/>
      <c r="J965" s="513"/>
      <c r="K965" s="647"/>
      <c r="L965" s="526" t="s">
        <v>315</v>
      </c>
      <c r="M965" s="527" t="s">
        <v>315</v>
      </c>
      <c r="N965" s="528" t="s">
        <v>315</v>
      </c>
      <c r="O965" s="663"/>
      <c r="P965" s="529"/>
      <c r="Q965" s="531"/>
      <c r="R965" s="530"/>
      <c r="S965" s="530" t="s">
        <v>315</v>
      </c>
      <c r="T965" s="667"/>
    </row>
    <row r="966" spans="1:20" s="508" customFormat="1" ht="180" hidden="1">
      <c r="A966" s="518"/>
      <c r="B966" s="660" t="s">
        <v>3966</v>
      </c>
      <c r="C966" s="660" t="s">
        <v>2230</v>
      </c>
      <c r="D966" s="660" t="s">
        <v>3000</v>
      </c>
      <c r="E966" s="509" t="str">
        <f>IF('GPS Anthro Tool'!$B$4=1,"North America FMVSS","")</f>
        <v>North America FMVSS</v>
      </c>
      <c r="F966" s="506" t="s">
        <v>4246</v>
      </c>
      <c r="G966" s="506"/>
      <c r="H966" s="660" t="s">
        <v>2232</v>
      </c>
      <c r="I966" s="639"/>
      <c r="J966" s="513"/>
      <c r="K966" s="647"/>
      <c r="L966" s="526" t="s">
        <v>315</v>
      </c>
      <c r="M966" s="527" t="s">
        <v>315</v>
      </c>
      <c r="N966" s="528" t="s">
        <v>315</v>
      </c>
      <c r="O966" s="663"/>
      <c r="P966" s="529"/>
      <c r="Q966" s="531"/>
      <c r="R966" s="530"/>
      <c r="S966" s="530" t="s">
        <v>315</v>
      </c>
      <c r="T966" s="667"/>
    </row>
    <row r="967" spans="1:20" s="508" customFormat="1" ht="30" hidden="1">
      <c r="A967" s="518"/>
      <c r="B967" s="509" t="s">
        <v>2063</v>
      </c>
      <c r="C967" s="538" t="s">
        <v>2089</v>
      </c>
      <c r="D967" s="538" t="s">
        <v>2091</v>
      </c>
      <c r="E967" s="509" t="str">
        <f>IF('GPS Anthro Tool'!$B$4=1,"North America FMVSS","")</f>
        <v>North America FMVSS</v>
      </c>
      <c r="F967" s="506" t="s">
        <v>4246</v>
      </c>
      <c r="G967" s="506" t="s">
        <v>2066</v>
      </c>
      <c r="H967" s="538" t="s">
        <v>2093</v>
      </c>
      <c r="I967" s="506"/>
      <c r="J967" s="506"/>
      <c r="K967" s="535"/>
      <c r="L967" s="662"/>
      <c r="M967" s="535"/>
      <c r="N967" s="658"/>
      <c r="O967" s="663"/>
      <c r="P967" s="666"/>
      <c r="Q967" s="566"/>
      <c r="R967" s="535"/>
      <c r="S967" s="535" t="s">
        <v>1819</v>
      </c>
      <c r="T967" s="667"/>
    </row>
    <row r="968" spans="1:20" s="508" customFormat="1" ht="45" hidden="1">
      <c r="A968" s="518"/>
      <c r="B968" s="670" t="s">
        <v>3066</v>
      </c>
      <c r="C968" s="660" t="s">
        <v>2122</v>
      </c>
      <c r="D968" s="660" t="s">
        <v>2977</v>
      </c>
      <c r="E968" s="509" t="str">
        <f>IF('GPS Anthro Tool'!$B$4=1,"North America FMVSS","")</f>
        <v>North America FMVSS</v>
      </c>
      <c r="F968" s="506" t="s">
        <v>4315</v>
      </c>
      <c r="G968" s="506"/>
      <c r="H968" s="660" t="s">
        <v>2124</v>
      </c>
      <c r="I968" s="639"/>
      <c r="J968" s="513"/>
      <c r="K968" s="647"/>
      <c r="L968" s="526" t="s">
        <v>315</v>
      </c>
      <c r="M968" s="527" t="s">
        <v>315</v>
      </c>
      <c r="N968" s="528" t="s">
        <v>315</v>
      </c>
      <c r="O968" s="663"/>
      <c r="P968" s="529"/>
      <c r="Q968" s="531"/>
      <c r="R968" s="530"/>
      <c r="S968" s="530" t="s">
        <v>315</v>
      </c>
      <c r="T968" s="667"/>
    </row>
    <row r="969" spans="1:20" s="508" customFormat="1" ht="120" hidden="1">
      <c r="A969" s="518"/>
      <c r="B969" s="670" t="s">
        <v>3066</v>
      </c>
      <c r="C969" s="660" t="s">
        <v>2105</v>
      </c>
      <c r="D969" s="660" t="s">
        <v>2971</v>
      </c>
      <c r="E969" s="509" t="str">
        <f>IF('GPS Anthro Tool'!$B$4=1,"North America FMVSS","")</f>
        <v>North America FMVSS</v>
      </c>
      <c r="F969" s="506" t="s">
        <v>4315</v>
      </c>
      <c r="G969" s="506"/>
      <c r="H969" s="660" t="s">
        <v>2108</v>
      </c>
      <c r="I969" s="639"/>
      <c r="J969" s="513"/>
      <c r="K969" s="647"/>
      <c r="L969" s="526" t="s">
        <v>315</v>
      </c>
      <c r="M969" s="527" t="s">
        <v>315</v>
      </c>
      <c r="N969" s="528" t="s">
        <v>315</v>
      </c>
      <c r="O969" s="663"/>
      <c r="P969" s="529"/>
      <c r="Q969" s="531"/>
      <c r="R969" s="530"/>
      <c r="S969" s="530" t="s">
        <v>315</v>
      </c>
      <c r="T969" s="667"/>
    </row>
    <row r="970" spans="1:20" s="508" customFormat="1" ht="120" hidden="1">
      <c r="A970" s="518"/>
      <c r="B970" s="670" t="s">
        <v>3066</v>
      </c>
      <c r="C970" s="660" t="s">
        <v>2109</v>
      </c>
      <c r="D970" s="660" t="s">
        <v>2972</v>
      </c>
      <c r="E970" s="509" t="str">
        <f>IF('GPS Anthro Tool'!$B$4=1,"North America FMVSS","")</f>
        <v>North America FMVSS</v>
      </c>
      <c r="F970" s="506" t="s">
        <v>4315</v>
      </c>
      <c r="G970" s="506"/>
      <c r="H970" s="660" t="s">
        <v>2110</v>
      </c>
      <c r="I970" s="639"/>
      <c r="J970" s="513"/>
      <c r="K970" s="647"/>
      <c r="L970" s="526" t="s">
        <v>315</v>
      </c>
      <c r="M970" s="527" t="s">
        <v>315</v>
      </c>
      <c r="N970" s="528" t="s">
        <v>315</v>
      </c>
      <c r="O970" s="663"/>
      <c r="P970" s="529"/>
      <c r="Q970" s="531"/>
      <c r="R970" s="530"/>
      <c r="S970" s="530" t="s">
        <v>315</v>
      </c>
      <c r="T970" s="667"/>
    </row>
    <row r="971" spans="1:20" s="508" customFormat="1" ht="45" hidden="1">
      <c r="A971" s="518"/>
      <c r="B971" s="660" t="s">
        <v>2277</v>
      </c>
      <c r="C971" s="659" t="s">
        <v>3032</v>
      </c>
      <c r="D971" s="660" t="s">
        <v>3033</v>
      </c>
      <c r="E971" s="509" t="str">
        <f>IF('GPS Anthro Tool'!$B$4=1,"North America FMVSS","")</f>
        <v>North America FMVSS</v>
      </c>
      <c r="F971" s="506" t="s">
        <v>4315</v>
      </c>
      <c r="G971" s="506"/>
      <c r="H971" s="660" t="s">
        <v>3034</v>
      </c>
      <c r="I971" s="639"/>
      <c r="J971" s="513"/>
      <c r="K971" s="647"/>
      <c r="L971" s="526" t="s">
        <v>315</v>
      </c>
      <c r="M971" s="527" t="s">
        <v>315</v>
      </c>
      <c r="N971" s="528" t="s">
        <v>315</v>
      </c>
      <c r="O971" s="663"/>
      <c r="P971" s="529"/>
      <c r="Q971" s="531"/>
      <c r="R971" s="530"/>
      <c r="S971" s="530" t="s">
        <v>315</v>
      </c>
      <c r="T971" s="667"/>
    </row>
    <row r="972" spans="1:20" s="508" customFormat="1" ht="45" hidden="1">
      <c r="A972" s="518"/>
      <c r="B972" s="670" t="s">
        <v>3066</v>
      </c>
      <c r="C972" s="660" t="s">
        <v>2111</v>
      </c>
      <c r="D972" s="660" t="s">
        <v>2973</v>
      </c>
      <c r="E972" s="509" t="str">
        <f>IF('GPS Anthro Tool'!$B$4=1,"North America FMVSS","")</f>
        <v>North America FMVSS</v>
      </c>
      <c r="F972" s="506" t="s">
        <v>4315</v>
      </c>
      <c r="G972" s="506"/>
      <c r="H972" s="660" t="s">
        <v>2113</v>
      </c>
      <c r="I972" s="639"/>
      <c r="J972" s="513"/>
      <c r="K972" s="647"/>
      <c r="L972" s="526" t="s">
        <v>315</v>
      </c>
      <c r="M972" s="527" t="s">
        <v>315</v>
      </c>
      <c r="N972" s="528" t="s">
        <v>315</v>
      </c>
      <c r="O972" s="663"/>
      <c r="P972" s="529"/>
      <c r="Q972" s="531"/>
      <c r="R972" s="530"/>
      <c r="S972" s="530" t="s">
        <v>315</v>
      </c>
      <c r="T972" s="667"/>
    </row>
    <row r="973" spans="1:20" s="508" customFormat="1" ht="180" hidden="1">
      <c r="A973" s="518"/>
      <c r="B973" s="670" t="s">
        <v>3066</v>
      </c>
      <c r="C973" s="660" t="s">
        <v>2114</v>
      </c>
      <c r="D973" s="660" t="s">
        <v>2974</v>
      </c>
      <c r="E973" s="509" t="str">
        <f>IF('GPS Anthro Tool'!$B$4=1,"North America FMVSS","")</f>
        <v>North America FMVSS</v>
      </c>
      <c r="F973" s="506" t="s">
        <v>4315</v>
      </c>
      <c r="G973" s="506"/>
      <c r="H973" s="660" t="s">
        <v>2975</v>
      </c>
      <c r="I973" s="639"/>
      <c r="J973" s="513"/>
      <c r="K973" s="647"/>
      <c r="L973" s="526" t="s">
        <v>315</v>
      </c>
      <c r="M973" s="527" t="s">
        <v>315</v>
      </c>
      <c r="N973" s="528" t="s">
        <v>315</v>
      </c>
      <c r="O973" s="663"/>
      <c r="P973" s="529"/>
      <c r="Q973" s="531"/>
      <c r="R973" s="530"/>
      <c r="S973" s="530" t="s">
        <v>315</v>
      </c>
      <c r="T973" s="667"/>
    </row>
    <row r="974" spans="1:20" s="508" customFormat="1" ht="60" hidden="1">
      <c r="A974" s="518"/>
      <c r="B974" s="670" t="s">
        <v>3066</v>
      </c>
      <c r="C974" s="660" t="s">
        <v>2116</v>
      </c>
      <c r="D974" s="660" t="s">
        <v>2117</v>
      </c>
      <c r="E974" s="509" t="str">
        <f>IF('GPS Anthro Tool'!$B$4=1,"North America FMVSS","")</f>
        <v>North America FMVSS</v>
      </c>
      <c r="F974" s="506" t="s">
        <v>4315</v>
      </c>
      <c r="G974" s="506"/>
      <c r="H974" s="660" t="s">
        <v>2118</v>
      </c>
      <c r="I974" s="639"/>
      <c r="J974" s="513"/>
      <c r="K974" s="647"/>
      <c r="L974" s="526" t="s">
        <v>315</v>
      </c>
      <c r="M974" s="527" t="s">
        <v>315</v>
      </c>
      <c r="N974" s="528" t="s">
        <v>315</v>
      </c>
      <c r="O974" s="663"/>
      <c r="P974" s="529"/>
      <c r="Q974" s="531"/>
      <c r="R974" s="530"/>
      <c r="S974" s="530" t="s">
        <v>315</v>
      </c>
      <c r="T974" s="667"/>
    </row>
    <row r="975" spans="1:20" s="508" customFormat="1" ht="45" hidden="1">
      <c r="A975" s="518"/>
      <c r="B975" s="509" t="s">
        <v>2272</v>
      </c>
      <c r="C975" s="509" t="s">
        <v>2273</v>
      </c>
      <c r="D975" s="509" t="s">
        <v>3489</v>
      </c>
      <c r="E975" s="509" t="str">
        <f>IF('GPS Anthro Tool'!$B$4=1,"North America FMVSS","")</f>
        <v>North America FMVSS</v>
      </c>
      <c r="F975" s="506" t="s">
        <v>4315</v>
      </c>
      <c r="G975" s="506" t="s">
        <v>2274</v>
      </c>
      <c r="H975" s="509" t="s">
        <v>4303</v>
      </c>
      <c r="I975" s="506"/>
      <c r="J975" s="506"/>
      <c r="K975" s="535"/>
      <c r="L975" s="662"/>
      <c r="M975" s="535"/>
      <c r="N975" s="658"/>
      <c r="O975" s="663"/>
      <c r="P975" s="666"/>
      <c r="Q975" s="566"/>
      <c r="R975" s="535"/>
      <c r="S975" s="535" t="s">
        <v>1819</v>
      </c>
      <c r="T975" s="667"/>
    </row>
    <row r="976" spans="1:20" s="508" customFormat="1" ht="45" hidden="1">
      <c r="A976" s="518"/>
      <c r="B976" s="670" t="s">
        <v>3066</v>
      </c>
      <c r="C976" s="660" t="s">
        <v>2119</v>
      </c>
      <c r="D976" s="660" t="s">
        <v>2976</v>
      </c>
      <c r="E976" s="509" t="str">
        <f>IF('GPS Anthro Tool'!$B$4=1,"North America FMVSS","")</f>
        <v>North America FMVSS</v>
      </c>
      <c r="F976" s="506" t="s">
        <v>4315</v>
      </c>
      <c r="G976" s="506"/>
      <c r="H976" s="660" t="s">
        <v>2941</v>
      </c>
      <c r="I976" s="639"/>
      <c r="J976" s="513"/>
      <c r="K976" s="647"/>
      <c r="L976" s="526" t="s">
        <v>315</v>
      </c>
      <c r="M976" s="527" t="s">
        <v>315</v>
      </c>
      <c r="N976" s="528" t="s">
        <v>315</v>
      </c>
      <c r="O976" s="663"/>
      <c r="P976" s="529"/>
      <c r="Q976" s="531"/>
      <c r="R976" s="530"/>
      <c r="S976" s="530" t="s">
        <v>315</v>
      </c>
      <c r="T976" s="667"/>
    </row>
    <row r="977" spans="1:20" s="508" customFormat="1" ht="75" hidden="1">
      <c r="A977" s="518"/>
      <c r="B977" s="660" t="s">
        <v>3968</v>
      </c>
      <c r="C977" s="660" t="s">
        <v>3040</v>
      </c>
      <c r="D977" s="660" t="s">
        <v>3016</v>
      </c>
      <c r="E977" s="509" t="str">
        <f>IF('GPS Anthro Tool'!$B$4=1,"North America FMVSS","")</f>
        <v>North America FMVSS</v>
      </c>
      <c r="F977" s="506" t="s">
        <v>4315</v>
      </c>
      <c r="G977" s="506"/>
      <c r="H977" s="660" t="s">
        <v>3041</v>
      </c>
      <c r="I977" s="639"/>
      <c r="J977" s="513"/>
      <c r="K977" s="647"/>
      <c r="L977" s="526" t="s">
        <v>315</v>
      </c>
      <c r="M977" s="527" t="s">
        <v>315</v>
      </c>
      <c r="N977" s="528" t="s">
        <v>315</v>
      </c>
      <c r="O977" s="663"/>
      <c r="P977" s="529"/>
      <c r="Q977" s="531"/>
      <c r="R977" s="530"/>
      <c r="S977" s="530" t="s">
        <v>315</v>
      </c>
      <c r="T977" s="667"/>
    </row>
    <row r="978" spans="1:20" s="508" customFormat="1" ht="60" hidden="1">
      <c r="A978" s="668"/>
      <c r="B978" s="660" t="s">
        <v>3968</v>
      </c>
      <c r="C978" s="659" t="s">
        <v>2285</v>
      </c>
      <c r="D978" s="660" t="s">
        <v>3016</v>
      </c>
      <c r="E978" s="509" t="str">
        <f>IF('GPS Anthro Tool'!$B$4=1,"North America FMVSS","")</f>
        <v>North America FMVSS</v>
      </c>
      <c r="F978" s="506" t="s">
        <v>4315</v>
      </c>
      <c r="G978" s="506"/>
      <c r="H978" s="660" t="s">
        <v>3017</v>
      </c>
      <c r="I978" s="639"/>
      <c r="J978" s="513"/>
      <c r="K978" s="647"/>
      <c r="L978" s="526" t="s">
        <v>315</v>
      </c>
      <c r="M978" s="527" t="s">
        <v>315</v>
      </c>
      <c r="N978" s="528" t="s">
        <v>315</v>
      </c>
      <c r="O978" s="663"/>
      <c r="P978" s="529"/>
      <c r="Q978" s="531"/>
      <c r="R978" s="530"/>
      <c r="S978" s="530" t="s">
        <v>315</v>
      </c>
      <c r="T978" s="667"/>
    </row>
    <row r="979" spans="1:20" s="508" customFormat="1" ht="60" hidden="1">
      <c r="A979" s="518"/>
      <c r="B979" s="660" t="s">
        <v>3968</v>
      </c>
      <c r="C979" s="679" t="s">
        <v>3003</v>
      </c>
      <c r="D979" s="680" t="s">
        <v>3983</v>
      </c>
      <c r="E979" s="507" t="str">
        <f>IF('GPS Anthro Tool'!$B$4=1,"North America FMVSS","")</f>
        <v>North America FMVSS</v>
      </c>
      <c r="F979" s="506" t="s">
        <v>4315</v>
      </c>
      <c r="G979" s="506"/>
      <c r="H979" s="681" t="s">
        <v>3994</v>
      </c>
      <c r="I979" s="639"/>
      <c r="J979" s="513"/>
      <c r="K979" s="647"/>
      <c r="L979" s="526" t="s">
        <v>315</v>
      </c>
      <c r="M979" s="527" t="s">
        <v>315</v>
      </c>
      <c r="N979" s="528" t="s">
        <v>315</v>
      </c>
      <c r="O979" s="663"/>
      <c r="P979" s="529"/>
      <c r="Q979" s="531"/>
      <c r="R979" s="530"/>
      <c r="S979" s="530" t="s">
        <v>315</v>
      </c>
      <c r="T979" s="667"/>
    </row>
    <row r="980" spans="1:20" s="508" customFormat="1" ht="60" hidden="1">
      <c r="A980" s="518"/>
      <c r="B980" s="670" t="s">
        <v>2036</v>
      </c>
      <c r="C980" s="660" t="s">
        <v>2040</v>
      </c>
      <c r="D980" s="660" t="s">
        <v>2041</v>
      </c>
      <c r="E980" s="509" t="str">
        <f>IF('GPS Anthro Tool'!$B$4=1,"North America FMVSS","")</f>
        <v>North America FMVSS</v>
      </c>
      <c r="F980" s="506" t="s">
        <v>4246</v>
      </c>
      <c r="G980" s="506"/>
      <c r="H980" s="660" t="s">
        <v>2962</v>
      </c>
      <c r="I980" s="639"/>
      <c r="J980" s="513"/>
      <c r="K980" s="647"/>
      <c r="L980" s="526" t="s">
        <v>315</v>
      </c>
      <c r="M980" s="527" t="s">
        <v>315</v>
      </c>
      <c r="N980" s="528" t="s">
        <v>315</v>
      </c>
      <c r="O980" s="663"/>
      <c r="P980" s="529"/>
      <c r="Q980" s="531"/>
      <c r="R980" s="530"/>
      <c r="S980" s="530" t="s">
        <v>315</v>
      </c>
      <c r="T980" s="667"/>
    </row>
    <row r="981" spans="1:20" s="508" customFormat="1" ht="120" hidden="1">
      <c r="A981" s="518"/>
      <c r="B981" s="660" t="s">
        <v>3968</v>
      </c>
      <c r="C981" s="659" t="s">
        <v>3027</v>
      </c>
      <c r="D981" s="660"/>
      <c r="E981" s="509" t="str">
        <f>IF('GPS Anthro Tool'!$B$4=1,"North America FMVSS","")</f>
        <v>North America FMVSS</v>
      </c>
      <c r="F981" s="506" t="s">
        <v>4246</v>
      </c>
      <c r="G981" s="506"/>
      <c r="H981" s="659" t="s">
        <v>3028</v>
      </c>
      <c r="I981" s="639"/>
      <c r="J981" s="513"/>
      <c r="K981" s="647"/>
      <c r="L981" s="526" t="s">
        <v>315</v>
      </c>
      <c r="M981" s="527" t="s">
        <v>315</v>
      </c>
      <c r="N981" s="528" t="s">
        <v>315</v>
      </c>
      <c r="O981" s="663"/>
      <c r="P981" s="529"/>
      <c r="Q981" s="531"/>
      <c r="R981" s="530"/>
      <c r="S981" s="530" t="s">
        <v>315</v>
      </c>
      <c r="T981" s="667"/>
    </row>
    <row r="982" spans="1:20" s="508" customFormat="1" ht="75" hidden="1">
      <c r="A982" s="518"/>
      <c r="B982" s="670" t="s">
        <v>3962</v>
      </c>
      <c r="C982" s="659" t="s">
        <v>2966</v>
      </c>
      <c r="D982" s="660"/>
      <c r="E982" s="509" t="str">
        <f>IF('GPS Anthro Tool'!$B$4=1,"North America FMVSS","")</f>
        <v>North America FMVSS</v>
      </c>
      <c r="F982" s="506" t="s">
        <v>4246</v>
      </c>
      <c r="G982" s="506"/>
      <c r="H982" s="659" t="s">
        <v>2967</v>
      </c>
      <c r="I982" s="639"/>
      <c r="J982" s="513"/>
      <c r="K982" s="647"/>
      <c r="L982" s="526" t="s">
        <v>315</v>
      </c>
      <c r="M982" s="527" t="s">
        <v>315</v>
      </c>
      <c r="N982" s="528" t="s">
        <v>315</v>
      </c>
      <c r="O982" s="663"/>
      <c r="P982" s="529"/>
      <c r="Q982" s="531"/>
      <c r="R982" s="530"/>
      <c r="S982" s="530" t="s">
        <v>315</v>
      </c>
      <c r="T982" s="667"/>
    </row>
    <row r="983" spans="1:20" s="508" customFormat="1" ht="30" hidden="1">
      <c r="A983" s="518"/>
      <c r="B983" s="670" t="s">
        <v>3962</v>
      </c>
      <c r="C983" s="659" t="s">
        <v>2072</v>
      </c>
      <c r="D983" s="660"/>
      <c r="E983" s="509" t="str">
        <f>IF('GPS Anthro Tool'!$B$4=1,"North America FMVSS","")</f>
        <v>North America FMVSS</v>
      </c>
      <c r="F983" s="506" t="s">
        <v>4246</v>
      </c>
      <c r="G983" s="506"/>
      <c r="H983" s="659" t="s">
        <v>3987</v>
      </c>
      <c r="I983" s="639"/>
      <c r="J983" s="513"/>
      <c r="K983" s="647"/>
      <c r="L983" s="526" t="s">
        <v>315</v>
      </c>
      <c r="M983" s="527" t="s">
        <v>315</v>
      </c>
      <c r="N983" s="528" t="s">
        <v>315</v>
      </c>
      <c r="O983" s="663"/>
      <c r="P983" s="529"/>
      <c r="Q983" s="531"/>
      <c r="R983" s="530"/>
      <c r="S983" s="530" t="s">
        <v>315</v>
      </c>
      <c r="T983" s="667"/>
    </row>
    <row r="984" spans="1:20" s="508" customFormat="1" ht="45" hidden="1">
      <c r="A984" s="518"/>
      <c r="B984" s="670" t="s">
        <v>3962</v>
      </c>
      <c r="C984" s="659" t="s">
        <v>2089</v>
      </c>
      <c r="D984" s="660"/>
      <c r="E984" s="509" t="str">
        <f>IF('GPS Anthro Tool'!$B$4=1,"North America FMVSS","")</f>
        <v>North America FMVSS</v>
      </c>
      <c r="F984" s="506" t="s">
        <v>4246</v>
      </c>
      <c r="G984" s="506"/>
      <c r="H984" s="660" t="s">
        <v>2090</v>
      </c>
      <c r="I984" s="639"/>
      <c r="J984" s="513"/>
      <c r="K984" s="647"/>
      <c r="L984" s="526" t="s">
        <v>315</v>
      </c>
      <c r="M984" s="527" t="s">
        <v>315</v>
      </c>
      <c r="N984" s="528" t="s">
        <v>315</v>
      </c>
      <c r="O984" s="663"/>
      <c r="P984" s="529"/>
      <c r="Q984" s="531"/>
      <c r="R984" s="530"/>
      <c r="S984" s="530" t="s">
        <v>315</v>
      </c>
      <c r="T984" s="667"/>
    </row>
    <row r="985" spans="1:20" s="508" customFormat="1" ht="30" hidden="1">
      <c r="A985" s="518"/>
      <c r="B985" s="670" t="s">
        <v>3962</v>
      </c>
      <c r="C985" s="659" t="s">
        <v>3969</v>
      </c>
      <c r="D985" s="660"/>
      <c r="E985" s="509" t="str">
        <f>IF('GPS Anthro Tool'!$B$4=1,"North America FMVSS","")</f>
        <v>North America FMVSS</v>
      </c>
      <c r="F985" s="506" t="s">
        <v>4246</v>
      </c>
      <c r="G985" s="506"/>
      <c r="H985" s="659" t="s">
        <v>3987</v>
      </c>
      <c r="I985" s="639"/>
      <c r="J985" s="513"/>
      <c r="K985" s="647"/>
      <c r="L985" s="526" t="s">
        <v>315</v>
      </c>
      <c r="M985" s="527" t="s">
        <v>315</v>
      </c>
      <c r="N985" s="528" t="s">
        <v>315</v>
      </c>
      <c r="O985" s="663"/>
      <c r="P985" s="529"/>
      <c r="Q985" s="531"/>
      <c r="R985" s="530"/>
      <c r="S985" s="530" t="s">
        <v>315</v>
      </c>
      <c r="T985" s="667"/>
    </row>
    <row r="986" spans="1:20" s="508" customFormat="1" ht="45" hidden="1">
      <c r="A986" s="518"/>
      <c r="B986" s="670"/>
      <c r="C986" s="660" t="s">
        <v>3972</v>
      </c>
      <c r="D986" s="678"/>
      <c r="E986" s="509" t="str">
        <f>IF('GPS Anthro Tool'!$B$4=1,"North America FMVSS","")</f>
        <v>North America FMVSS</v>
      </c>
      <c r="F986" s="506" t="s">
        <v>4246</v>
      </c>
      <c r="G986" s="506"/>
      <c r="H986" s="674"/>
      <c r="I986" s="639"/>
      <c r="J986" s="513"/>
      <c r="K986" s="647"/>
      <c r="L986" s="526" t="s">
        <v>315</v>
      </c>
      <c r="M986" s="527" t="s">
        <v>315</v>
      </c>
      <c r="N986" s="528" t="s">
        <v>315</v>
      </c>
      <c r="O986" s="663"/>
      <c r="P986" s="529"/>
      <c r="Q986" s="531"/>
      <c r="R986" s="530"/>
      <c r="S986" s="530" t="s">
        <v>315</v>
      </c>
      <c r="T986" s="667"/>
    </row>
    <row r="987" spans="1:20" s="508" customFormat="1" ht="225" hidden="1">
      <c r="A987" s="518"/>
      <c r="B987" s="506"/>
      <c r="C987" s="513"/>
      <c r="D987" s="507" t="s">
        <v>2984</v>
      </c>
      <c r="E987" s="509" t="str">
        <f>IF('GPS Anthro Tool'!$B$4=1,"North America FMVSS","")</f>
        <v>North America FMVSS</v>
      </c>
      <c r="F987" s="507" t="s">
        <v>4242</v>
      </c>
      <c r="G987" s="514" t="s">
        <v>2985</v>
      </c>
      <c r="H987" s="514" t="s">
        <v>2986</v>
      </c>
      <c r="I987" s="514"/>
      <c r="J987" s="513" t="s">
        <v>3960</v>
      </c>
      <c r="K987" s="527" t="s">
        <v>315</v>
      </c>
      <c r="L987" s="526" t="s">
        <v>315</v>
      </c>
      <c r="M987" s="527" t="s">
        <v>315</v>
      </c>
      <c r="N987" s="528" t="s">
        <v>315</v>
      </c>
      <c r="O987" s="663"/>
      <c r="P987" s="529"/>
      <c r="Q987" s="531"/>
      <c r="R987" s="530"/>
      <c r="S987" s="530" t="s">
        <v>315</v>
      </c>
      <c r="T987" s="667"/>
    </row>
    <row r="988" spans="1:20" s="508" customFormat="1" ht="225" hidden="1">
      <c r="A988" s="518"/>
      <c r="B988" s="506"/>
      <c r="C988" s="513"/>
      <c r="D988" s="507" t="s">
        <v>2980</v>
      </c>
      <c r="E988" s="509" t="str">
        <f>IF('GPS Anthro Tool'!$B$4=1,"North America FMVSS","")</f>
        <v>North America FMVSS</v>
      </c>
      <c r="F988" s="507" t="s">
        <v>4242</v>
      </c>
      <c r="G988" s="514" t="s">
        <v>2981</v>
      </c>
      <c r="H988" s="514" t="s">
        <v>2982</v>
      </c>
      <c r="I988" s="514"/>
      <c r="J988" s="513" t="s">
        <v>3960</v>
      </c>
      <c r="K988" s="527" t="s">
        <v>315</v>
      </c>
      <c r="L988" s="526" t="s">
        <v>315</v>
      </c>
      <c r="M988" s="527" t="s">
        <v>315</v>
      </c>
      <c r="N988" s="528" t="s">
        <v>315</v>
      </c>
      <c r="O988" s="663"/>
      <c r="P988" s="529"/>
      <c r="Q988" s="531"/>
      <c r="R988" s="530"/>
      <c r="S988" s="530" t="s">
        <v>315</v>
      </c>
      <c r="T988" s="667"/>
    </row>
    <row r="989" spans="1:20" s="508" customFormat="1" ht="105" hidden="1">
      <c r="A989" s="518"/>
      <c r="B989" s="509" t="s">
        <v>2144</v>
      </c>
      <c r="C989" s="509" t="s">
        <v>2151</v>
      </c>
      <c r="D989" s="509" t="s">
        <v>2145</v>
      </c>
      <c r="E989" s="509" t="str">
        <f>IF('GPS Anthro Tool'!$B$4=1,"North America FMVSS","")</f>
        <v>North America FMVSS</v>
      </c>
      <c r="F989" s="506" t="s">
        <v>4242</v>
      </c>
      <c r="G989" s="507" t="s">
        <v>2182</v>
      </c>
      <c r="H989" s="509" t="s">
        <v>2183</v>
      </c>
      <c r="I989" s="506"/>
      <c r="J989" s="506"/>
      <c r="K989" s="535"/>
      <c r="L989" s="662"/>
      <c r="M989" s="535"/>
      <c r="N989" s="658"/>
      <c r="O989" s="663"/>
      <c r="P989" s="666"/>
      <c r="Q989" s="566"/>
      <c r="R989" s="535"/>
      <c r="S989" s="535" t="s">
        <v>1819</v>
      </c>
      <c r="T989" s="667"/>
    </row>
    <row r="990" spans="1:20" s="508" customFormat="1" ht="75" hidden="1">
      <c r="A990" s="518"/>
      <c r="B990" s="509" t="s">
        <v>2144</v>
      </c>
      <c r="C990" s="509" t="s">
        <v>2159</v>
      </c>
      <c r="D990" s="509" t="s">
        <v>2160</v>
      </c>
      <c r="E990" s="509" t="str">
        <f>IF('GPS Anthro Tool'!$B$4=1,"North America FMVSS","")</f>
        <v>North America FMVSS</v>
      </c>
      <c r="F990" s="506" t="s">
        <v>4242</v>
      </c>
      <c r="G990" s="507" t="s">
        <v>2161</v>
      </c>
      <c r="H990" s="509" t="s">
        <v>2162</v>
      </c>
      <c r="I990" s="506"/>
      <c r="J990" s="506"/>
      <c r="K990" s="535"/>
      <c r="L990" s="662"/>
      <c r="M990" s="535"/>
      <c r="N990" s="658"/>
      <c r="O990" s="663"/>
      <c r="P990" s="666"/>
      <c r="Q990" s="566"/>
      <c r="R990" s="535"/>
      <c r="S990" s="535" t="s">
        <v>1819</v>
      </c>
      <c r="T990" s="658" t="s">
        <v>1819</v>
      </c>
    </row>
    <row r="991" spans="1:20" s="508" customFormat="1" ht="60" hidden="1">
      <c r="A991" s="518"/>
      <c r="B991" s="509" t="s">
        <v>2144</v>
      </c>
      <c r="C991" s="509" t="s">
        <v>2146</v>
      </c>
      <c r="D991" s="509" t="s">
        <v>2147</v>
      </c>
      <c r="E991" s="509" t="str">
        <f>IF('GPS Anthro Tool'!$B$4=1,"North America FMVSS","")</f>
        <v>North America FMVSS</v>
      </c>
      <c r="F991" s="506" t="s">
        <v>4242</v>
      </c>
      <c r="G991" s="506" t="s">
        <v>2149</v>
      </c>
      <c r="H991" s="509" t="s">
        <v>2150</v>
      </c>
      <c r="I991" s="506"/>
      <c r="J991" s="506"/>
      <c r="K991" s="535"/>
      <c r="L991" s="662"/>
      <c r="M991" s="535"/>
      <c r="N991" s="658"/>
      <c r="O991" s="663"/>
      <c r="P991" s="666"/>
      <c r="Q991" s="566"/>
      <c r="R991" s="535"/>
      <c r="S991" s="535" t="s">
        <v>1819</v>
      </c>
      <c r="T991" s="658" t="s">
        <v>1819</v>
      </c>
    </row>
    <row r="992" spans="1:20" s="508" customFormat="1" ht="105" hidden="1">
      <c r="A992" s="518"/>
      <c r="B992" s="509" t="s">
        <v>2144</v>
      </c>
      <c r="C992" s="509" t="s">
        <v>2151</v>
      </c>
      <c r="D992" s="509" t="s">
        <v>2152</v>
      </c>
      <c r="E992" s="509" t="str">
        <f>IF('GPS Anthro Tool'!$B$4=1,"North America FMVSS","")</f>
        <v>North America FMVSS</v>
      </c>
      <c r="F992" s="506" t="s">
        <v>4242</v>
      </c>
      <c r="G992" s="507" t="s">
        <v>2153</v>
      </c>
      <c r="H992" s="509" t="s">
        <v>2154</v>
      </c>
      <c r="I992" s="506"/>
      <c r="J992" s="506"/>
      <c r="K992" s="535"/>
      <c r="L992" s="662"/>
      <c r="M992" s="535"/>
      <c r="N992" s="658"/>
      <c r="O992" s="663"/>
      <c r="P992" s="666"/>
      <c r="Q992" s="566"/>
      <c r="R992" s="535"/>
      <c r="S992" s="535" t="s">
        <v>1819</v>
      </c>
      <c r="T992" s="658" t="s">
        <v>1819</v>
      </c>
    </row>
    <row r="993" spans="1:20" s="508" customFormat="1" ht="75" hidden="1">
      <c r="A993" s="518"/>
      <c r="B993" s="509" t="s">
        <v>2144</v>
      </c>
      <c r="C993" s="509" t="s">
        <v>2155</v>
      </c>
      <c r="D993" s="509" t="s">
        <v>2156</v>
      </c>
      <c r="E993" s="509" t="str">
        <f>IF('GPS Anthro Tool'!$B$4=1,"North America FMVSS","")</f>
        <v>North America FMVSS</v>
      </c>
      <c r="F993" s="506" t="s">
        <v>4242</v>
      </c>
      <c r="G993" s="507" t="s">
        <v>2157</v>
      </c>
      <c r="H993" s="509" t="s">
        <v>2158</v>
      </c>
      <c r="I993" s="506"/>
      <c r="J993" s="506"/>
      <c r="K993" s="535"/>
      <c r="L993" s="662"/>
      <c r="M993" s="535"/>
      <c r="N993" s="658"/>
      <c r="O993" s="663"/>
      <c r="P993" s="666"/>
      <c r="Q993" s="566"/>
      <c r="R993" s="535"/>
      <c r="S993" s="535" t="s">
        <v>1819</v>
      </c>
      <c r="T993" s="658" t="s">
        <v>1819</v>
      </c>
    </row>
    <row r="994" spans="1:20" s="508" customFormat="1" ht="45" hidden="1">
      <c r="A994" s="518"/>
      <c r="B994" s="509" t="s">
        <v>2039</v>
      </c>
      <c r="C994" s="509" t="s">
        <v>2040</v>
      </c>
      <c r="D994" s="509" t="s">
        <v>2043</v>
      </c>
      <c r="E994" s="509" t="str">
        <f>IF('GPS Anthro Tool'!$B$4=1,"North America FMVSS","")</f>
        <v>North America FMVSS</v>
      </c>
      <c r="F994" s="507" t="s">
        <v>4242</v>
      </c>
      <c r="G994" s="506" t="s">
        <v>2036</v>
      </c>
      <c r="H994" s="509" t="s">
        <v>2044</v>
      </c>
      <c r="I994" s="506"/>
      <c r="J994" s="506"/>
      <c r="K994" s="535"/>
      <c r="L994" s="662"/>
      <c r="M994" s="535"/>
      <c r="N994" s="658"/>
      <c r="O994" s="663"/>
      <c r="P994" s="666"/>
      <c r="Q994" s="566"/>
      <c r="R994" s="535"/>
      <c r="S994" s="535" t="s">
        <v>1819</v>
      </c>
      <c r="T994" s="667"/>
    </row>
    <row r="995" spans="1:20" s="508" customFormat="1" ht="45" hidden="1">
      <c r="A995" s="518"/>
      <c r="B995" s="506"/>
      <c r="C995" s="506" t="s">
        <v>2039</v>
      </c>
      <c r="D995" s="509" t="s">
        <v>2043</v>
      </c>
      <c r="E995" s="509" t="str">
        <f>IF('GPS Anthro Tool'!$B$4=1,"North America FMVSS","")</f>
        <v>North America FMVSS</v>
      </c>
      <c r="F995" s="507" t="s">
        <v>4242</v>
      </c>
      <c r="G995" s="509" t="s">
        <v>2040</v>
      </c>
      <c r="H995" s="509" t="s">
        <v>2044</v>
      </c>
      <c r="I995" s="509"/>
      <c r="J995" s="506"/>
      <c r="K995" s="527" t="s">
        <v>315</v>
      </c>
      <c r="L995" s="526" t="s">
        <v>315</v>
      </c>
      <c r="M995" s="527" t="s">
        <v>315</v>
      </c>
      <c r="N995" s="528" t="s">
        <v>315</v>
      </c>
      <c r="O995" s="663"/>
      <c r="P995" s="529"/>
      <c r="Q995" s="531"/>
      <c r="R995" s="530"/>
      <c r="S995" s="530" t="s">
        <v>315</v>
      </c>
      <c r="T995" s="667"/>
    </row>
    <row r="996" spans="1:20" s="508" customFormat="1" ht="45" hidden="1">
      <c r="A996" s="518"/>
      <c r="B996" s="506"/>
      <c r="C996" s="509"/>
      <c r="D996" s="509" t="s">
        <v>2043</v>
      </c>
      <c r="E996" s="509" t="str">
        <f>IF('GPS Anthro Tool'!$B$4=1,"North America FMVSS","")</f>
        <v>North America FMVSS</v>
      </c>
      <c r="F996" s="507" t="s">
        <v>4242</v>
      </c>
      <c r="G996" s="509" t="s">
        <v>2963</v>
      </c>
      <c r="H996" s="509" t="s">
        <v>2964</v>
      </c>
      <c r="I996" s="509"/>
      <c r="J996" s="509"/>
      <c r="K996" s="527" t="s">
        <v>315</v>
      </c>
      <c r="L996" s="526" t="s">
        <v>315</v>
      </c>
      <c r="M996" s="527" t="s">
        <v>315</v>
      </c>
      <c r="N996" s="528" t="s">
        <v>315</v>
      </c>
      <c r="O996" s="663"/>
      <c r="P996" s="529"/>
      <c r="Q996" s="531"/>
      <c r="R996" s="530"/>
      <c r="S996" s="530" t="s">
        <v>315</v>
      </c>
      <c r="T996" s="667"/>
    </row>
    <row r="997" spans="1:20" s="508" customFormat="1" ht="105" hidden="1">
      <c r="A997" s="518"/>
      <c r="B997" s="670" t="s">
        <v>3965</v>
      </c>
      <c r="C997" s="659" t="s">
        <v>2222</v>
      </c>
      <c r="D997" s="660" t="s">
        <v>2223</v>
      </c>
      <c r="E997" s="509" t="str">
        <f>IF('GPS Anthro Tool'!$B$4=1,"North America FMVSS","")</f>
        <v>North America FMVSS</v>
      </c>
      <c r="F997" s="506" t="s">
        <v>4242</v>
      </c>
      <c r="G997" s="506"/>
      <c r="H997" s="659" t="s">
        <v>2224</v>
      </c>
      <c r="I997" s="639"/>
      <c r="J997" s="513"/>
      <c r="K997" s="647"/>
      <c r="L997" s="526" t="s">
        <v>315</v>
      </c>
      <c r="M997" s="527" t="s">
        <v>315</v>
      </c>
      <c r="N997" s="528" t="s">
        <v>315</v>
      </c>
      <c r="O997" s="663"/>
      <c r="P997" s="529"/>
      <c r="Q997" s="531"/>
      <c r="R997" s="530"/>
      <c r="S997" s="530" t="s">
        <v>315</v>
      </c>
      <c r="T997" s="667"/>
    </row>
    <row r="998" spans="1:20" s="508" customFormat="1" ht="105" hidden="1">
      <c r="A998" s="518"/>
      <c r="B998" s="509" t="s">
        <v>2206</v>
      </c>
      <c r="C998" s="509" t="s">
        <v>2222</v>
      </c>
      <c r="D998" s="509" t="s">
        <v>2223</v>
      </c>
      <c r="E998" s="509" t="str">
        <f>IF('GPS Anthro Tool'!$B$4=1,"North America FMVSS","")</f>
        <v>North America FMVSS</v>
      </c>
      <c r="F998" s="507" t="s">
        <v>4242</v>
      </c>
      <c r="G998" s="506"/>
      <c r="H998" s="509" t="s">
        <v>2224</v>
      </c>
      <c r="I998" s="506"/>
      <c r="J998" s="506"/>
      <c r="K998" s="535"/>
      <c r="L998" s="662"/>
      <c r="M998" s="535"/>
      <c r="N998" s="658"/>
      <c r="O998" s="663"/>
      <c r="P998" s="666"/>
      <c r="Q998" s="566"/>
      <c r="R998" s="535"/>
      <c r="S998" s="535" t="s">
        <v>1819</v>
      </c>
      <c r="T998" s="667"/>
    </row>
    <row r="999" spans="1:20" s="508" customFormat="1" ht="105" hidden="1">
      <c r="A999" s="518"/>
      <c r="B999" s="506"/>
      <c r="C999" s="506" t="s">
        <v>2206</v>
      </c>
      <c r="D999" s="509" t="s">
        <v>2223</v>
      </c>
      <c r="E999" s="509" t="str">
        <f>IF('GPS Anthro Tool'!$B$4=1,"North America FMVSS","")</f>
        <v>North America FMVSS</v>
      </c>
      <c r="F999" s="507" t="s">
        <v>4242</v>
      </c>
      <c r="G999" s="509" t="s">
        <v>2222</v>
      </c>
      <c r="H999" s="509" t="s">
        <v>2224</v>
      </c>
      <c r="I999" s="533"/>
      <c r="J999" s="506"/>
      <c r="K999" s="527" t="s">
        <v>315</v>
      </c>
      <c r="L999" s="526" t="s">
        <v>315</v>
      </c>
      <c r="M999" s="527" t="s">
        <v>315</v>
      </c>
      <c r="N999" s="528" t="s">
        <v>315</v>
      </c>
      <c r="O999" s="663"/>
      <c r="P999" s="529"/>
      <c r="Q999" s="531"/>
      <c r="R999" s="530"/>
      <c r="S999" s="530" t="s">
        <v>315</v>
      </c>
      <c r="T999" s="667"/>
    </row>
    <row r="1000" spans="1:20" s="508" customFormat="1" ht="105" hidden="1">
      <c r="A1000" s="518"/>
      <c r="B1000" s="506"/>
      <c r="C1000" s="506" t="s">
        <v>2206</v>
      </c>
      <c r="D1000" s="514" t="s">
        <v>2223</v>
      </c>
      <c r="E1000" s="509" t="str">
        <f>IF('GPS Anthro Tool'!$B$4=1,"North America FMVSS","")</f>
        <v>North America FMVSS</v>
      </c>
      <c r="F1000" s="507" t="s">
        <v>4242</v>
      </c>
      <c r="G1000" s="514" t="s">
        <v>2222</v>
      </c>
      <c r="H1000" s="514" t="s">
        <v>2224</v>
      </c>
      <c r="I1000" s="675"/>
      <c r="J1000" s="513" t="s">
        <v>2999</v>
      </c>
      <c r="K1000" s="527" t="s">
        <v>315</v>
      </c>
      <c r="L1000" s="526" t="s">
        <v>315</v>
      </c>
      <c r="M1000" s="527" t="s">
        <v>315</v>
      </c>
      <c r="N1000" s="528" t="s">
        <v>315</v>
      </c>
      <c r="O1000" s="663"/>
      <c r="P1000" s="529"/>
      <c r="Q1000" s="531"/>
      <c r="R1000" s="530"/>
      <c r="S1000" s="530" t="s">
        <v>315</v>
      </c>
      <c r="T1000" s="667"/>
    </row>
    <row r="1001" spans="1:20" s="508" customFormat="1" ht="120" hidden="1">
      <c r="A1001" s="518"/>
      <c r="B1001" s="509" t="s">
        <v>4297</v>
      </c>
      <c r="C1001" s="509" t="s">
        <v>2285</v>
      </c>
      <c r="D1001" s="509" t="s">
        <v>2286</v>
      </c>
      <c r="E1001" s="509" t="str">
        <f>IF('GPS Anthro Tool'!$B$4=1,"North America FMVSS","")</f>
        <v>North America FMVSS</v>
      </c>
      <c r="F1001" s="506" t="s">
        <v>4242</v>
      </c>
      <c r="G1001" s="507" t="s">
        <v>2287</v>
      </c>
      <c r="H1001" s="509" t="s">
        <v>2288</v>
      </c>
      <c r="I1001" s="506"/>
      <c r="J1001" s="506"/>
      <c r="K1001" s="535"/>
      <c r="L1001" s="662"/>
      <c r="M1001" s="535"/>
      <c r="N1001" s="658"/>
      <c r="O1001" s="663"/>
      <c r="P1001" s="666"/>
      <c r="Q1001" s="566"/>
      <c r="R1001" s="535"/>
      <c r="S1001" s="535" t="s">
        <v>1819</v>
      </c>
      <c r="T1001" s="667"/>
    </row>
    <row r="1002" spans="1:20" s="508" customFormat="1" ht="120" hidden="1">
      <c r="A1002" s="518"/>
      <c r="B1002" s="506"/>
      <c r="C1002" s="506" t="s">
        <v>4297</v>
      </c>
      <c r="D1002" s="509" t="s">
        <v>2286</v>
      </c>
      <c r="E1002" s="509" t="str">
        <f>IF('GPS Anthro Tool'!$B$4=1,"North America FMVSS","")</f>
        <v>North America FMVSS</v>
      </c>
      <c r="F1002" s="507" t="s">
        <v>4242</v>
      </c>
      <c r="G1002" s="509" t="s">
        <v>2285</v>
      </c>
      <c r="H1002" s="509" t="s">
        <v>2288</v>
      </c>
      <c r="I1002" s="509"/>
      <c r="J1002" s="506"/>
      <c r="K1002" s="527" t="s">
        <v>315</v>
      </c>
      <c r="L1002" s="526" t="s">
        <v>315</v>
      </c>
      <c r="M1002" s="527" t="s">
        <v>315</v>
      </c>
      <c r="N1002" s="528" t="s">
        <v>315</v>
      </c>
      <c r="O1002" s="663"/>
      <c r="P1002" s="529"/>
      <c r="Q1002" s="531"/>
      <c r="R1002" s="530"/>
      <c r="S1002" s="530" t="s">
        <v>315</v>
      </c>
      <c r="T1002" s="667"/>
    </row>
    <row r="1003" spans="1:20" s="508" customFormat="1" ht="45" hidden="1">
      <c r="A1003" s="518"/>
      <c r="B1003" s="509" t="s">
        <v>2206</v>
      </c>
      <c r="C1003" s="509" t="s">
        <v>2207</v>
      </c>
      <c r="D1003" s="509" t="s">
        <v>2208</v>
      </c>
      <c r="E1003" s="509" t="str">
        <f>IF('GPS Anthro Tool'!$B$4=1,"North America FMVSS","")</f>
        <v>North America FMVSS</v>
      </c>
      <c r="F1003" s="507" t="s">
        <v>4242</v>
      </c>
      <c r="G1003" s="506" t="s">
        <v>2209</v>
      </c>
      <c r="H1003" s="509" t="s">
        <v>2210</v>
      </c>
      <c r="I1003" s="506"/>
      <c r="J1003" s="506"/>
      <c r="K1003" s="535"/>
      <c r="L1003" s="662"/>
      <c r="M1003" s="535"/>
      <c r="N1003" s="658"/>
      <c r="O1003" s="663"/>
      <c r="P1003" s="666"/>
      <c r="Q1003" s="566"/>
      <c r="R1003" s="535"/>
      <c r="S1003" s="535" t="s">
        <v>1819</v>
      </c>
      <c r="T1003" s="667"/>
    </row>
    <row r="1004" spans="1:20" s="508" customFormat="1" ht="45" hidden="1">
      <c r="A1004" s="518"/>
      <c r="B1004" s="506"/>
      <c r="C1004" s="513"/>
      <c r="D1004" s="514" t="s">
        <v>2208</v>
      </c>
      <c r="E1004" s="509" t="str">
        <f>IF('GPS Anthro Tool'!$B$4=1,"North America FMVSS","")</f>
        <v>North America FMVSS</v>
      </c>
      <c r="F1004" s="506" t="s">
        <v>4242</v>
      </c>
      <c r="G1004" s="514" t="s">
        <v>2207</v>
      </c>
      <c r="H1004" s="514" t="s">
        <v>2210</v>
      </c>
      <c r="I1004" s="514"/>
      <c r="J1004" s="513" t="s">
        <v>3960</v>
      </c>
      <c r="K1004" s="527" t="s">
        <v>315</v>
      </c>
      <c r="L1004" s="526" t="s">
        <v>315</v>
      </c>
      <c r="M1004" s="527" t="s">
        <v>315</v>
      </c>
      <c r="N1004" s="528" t="s">
        <v>315</v>
      </c>
      <c r="O1004" s="663"/>
      <c r="P1004" s="529"/>
      <c r="Q1004" s="531"/>
      <c r="R1004" s="530"/>
      <c r="S1004" s="530" t="s">
        <v>315</v>
      </c>
      <c r="T1004" s="667"/>
    </row>
    <row r="1005" spans="1:20" s="508" customFormat="1" ht="75" hidden="1">
      <c r="A1005" s="518"/>
      <c r="B1005" s="509" t="s">
        <v>2047</v>
      </c>
      <c r="C1005" s="509" t="s">
        <v>2048</v>
      </c>
      <c r="D1005" s="509" t="s">
        <v>2049</v>
      </c>
      <c r="E1005" s="509" t="str">
        <f>IF('GPS Anthro Tool'!$B$4=1,"North America FMVSS","")</f>
        <v>North America FMVSS</v>
      </c>
      <c r="F1005" s="507" t="s">
        <v>4242</v>
      </c>
      <c r="G1005" s="506" t="s">
        <v>604</v>
      </c>
      <c r="H1005" s="509" t="s">
        <v>2050</v>
      </c>
      <c r="I1005" s="506"/>
      <c r="J1005" s="506"/>
      <c r="K1005" s="535"/>
      <c r="L1005" s="662"/>
      <c r="M1005" s="535"/>
      <c r="N1005" s="658"/>
      <c r="O1005" s="663"/>
      <c r="P1005" s="666"/>
      <c r="Q1005" s="566"/>
      <c r="R1005" s="535"/>
      <c r="S1005" s="535" t="s">
        <v>1819</v>
      </c>
      <c r="T1005" s="667"/>
    </row>
    <row r="1006" spans="1:20" s="508" customFormat="1" ht="75" hidden="1">
      <c r="A1006" s="518"/>
      <c r="B1006" s="509" t="s">
        <v>2281</v>
      </c>
      <c r="C1006" s="509" t="s">
        <v>2281</v>
      </c>
      <c r="D1006" s="509" t="s">
        <v>2282</v>
      </c>
      <c r="E1006" s="509" t="str">
        <f>IF('GPS Anthro Tool'!$B$4=1,"North America FMVSS","")</f>
        <v>North America FMVSS</v>
      </c>
      <c r="F1006" s="506" t="s">
        <v>4242</v>
      </c>
      <c r="G1006" s="507" t="s">
        <v>2283</v>
      </c>
      <c r="H1006" s="509" t="s">
        <v>2284</v>
      </c>
      <c r="I1006" s="506"/>
      <c r="J1006" s="506"/>
      <c r="K1006" s="535"/>
      <c r="L1006" s="662"/>
      <c r="M1006" s="535"/>
      <c r="N1006" s="658"/>
      <c r="O1006" s="663"/>
      <c r="P1006" s="666"/>
      <c r="Q1006" s="566"/>
      <c r="R1006" s="535"/>
      <c r="S1006" s="535" t="s">
        <v>1819</v>
      </c>
      <c r="T1006" s="658" t="s">
        <v>1819</v>
      </c>
    </row>
    <row r="1007" spans="1:20" s="508" customFormat="1" ht="75" hidden="1">
      <c r="A1007" s="518"/>
      <c r="B1007" s="509" t="s">
        <v>1803</v>
      </c>
      <c r="C1007" s="509" t="s">
        <v>2199</v>
      </c>
      <c r="D1007" s="509" t="s">
        <v>2200</v>
      </c>
      <c r="E1007" s="509" t="str">
        <f>IF('GPS Anthro Tool'!$B$4=1,"North America FMVSS","")</f>
        <v>North America FMVSS</v>
      </c>
      <c r="F1007" s="507" t="s">
        <v>4242</v>
      </c>
      <c r="G1007" s="507" t="s">
        <v>2201</v>
      </c>
      <c r="H1007" s="509" t="s">
        <v>2202</v>
      </c>
      <c r="I1007" s="506"/>
      <c r="J1007" s="506"/>
      <c r="K1007" s="535"/>
      <c r="L1007" s="662"/>
      <c r="M1007" s="535"/>
      <c r="N1007" s="658"/>
      <c r="O1007" s="663"/>
      <c r="P1007" s="666"/>
      <c r="Q1007" s="566"/>
      <c r="R1007" s="535"/>
      <c r="S1007" s="535" t="s">
        <v>1819</v>
      </c>
      <c r="T1007" s="667"/>
    </row>
    <row r="1008" spans="1:20" s="508" customFormat="1" ht="45" hidden="1">
      <c r="A1008" s="518"/>
      <c r="B1008" s="509" t="s">
        <v>1994</v>
      </c>
      <c r="C1008" s="509" t="s">
        <v>1999</v>
      </c>
      <c r="D1008" s="509" t="s">
        <v>1996</v>
      </c>
      <c r="E1008" s="509" t="str">
        <f>IF('GPS Anthro Tool'!$B$4=1,"North America FMVSS","")</f>
        <v>North America FMVSS</v>
      </c>
      <c r="F1008" s="507" t="s">
        <v>4242</v>
      </c>
      <c r="G1008" s="506" t="s">
        <v>1997</v>
      </c>
      <c r="H1008" s="509" t="s">
        <v>2000</v>
      </c>
      <c r="I1008" s="506"/>
      <c r="J1008" s="506"/>
      <c r="K1008" s="535"/>
      <c r="L1008" s="662"/>
      <c r="M1008" s="535"/>
      <c r="N1008" s="658"/>
      <c r="O1008" s="663"/>
      <c r="P1008" s="666"/>
      <c r="Q1008" s="566"/>
      <c r="R1008" s="535"/>
      <c r="S1008" s="535" t="s">
        <v>1819</v>
      </c>
      <c r="T1008" s="667"/>
    </row>
    <row r="1009" spans="1:20" s="508" customFormat="1" ht="45" hidden="1">
      <c r="A1009" s="518"/>
      <c r="B1009" s="509" t="s">
        <v>1994</v>
      </c>
      <c r="C1009" s="509" t="s">
        <v>1995</v>
      </c>
      <c r="D1009" s="509" t="s">
        <v>1996</v>
      </c>
      <c r="E1009" s="509" t="str">
        <f>IF('GPS Anthro Tool'!$B$4=1,"North America FMVSS","")</f>
        <v>North America FMVSS</v>
      </c>
      <c r="F1009" s="507" t="s">
        <v>4242</v>
      </c>
      <c r="G1009" s="506" t="s">
        <v>1997</v>
      </c>
      <c r="H1009" s="509" t="s">
        <v>1998</v>
      </c>
      <c r="I1009" s="506"/>
      <c r="J1009" s="506"/>
      <c r="K1009" s="535"/>
      <c r="L1009" s="662"/>
      <c r="M1009" s="535"/>
      <c r="N1009" s="658"/>
      <c r="O1009" s="663"/>
      <c r="P1009" s="666"/>
      <c r="Q1009" s="566"/>
      <c r="R1009" s="535"/>
      <c r="S1009" s="535" t="s">
        <v>1819</v>
      </c>
      <c r="T1009" s="667"/>
    </row>
    <row r="1010" spans="1:20" s="508" customFormat="1" ht="90" hidden="1">
      <c r="A1010" s="518"/>
      <c r="B1010" s="509" t="s">
        <v>1994</v>
      </c>
      <c r="C1010" s="509" t="s">
        <v>2004</v>
      </c>
      <c r="D1010" s="509" t="s">
        <v>1996</v>
      </c>
      <c r="E1010" s="509" t="str">
        <f>IF('GPS Anthro Tool'!$B$4=1,"North America FMVSS","")</f>
        <v>North America FMVSS</v>
      </c>
      <c r="F1010" s="507" t="s">
        <v>4242</v>
      </c>
      <c r="G1010" s="506" t="s">
        <v>1997</v>
      </c>
      <c r="H1010" s="509" t="s">
        <v>2002</v>
      </c>
      <c r="I1010" s="506"/>
      <c r="J1010" s="506"/>
      <c r="K1010" s="535"/>
      <c r="L1010" s="662"/>
      <c r="M1010" s="535"/>
      <c r="N1010" s="658"/>
      <c r="O1010" s="663"/>
      <c r="P1010" s="666"/>
      <c r="Q1010" s="566"/>
      <c r="R1010" s="535"/>
      <c r="S1010" s="535" t="s">
        <v>1819</v>
      </c>
      <c r="T1010" s="667"/>
    </row>
    <row r="1011" spans="1:20" s="508" customFormat="1" ht="90" hidden="1">
      <c r="A1011" s="518"/>
      <c r="B1011" s="509" t="s">
        <v>1994</v>
      </c>
      <c r="C1011" s="509" t="s">
        <v>2003</v>
      </c>
      <c r="D1011" s="509" t="s">
        <v>1996</v>
      </c>
      <c r="E1011" s="509" t="str">
        <f>IF('GPS Anthro Tool'!$B$4=1,"North America FMVSS","")</f>
        <v>North America FMVSS</v>
      </c>
      <c r="F1011" s="507" t="s">
        <v>4242</v>
      </c>
      <c r="G1011" s="506" t="s">
        <v>1997</v>
      </c>
      <c r="H1011" s="509" t="s">
        <v>2002</v>
      </c>
      <c r="I1011" s="506"/>
      <c r="J1011" s="506"/>
      <c r="K1011" s="535"/>
      <c r="L1011" s="662"/>
      <c r="M1011" s="535"/>
      <c r="N1011" s="658"/>
      <c r="O1011" s="663"/>
      <c r="P1011" s="666"/>
      <c r="Q1011" s="566"/>
      <c r="R1011" s="535"/>
      <c r="S1011" s="535" t="s">
        <v>1819</v>
      </c>
      <c r="T1011" s="667"/>
    </row>
    <row r="1012" spans="1:20" s="508" customFormat="1" ht="90" hidden="1">
      <c r="A1012" s="518"/>
      <c r="B1012" s="509" t="s">
        <v>1994</v>
      </c>
      <c r="C1012" s="509" t="s">
        <v>2001</v>
      </c>
      <c r="D1012" s="509" t="s">
        <v>1996</v>
      </c>
      <c r="E1012" s="509" t="str">
        <f>IF('GPS Anthro Tool'!$B$4=1,"North America FMVSS","")</f>
        <v>North America FMVSS</v>
      </c>
      <c r="F1012" s="507" t="s">
        <v>4242</v>
      </c>
      <c r="G1012" s="506" t="s">
        <v>1997</v>
      </c>
      <c r="H1012" s="509" t="s">
        <v>2002</v>
      </c>
      <c r="I1012" s="506"/>
      <c r="J1012" s="506"/>
      <c r="K1012" s="535"/>
      <c r="L1012" s="662"/>
      <c r="M1012" s="535"/>
      <c r="N1012" s="658"/>
      <c r="O1012" s="663"/>
      <c r="P1012" s="666"/>
      <c r="Q1012" s="566"/>
      <c r="R1012" s="535"/>
      <c r="S1012" s="535" t="s">
        <v>1819</v>
      </c>
      <c r="T1012" s="667"/>
    </row>
    <row r="1013" spans="1:20" s="362" customFormat="1" ht="30" hidden="1">
      <c r="A1013" s="518"/>
      <c r="B1013" s="509" t="s">
        <v>1994</v>
      </c>
      <c r="C1013" s="509" t="s">
        <v>2005</v>
      </c>
      <c r="D1013" s="509" t="s">
        <v>2006</v>
      </c>
      <c r="E1013" s="509" t="str">
        <f>IF('GPS Anthro Tool'!$B$4=1,"North America FMVSS","")</f>
        <v>North America FMVSS</v>
      </c>
      <c r="F1013" s="507" t="s">
        <v>4242</v>
      </c>
      <c r="G1013" s="506" t="s">
        <v>1997</v>
      </c>
      <c r="H1013" s="509" t="s">
        <v>2007</v>
      </c>
      <c r="I1013" s="506"/>
      <c r="J1013" s="506"/>
      <c r="K1013" s="535"/>
      <c r="L1013" s="662"/>
      <c r="M1013" s="535"/>
      <c r="N1013" s="658"/>
      <c r="O1013" s="663"/>
      <c r="P1013" s="666"/>
      <c r="Q1013" s="566"/>
      <c r="R1013" s="535"/>
      <c r="S1013" s="535" t="s">
        <v>1819</v>
      </c>
      <c r="T1013" s="667"/>
    </row>
    <row r="1014" spans="1:20" s="508" customFormat="1" ht="60" hidden="1">
      <c r="A1014" s="518"/>
      <c r="B1014" s="509" t="s">
        <v>1994</v>
      </c>
      <c r="C1014" s="509" t="s">
        <v>2011</v>
      </c>
      <c r="D1014" s="509" t="s">
        <v>2006</v>
      </c>
      <c r="E1014" s="509" t="str">
        <f>IF('GPS Anthro Tool'!$B$4=1,"North America FMVSS","")</f>
        <v>North America FMVSS</v>
      </c>
      <c r="F1014" s="507" t="s">
        <v>4242</v>
      </c>
      <c r="G1014" s="506" t="s">
        <v>1997</v>
      </c>
      <c r="H1014" s="509" t="s">
        <v>2012</v>
      </c>
      <c r="I1014" s="506"/>
      <c r="J1014" s="506"/>
      <c r="K1014" s="535"/>
      <c r="L1014" s="662"/>
      <c r="M1014" s="535"/>
      <c r="N1014" s="658"/>
      <c r="O1014" s="663"/>
      <c r="P1014" s="666"/>
      <c r="Q1014" s="566"/>
      <c r="R1014" s="535"/>
      <c r="S1014" s="535" t="s">
        <v>1819</v>
      </c>
      <c r="T1014" s="667"/>
    </row>
    <row r="1015" spans="1:20" s="508" customFormat="1" ht="75" hidden="1">
      <c r="A1015" s="518"/>
      <c r="B1015" s="509" t="s">
        <v>1994</v>
      </c>
      <c r="C1015" s="509" t="s">
        <v>2013</v>
      </c>
      <c r="D1015" s="509" t="s">
        <v>2006</v>
      </c>
      <c r="E1015" s="509" t="str">
        <f>IF('GPS Anthro Tool'!$B$4=1,"North America FMVSS","")</f>
        <v>North America FMVSS</v>
      </c>
      <c r="F1015" s="507" t="s">
        <v>4242</v>
      </c>
      <c r="G1015" s="506" t="s">
        <v>1997</v>
      </c>
      <c r="H1015" s="509" t="s">
        <v>2014</v>
      </c>
      <c r="I1015" s="506"/>
      <c r="J1015" s="506"/>
      <c r="K1015" s="535"/>
      <c r="L1015" s="662"/>
      <c r="M1015" s="535"/>
      <c r="N1015" s="658"/>
      <c r="O1015" s="663"/>
      <c r="P1015" s="666"/>
      <c r="Q1015" s="566"/>
      <c r="R1015" s="535"/>
      <c r="S1015" s="535" t="s">
        <v>1819</v>
      </c>
      <c r="T1015" s="667"/>
    </row>
    <row r="1016" spans="1:20" s="508" customFormat="1" ht="75" hidden="1">
      <c r="A1016" s="518"/>
      <c r="B1016" s="509" t="s">
        <v>1994</v>
      </c>
      <c r="C1016" s="509" t="s">
        <v>2015</v>
      </c>
      <c r="D1016" s="509" t="s">
        <v>2016</v>
      </c>
      <c r="E1016" s="509" t="str">
        <f>IF('GPS Anthro Tool'!$B$4=1,"North America FMVSS","")</f>
        <v>North America FMVSS</v>
      </c>
      <c r="F1016" s="507" t="s">
        <v>4242</v>
      </c>
      <c r="G1016" s="506" t="s">
        <v>1997</v>
      </c>
      <c r="H1016" s="509" t="s">
        <v>2017</v>
      </c>
      <c r="I1016" s="506"/>
      <c r="J1016" s="506"/>
      <c r="K1016" s="535"/>
      <c r="L1016" s="662"/>
      <c r="M1016" s="535"/>
      <c r="N1016" s="658"/>
      <c r="O1016" s="663"/>
      <c r="P1016" s="666"/>
      <c r="Q1016" s="566"/>
      <c r="R1016" s="535"/>
      <c r="S1016" s="535" t="s">
        <v>1819</v>
      </c>
      <c r="T1016" s="667"/>
    </row>
    <row r="1017" spans="1:20" s="508" customFormat="1" ht="75" hidden="1">
      <c r="A1017" s="518"/>
      <c r="B1017" s="509" t="s">
        <v>1994</v>
      </c>
      <c r="C1017" s="509" t="s">
        <v>2008</v>
      </c>
      <c r="D1017" s="509" t="s">
        <v>2009</v>
      </c>
      <c r="E1017" s="509" t="str">
        <f>IF('GPS Anthro Tool'!$B$4=1,"North America FMVSS","")</f>
        <v>North America FMVSS</v>
      </c>
      <c r="F1017" s="507" t="s">
        <v>4242</v>
      </c>
      <c r="G1017" s="506" t="s">
        <v>1997</v>
      </c>
      <c r="H1017" s="509" t="s">
        <v>2010</v>
      </c>
      <c r="I1017" s="506"/>
      <c r="J1017" s="506"/>
      <c r="K1017" s="535"/>
      <c r="L1017" s="662"/>
      <c r="M1017" s="535"/>
      <c r="N1017" s="658"/>
      <c r="O1017" s="663"/>
      <c r="P1017" s="666"/>
      <c r="Q1017" s="566"/>
      <c r="R1017" s="535"/>
      <c r="S1017" s="535" t="s">
        <v>1819</v>
      </c>
      <c r="T1017" s="667"/>
    </row>
    <row r="1018" spans="1:20" s="508" customFormat="1" ht="75" hidden="1">
      <c r="A1018" s="518"/>
      <c r="B1018" s="509" t="s">
        <v>1994</v>
      </c>
      <c r="C1018" s="509" t="s">
        <v>2018</v>
      </c>
      <c r="D1018" s="509" t="s">
        <v>2019</v>
      </c>
      <c r="E1018" s="509" t="str">
        <f>IF('GPS Anthro Tool'!$B$4=1,"North America FMVSS","")</f>
        <v>North America FMVSS</v>
      </c>
      <c r="F1018" s="507" t="s">
        <v>4242</v>
      </c>
      <c r="G1018" s="506" t="s">
        <v>1997</v>
      </c>
      <c r="H1018" s="509" t="s">
        <v>2020</v>
      </c>
      <c r="I1018" s="506"/>
      <c r="J1018" s="506"/>
      <c r="K1018" s="535"/>
      <c r="L1018" s="662"/>
      <c r="M1018" s="535"/>
      <c r="N1018" s="658"/>
      <c r="O1018" s="663"/>
      <c r="P1018" s="666"/>
      <c r="Q1018" s="566"/>
      <c r="R1018" s="535"/>
      <c r="S1018" s="535" t="s">
        <v>1819</v>
      </c>
      <c r="T1018" s="658" t="s">
        <v>1819</v>
      </c>
    </row>
    <row r="1019" spans="1:20" s="508" customFormat="1" ht="45" hidden="1">
      <c r="A1019" s="518"/>
      <c r="B1019" s="509" t="s">
        <v>1994</v>
      </c>
      <c r="C1019" s="509" t="s">
        <v>2021</v>
      </c>
      <c r="D1019" s="509" t="s">
        <v>2022</v>
      </c>
      <c r="E1019" s="509" t="str">
        <f>IF('GPS Anthro Tool'!$B$4=1,"North America FMVSS","")</f>
        <v>North America FMVSS</v>
      </c>
      <c r="F1019" s="507" t="s">
        <v>4242</v>
      </c>
      <c r="G1019" s="506" t="s">
        <v>1997</v>
      </c>
      <c r="H1019" s="509" t="s">
        <v>2023</v>
      </c>
      <c r="I1019" s="506"/>
      <c r="J1019" s="506"/>
      <c r="K1019" s="535"/>
      <c r="L1019" s="662"/>
      <c r="M1019" s="535"/>
      <c r="N1019" s="658"/>
      <c r="O1019" s="663"/>
      <c r="P1019" s="666"/>
      <c r="Q1019" s="566"/>
      <c r="R1019" s="535"/>
      <c r="S1019" s="535" t="s">
        <v>1819</v>
      </c>
      <c r="T1019" s="667"/>
    </row>
    <row r="1020" spans="1:20" s="508" customFormat="1" ht="45" hidden="1">
      <c r="A1020" s="518"/>
      <c r="B1020" s="509" t="s">
        <v>1994</v>
      </c>
      <c r="C1020" s="509" t="s">
        <v>2021</v>
      </c>
      <c r="D1020" s="509" t="s">
        <v>2022</v>
      </c>
      <c r="E1020" s="509" t="str">
        <f>IF('GPS Anthro Tool'!$B$4=1,"North America FMVSS","")</f>
        <v>North America FMVSS</v>
      </c>
      <c r="F1020" s="507" t="s">
        <v>4242</v>
      </c>
      <c r="G1020" s="506" t="s">
        <v>1997</v>
      </c>
      <c r="H1020" s="509" t="s">
        <v>2024</v>
      </c>
      <c r="I1020" s="506"/>
      <c r="J1020" s="506"/>
      <c r="K1020" s="535"/>
      <c r="L1020" s="662"/>
      <c r="M1020" s="535"/>
      <c r="N1020" s="658"/>
      <c r="O1020" s="663"/>
      <c r="P1020" s="666"/>
      <c r="Q1020" s="566"/>
      <c r="R1020" s="535"/>
      <c r="S1020" s="535" t="s">
        <v>1819</v>
      </c>
      <c r="T1020" s="667"/>
    </row>
    <row r="1021" spans="1:20" s="508" customFormat="1" ht="120" hidden="1">
      <c r="A1021" s="518"/>
      <c r="B1021" s="509" t="s">
        <v>1994</v>
      </c>
      <c r="C1021" s="509" t="s">
        <v>2025</v>
      </c>
      <c r="D1021" s="509" t="s">
        <v>2026</v>
      </c>
      <c r="E1021" s="509" t="str">
        <f>IF('GPS Anthro Tool'!$B$4=1,"North America FMVSS","")</f>
        <v>North America FMVSS</v>
      </c>
      <c r="F1021" s="507" t="s">
        <v>4242</v>
      </c>
      <c r="G1021" s="506" t="s">
        <v>1997</v>
      </c>
      <c r="H1021" s="509" t="s">
        <v>2027</v>
      </c>
      <c r="I1021" s="506"/>
      <c r="J1021" s="506"/>
      <c r="K1021" s="535"/>
      <c r="L1021" s="662"/>
      <c r="M1021" s="535"/>
      <c r="N1021" s="658"/>
      <c r="O1021" s="663"/>
      <c r="P1021" s="666"/>
      <c r="Q1021" s="566"/>
      <c r="R1021" s="535"/>
      <c r="S1021" s="535" t="s">
        <v>1819</v>
      </c>
      <c r="T1021" s="667"/>
    </row>
    <row r="1022" spans="1:20" s="508" customFormat="1" ht="45" hidden="1">
      <c r="A1022" s="518"/>
      <c r="B1022" s="670" t="s">
        <v>3961</v>
      </c>
      <c r="C1022" s="660" t="s">
        <v>2001</v>
      </c>
      <c r="D1022" s="660" t="s">
        <v>2948</v>
      </c>
      <c r="E1022" s="509" t="str">
        <f>IF('GPS Anthro Tool'!$B$4=1,"North America FMVSS","")</f>
        <v>North America FMVSS</v>
      </c>
      <c r="F1022" s="507" t="s">
        <v>4242</v>
      </c>
      <c r="G1022" s="506"/>
      <c r="H1022" s="660" t="s">
        <v>2949</v>
      </c>
      <c r="I1022" s="639"/>
      <c r="J1022" s="513"/>
      <c r="K1022" s="647"/>
      <c r="L1022" s="526" t="s">
        <v>315</v>
      </c>
      <c r="M1022" s="527" t="s">
        <v>315</v>
      </c>
      <c r="N1022" s="528" t="s">
        <v>315</v>
      </c>
      <c r="O1022" s="663"/>
      <c r="P1022" s="529"/>
      <c r="Q1022" s="531"/>
      <c r="R1022" s="530"/>
      <c r="S1022" s="530" t="s">
        <v>315</v>
      </c>
      <c r="T1022" s="667"/>
    </row>
    <row r="1023" spans="1:20" s="508" customFormat="1" ht="60" hidden="1">
      <c r="A1023" s="518"/>
      <c r="B1023" s="670" t="s">
        <v>3961</v>
      </c>
      <c r="C1023" s="659" t="s">
        <v>2947</v>
      </c>
      <c r="D1023" s="660" t="s">
        <v>2946</v>
      </c>
      <c r="E1023" s="509" t="str">
        <f>IF('GPS Anthro Tool'!$B$4=1,"North America FMVSS","")</f>
        <v>North America FMVSS</v>
      </c>
      <c r="F1023" s="507" t="s">
        <v>4242</v>
      </c>
      <c r="G1023" s="506"/>
      <c r="H1023" s="659" t="s">
        <v>2364</v>
      </c>
      <c r="I1023" s="639"/>
      <c r="J1023" s="513"/>
      <c r="K1023" s="647"/>
      <c r="L1023" s="526" t="s">
        <v>315</v>
      </c>
      <c r="M1023" s="527" t="s">
        <v>315</v>
      </c>
      <c r="N1023" s="528" t="s">
        <v>315</v>
      </c>
      <c r="O1023" s="663"/>
      <c r="P1023" s="529"/>
      <c r="Q1023" s="531"/>
      <c r="R1023" s="530"/>
      <c r="S1023" s="530" t="s">
        <v>315</v>
      </c>
      <c r="T1023" s="667"/>
    </row>
    <row r="1024" spans="1:20" s="508" customFormat="1" ht="60" hidden="1">
      <c r="A1024" s="518"/>
      <c r="B1024" s="670" t="s">
        <v>3961</v>
      </c>
      <c r="C1024" s="659" t="s">
        <v>2011</v>
      </c>
      <c r="D1024" s="660" t="s">
        <v>3978</v>
      </c>
      <c r="E1024" s="509" t="str">
        <f>IF('GPS Anthro Tool'!$B$4=1,"North America FMVSS","")</f>
        <v>North America FMVSS</v>
      </c>
      <c r="F1024" s="507" t="s">
        <v>4242</v>
      </c>
      <c r="G1024" s="506"/>
      <c r="H1024" s="659" t="s">
        <v>4000</v>
      </c>
      <c r="I1024" s="639"/>
      <c r="J1024" s="513"/>
      <c r="K1024" s="647"/>
      <c r="L1024" s="526" t="s">
        <v>315</v>
      </c>
      <c r="M1024" s="527" t="s">
        <v>315</v>
      </c>
      <c r="N1024" s="528" t="s">
        <v>315</v>
      </c>
      <c r="O1024" s="663"/>
      <c r="P1024" s="529"/>
      <c r="Q1024" s="531"/>
      <c r="R1024" s="530"/>
      <c r="S1024" s="530" t="s">
        <v>315</v>
      </c>
      <c r="T1024" s="667"/>
    </row>
    <row r="1025" spans="1:20" s="508" customFormat="1" ht="75" hidden="1">
      <c r="A1025" s="518"/>
      <c r="B1025" s="670" t="s">
        <v>3961</v>
      </c>
      <c r="C1025" s="660" t="s">
        <v>2018</v>
      </c>
      <c r="D1025" s="660" t="s">
        <v>2953</v>
      </c>
      <c r="E1025" s="509" t="str">
        <f>IF('GPS Anthro Tool'!$B$4=1,"North America FMVSS","")</f>
        <v>North America FMVSS</v>
      </c>
      <c r="F1025" s="507" t="s">
        <v>4242</v>
      </c>
      <c r="G1025" s="506"/>
      <c r="H1025" s="660" t="s">
        <v>2020</v>
      </c>
      <c r="I1025" s="639"/>
      <c r="J1025" s="513"/>
      <c r="K1025" s="647"/>
      <c r="L1025" s="526" t="s">
        <v>315</v>
      </c>
      <c r="M1025" s="527" t="s">
        <v>315</v>
      </c>
      <c r="N1025" s="528" t="s">
        <v>315</v>
      </c>
      <c r="O1025" s="663"/>
      <c r="P1025" s="529"/>
      <c r="Q1025" s="531"/>
      <c r="R1025" s="530"/>
      <c r="S1025" s="530" t="s">
        <v>315</v>
      </c>
      <c r="T1025" s="667"/>
    </row>
    <row r="1026" spans="1:20" s="508" customFormat="1" ht="45" hidden="1">
      <c r="A1026" s="518">
        <v>1</v>
      </c>
      <c r="B1026" s="670" t="s">
        <v>3961</v>
      </c>
      <c r="C1026" s="660" t="s">
        <v>2021</v>
      </c>
      <c r="D1026" s="660" t="s">
        <v>3979</v>
      </c>
      <c r="E1026" s="509" t="str">
        <f>IF('GPS Anthro Tool'!$B$4=1,"North America FMVSS","")</f>
        <v>North America FMVSS</v>
      </c>
      <c r="F1026" s="507" t="s">
        <v>4242</v>
      </c>
      <c r="G1026" s="506"/>
      <c r="H1026" s="660" t="s">
        <v>2023</v>
      </c>
      <c r="I1026" s="639"/>
      <c r="J1026" s="513"/>
      <c r="K1026" s="647"/>
      <c r="L1026" s="526" t="s">
        <v>315</v>
      </c>
      <c r="M1026" s="527" t="s">
        <v>315</v>
      </c>
      <c r="N1026" s="528" t="s">
        <v>315</v>
      </c>
      <c r="O1026" s="663"/>
      <c r="P1026" s="529"/>
      <c r="Q1026" s="531"/>
      <c r="R1026" s="530"/>
      <c r="S1026" s="530" t="s">
        <v>315</v>
      </c>
      <c r="T1026" s="667"/>
    </row>
    <row r="1027" spans="1:20" s="508" customFormat="1" ht="120" hidden="1">
      <c r="A1027" s="518">
        <v>2</v>
      </c>
      <c r="B1027" s="670" t="s">
        <v>3066</v>
      </c>
      <c r="C1027" s="660" t="s">
        <v>3970</v>
      </c>
      <c r="D1027" s="660" t="s">
        <v>3980</v>
      </c>
      <c r="E1027" s="509" t="str">
        <f>IF('GPS Anthro Tool'!$B$4=1,"North America FMVSS","")</f>
        <v>North America FMVSS</v>
      </c>
      <c r="F1027" s="507" t="s">
        <v>4242</v>
      </c>
      <c r="G1027" s="506"/>
      <c r="H1027" s="660" t="s">
        <v>3988</v>
      </c>
      <c r="I1027" s="639"/>
      <c r="J1027" s="513"/>
      <c r="K1027" s="647"/>
      <c r="L1027" s="526" t="s">
        <v>315</v>
      </c>
      <c r="M1027" s="527" t="s">
        <v>315</v>
      </c>
      <c r="N1027" s="528" t="s">
        <v>315</v>
      </c>
      <c r="O1027" s="663"/>
      <c r="P1027" s="529"/>
      <c r="Q1027" s="531"/>
      <c r="R1027" s="530"/>
      <c r="S1027" s="530" t="s">
        <v>315</v>
      </c>
      <c r="T1027" s="667"/>
    </row>
    <row r="1028" spans="1:20" s="508" customFormat="1" ht="180" hidden="1">
      <c r="A1028" s="518">
        <v>3</v>
      </c>
      <c r="B1028" s="509" t="s">
        <v>1994</v>
      </c>
      <c r="C1028" s="509" t="s">
        <v>2100</v>
      </c>
      <c r="D1028" s="509" t="s">
        <v>2101</v>
      </c>
      <c r="E1028" s="509" t="str">
        <f>IF('GPS Anthro Tool'!$B$4=1,"North America FMVSS","")</f>
        <v>North America FMVSS</v>
      </c>
      <c r="F1028" s="507" t="s">
        <v>4242</v>
      </c>
      <c r="G1028" s="506" t="s">
        <v>2102</v>
      </c>
      <c r="H1028" s="509" t="s">
        <v>2103</v>
      </c>
      <c r="I1028" s="506"/>
      <c r="J1028" s="506"/>
      <c r="K1028" s="535"/>
      <c r="L1028" s="662"/>
      <c r="M1028" s="535"/>
      <c r="N1028" s="658"/>
      <c r="O1028" s="663"/>
      <c r="P1028" s="666"/>
      <c r="Q1028" s="566"/>
      <c r="R1028" s="535"/>
      <c r="S1028" s="535" t="s">
        <v>1819</v>
      </c>
      <c r="T1028" s="658" t="s">
        <v>1819</v>
      </c>
    </row>
    <row r="1029" spans="1:20" s="508" customFormat="1" ht="75" hidden="1">
      <c r="A1029" s="518">
        <v>4</v>
      </c>
      <c r="B1029" s="509" t="s">
        <v>604</v>
      </c>
      <c r="C1029" s="509" t="s">
        <v>2057</v>
      </c>
      <c r="D1029" s="509" t="s">
        <v>2058</v>
      </c>
      <c r="E1029" s="509" t="str">
        <f>IF('GPS Anthro Tool'!$B$4=1,"North America FMVSS","")</f>
        <v>North America FMVSS</v>
      </c>
      <c r="F1029" s="507" t="s">
        <v>4242</v>
      </c>
      <c r="G1029" s="506" t="s">
        <v>604</v>
      </c>
      <c r="H1029" s="509" t="s">
        <v>2059</v>
      </c>
      <c r="I1029" s="506"/>
      <c r="J1029" s="506"/>
      <c r="K1029" s="535"/>
      <c r="L1029" s="662"/>
      <c r="M1029" s="535"/>
      <c r="N1029" s="658"/>
      <c r="O1029" s="663"/>
      <c r="P1029" s="666"/>
      <c r="Q1029" s="566"/>
      <c r="R1029" s="535"/>
      <c r="S1029" s="535" t="s">
        <v>1819</v>
      </c>
      <c r="T1029" s="667"/>
    </row>
    <row r="1030" spans="1:20" s="508" customFormat="1" ht="45" hidden="1">
      <c r="A1030" s="518">
        <v>6</v>
      </c>
      <c r="B1030" s="509" t="s">
        <v>604</v>
      </c>
      <c r="C1030" s="509" t="s">
        <v>2054</v>
      </c>
      <c r="D1030" s="509" t="s">
        <v>2055</v>
      </c>
      <c r="E1030" s="509" t="str">
        <f>IF('GPS Anthro Tool'!$B$4=1,"North America FMVSS","")</f>
        <v>North America FMVSS</v>
      </c>
      <c r="F1030" s="507" t="s">
        <v>4242</v>
      </c>
      <c r="G1030" s="506" t="s">
        <v>604</v>
      </c>
      <c r="H1030" s="509" t="s">
        <v>2056</v>
      </c>
      <c r="I1030" s="506"/>
      <c r="J1030" s="506"/>
      <c r="K1030" s="535"/>
      <c r="L1030" s="662"/>
      <c r="M1030" s="535"/>
      <c r="N1030" s="658"/>
      <c r="O1030" s="663"/>
      <c r="P1030" s="666"/>
      <c r="Q1030" s="566"/>
      <c r="R1030" s="535"/>
      <c r="S1030" s="535" t="s">
        <v>1819</v>
      </c>
      <c r="T1030" s="667"/>
    </row>
    <row r="1031" spans="1:20" s="508" customFormat="1" ht="60" hidden="1">
      <c r="A1031" s="518">
        <v>7</v>
      </c>
      <c r="B1031" s="509" t="s">
        <v>604</v>
      </c>
      <c r="C1031" s="509" t="s">
        <v>2051</v>
      </c>
      <c r="D1031" s="509" t="s">
        <v>2052</v>
      </c>
      <c r="E1031" s="509" t="str">
        <f>IF('GPS Anthro Tool'!$B$4=1,"North America FMVSS","")</f>
        <v>North America FMVSS</v>
      </c>
      <c r="F1031" s="507" t="s">
        <v>4242</v>
      </c>
      <c r="G1031" s="506" t="s">
        <v>604</v>
      </c>
      <c r="H1031" s="509" t="s">
        <v>2053</v>
      </c>
      <c r="I1031" s="506"/>
      <c r="J1031" s="506"/>
      <c r="K1031" s="535"/>
      <c r="L1031" s="662"/>
      <c r="M1031" s="535"/>
      <c r="N1031" s="658"/>
      <c r="O1031" s="663"/>
      <c r="P1031" s="666"/>
      <c r="Q1031" s="566"/>
      <c r="R1031" s="535"/>
      <c r="S1031" s="535" t="s">
        <v>1819</v>
      </c>
      <c r="T1031" s="667"/>
    </row>
    <row r="1032" spans="1:20" s="508" customFormat="1" ht="75" hidden="1">
      <c r="A1032" s="518">
        <v>8</v>
      </c>
      <c r="B1032" s="509" t="s">
        <v>604</v>
      </c>
      <c r="C1032" s="509" t="s">
        <v>604</v>
      </c>
      <c r="D1032" s="509" t="s">
        <v>2045</v>
      </c>
      <c r="E1032" s="509" t="str">
        <f>IF('GPS Anthro Tool'!$B$4=1,"North America FMVSS","")</f>
        <v>North America FMVSS</v>
      </c>
      <c r="F1032" s="507" t="s">
        <v>4242</v>
      </c>
      <c r="G1032" s="506" t="s">
        <v>604</v>
      </c>
      <c r="H1032" s="509" t="s">
        <v>2046</v>
      </c>
      <c r="I1032" s="506"/>
      <c r="J1032" s="506"/>
      <c r="K1032" s="535"/>
      <c r="L1032" s="662"/>
      <c r="M1032" s="535"/>
      <c r="N1032" s="658"/>
      <c r="O1032" s="663"/>
      <c r="P1032" s="666"/>
      <c r="Q1032" s="566"/>
      <c r="R1032" s="535"/>
      <c r="S1032" s="535" t="s">
        <v>1819</v>
      </c>
      <c r="T1032" s="667"/>
    </row>
    <row r="1033" spans="1:20" s="508" customFormat="1" ht="75" hidden="1">
      <c r="A1033" s="518">
        <v>9</v>
      </c>
      <c r="B1033" s="506"/>
      <c r="C1033" s="513"/>
      <c r="D1033" s="514" t="s">
        <v>2045</v>
      </c>
      <c r="E1033" s="509" t="str">
        <f>IF('GPS Anthro Tool'!$B$4=1,"North America FMVSS","")</f>
        <v>North America FMVSS</v>
      </c>
      <c r="F1033" s="506" t="s">
        <v>4242</v>
      </c>
      <c r="G1033" s="514" t="s">
        <v>604</v>
      </c>
      <c r="H1033" s="514" t="s">
        <v>2965</v>
      </c>
      <c r="I1033" s="514"/>
      <c r="J1033" s="513"/>
      <c r="K1033" s="527" t="s">
        <v>315</v>
      </c>
      <c r="L1033" s="526" t="s">
        <v>315</v>
      </c>
      <c r="M1033" s="527" t="s">
        <v>315</v>
      </c>
      <c r="N1033" s="528" t="s">
        <v>315</v>
      </c>
      <c r="O1033" s="663"/>
      <c r="P1033" s="529"/>
      <c r="Q1033" s="531"/>
      <c r="R1033" s="530"/>
      <c r="S1033" s="530" t="s">
        <v>315</v>
      </c>
      <c r="T1033" s="667"/>
    </row>
    <row r="1034" spans="1:20" s="508" customFormat="1" ht="195" hidden="1">
      <c r="A1034" s="518">
        <v>10</v>
      </c>
      <c r="B1034" s="507" t="s">
        <v>699</v>
      </c>
      <c r="C1034" s="509" t="s">
        <v>1013</v>
      </c>
      <c r="D1034" s="507" t="s">
        <v>4005</v>
      </c>
      <c r="E1034" s="509" t="str">
        <f>IF('GPS Anthro Tool'!$B$4=1,"North America FMVSS","")</f>
        <v>North America FMVSS</v>
      </c>
      <c r="F1034" s="507" t="s">
        <v>4242</v>
      </c>
      <c r="G1034" s="520"/>
      <c r="H1034" s="509" t="s">
        <v>1014</v>
      </c>
      <c r="I1034" s="509"/>
      <c r="J1034" s="519" t="s">
        <v>3960</v>
      </c>
      <c r="K1034" s="527" t="s">
        <v>605</v>
      </c>
      <c r="L1034" s="526" t="s">
        <v>315</v>
      </c>
      <c r="M1034" s="527" t="s">
        <v>315</v>
      </c>
      <c r="N1034" s="528" t="s">
        <v>315</v>
      </c>
      <c r="O1034" s="663"/>
      <c r="P1034" s="666"/>
      <c r="Q1034" s="566"/>
      <c r="R1034" s="530"/>
      <c r="S1034" s="530" t="s">
        <v>315</v>
      </c>
      <c r="T1034" s="657" t="s">
        <v>315</v>
      </c>
    </row>
    <row r="1035" spans="1:20" s="508" customFormat="1" ht="60" hidden="1">
      <c r="A1035" s="518">
        <v>5</v>
      </c>
      <c r="B1035" s="507" t="s">
        <v>699</v>
      </c>
      <c r="C1035" s="509" t="s">
        <v>1015</v>
      </c>
      <c r="D1035" s="507" t="s">
        <v>4006</v>
      </c>
      <c r="E1035" s="509" t="str">
        <f>IF('GPS Anthro Tool'!$B$4=1,"North America FMVSS","")</f>
        <v>North America FMVSS</v>
      </c>
      <c r="F1035" s="507" t="s">
        <v>4242</v>
      </c>
      <c r="G1035" s="520"/>
      <c r="H1035" s="509" t="s">
        <v>1016</v>
      </c>
      <c r="I1035" s="509"/>
      <c r="J1035" s="519" t="s">
        <v>3960</v>
      </c>
      <c r="K1035" s="527" t="s">
        <v>605</v>
      </c>
      <c r="L1035" s="526" t="s">
        <v>315</v>
      </c>
      <c r="M1035" s="527" t="s">
        <v>315</v>
      </c>
      <c r="N1035" s="528" t="s">
        <v>315</v>
      </c>
      <c r="O1035" s="663"/>
      <c r="P1035" s="666"/>
      <c r="Q1035" s="566"/>
      <c r="R1035" s="530"/>
      <c r="S1035" s="530" t="s">
        <v>315</v>
      </c>
      <c r="T1035" s="657" t="s">
        <v>315</v>
      </c>
    </row>
    <row r="1036" spans="1:20" s="508" customFormat="1" ht="45" hidden="1">
      <c r="A1036" s="518">
        <v>11</v>
      </c>
      <c r="B1036" s="507" t="s">
        <v>699</v>
      </c>
      <c r="C1036" s="509" t="s">
        <v>1017</v>
      </c>
      <c r="D1036" s="507" t="s">
        <v>4007</v>
      </c>
      <c r="E1036" s="509" t="str">
        <f>IF('GPS Anthro Tool'!$B$4=1,"North America FMVSS","")</f>
        <v>North America FMVSS</v>
      </c>
      <c r="F1036" s="507" t="s">
        <v>4242</v>
      </c>
      <c r="G1036" s="520"/>
      <c r="H1036" s="509" t="s">
        <v>1018</v>
      </c>
      <c r="I1036" s="509"/>
      <c r="J1036" s="519" t="s">
        <v>3960</v>
      </c>
      <c r="K1036" s="527" t="s">
        <v>605</v>
      </c>
      <c r="L1036" s="526" t="s">
        <v>315</v>
      </c>
      <c r="M1036" s="527" t="s">
        <v>315</v>
      </c>
      <c r="N1036" s="528" t="s">
        <v>315</v>
      </c>
      <c r="O1036" s="663"/>
      <c r="P1036" s="666"/>
      <c r="Q1036" s="566"/>
      <c r="R1036" s="530"/>
      <c r="S1036" s="530" t="s">
        <v>315</v>
      </c>
      <c r="T1036" s="657" t="s">
        <v>315</v>
      </c>
    </row>
    <row r="1037" spans="1:20" s="508" customFormat="1" ht="45" hidden="1">
      <c r="A1037" s="518">
        <v>12</v>
      </c>
      <c r="B1037" s="507" t="s">
        <v>699</v>
      </c>
      <c r="C1037" s="509" t="s">
        <v>1017</v>
      </c>
      <c r="D1037" s="507" t="s">
        <v>4008</v>
      </c>
      <c r="E1037" s="509" t="str">
        <f>IF('GPS Anthro Tool'!$B$4=1,"North America FMVSS","")</f>
        <v>North America FMVSS</v>
      </c>
      <c r="F1037" s="507" t="s">
        <v>4242</v>
      </c>
      <c r="G1037" s="520"/>
      <c r="H1037" s="509" t="s">
        <v>1019</v>
      </c>
      <c r="I1037" s="509"/>
      <c r="J1037" s="519" t="s">
        <v>3960</v>
      </c>
      <c r="K1037" s="527" t="s">
        <v>605</v>
      </c>
      <c r="L1037" s="526" t="s">
        <v>315</v>
      </c>
      <c r="M1037" s="527" t="s">
        <v>315</v>
      </c>
      <c r="N1037" s="528" t="s">
        <v>315</v>
      </c>
      <c r="O1037" s="663"/>
      <c r="P1037" s="666"/>
      <c r="Q1037" s="566"/>
      <c r="R1037" s="530"/>
      <c r="S1037" s="530" t="s">
        <v>315</v>
      </c>
      <c r="T1037" s="657" t="s">
        <v>315</v>
      </c>
    </row>
    <row r="1038" spans="1:20" s="508" customFormat="1" ht="285" hidden="1">
      <c r="A1038" s="518">
        <v>13</v>
      </c>
      <c r="B1038" s="507" t="s">
        <v>699</v>
      </c>
      <c r="C1038" s="509" t="s">
        <v>1017</v>
      </c>
      <c r="D1038" s="507" t="s">
        <v>4009</v>
      </c>
      <c r="E1038" s="509" t="str">
        <f>IF('GPS Anthro Tool'!$B$4=1,"North America FMVSS","")</f>
        <v>North America FMVSS</v>
      </c>
      <c r="F1038" s="507" t="s">
        <v>4242</v>
      </c>
      <c r="G1038" s="520"/>
      <c r="H1038" s="509" t="s">
        <v>1020</v>
      </c>
      <c r="I1038" s="509"/>
      <c r="J1038" s="519" t="s">
        <v>3960</v>
      </c>
      <c r="K1038" s="527" t="s">
        <v>605</v>
      </c>
      <c r="L1038" s="526" t="s">
        <v>315</v>
      </c>
      <c r="M1038" s="527" t="s">
        <v>315</v>
      </c>
      <c r="N1038" s="528" t="s">
        <v>315</v>
      </c>
      <c r="O1038" s="663"/>
      <c r="P1038" s="666"/>
      <c r="Q1038" s="566"/>
      <c r="R1038" s="530"/>
      <c r="S1038" s="530" t="s">
        <v>315</v>
      </c>
      <c r="T1038" s="657" t="s">
        <v>315</v>
      </c>
    </row>
    <row r="1039" spans="1:20" s="508" customFormat="1" ht="30" hidden="1">
      <c r="A1039" s="518">
        <v>14</v>
      </c>
      <c r="B1039" s="519" t="s">
        <v>1063</v>
      </c>
      <c r="C1039" s="509" t="s">
        <v>3532</v>
      </c>
      <c r="D1039" s="507" t="s">
        <v>4049</v>
      </c>
      <c r="E1039" s="509" t="str">
        <f>IF('GPS Anthro Tool'!$B$4=1,"North America FMVSS","")</f>
        <v>North America FMVSS</v>
      </c>
      <c r="F1039" s="507" t="s">
        <v>4242</v>
      </c>
      <c r="G1039" s="520"/>
      <c r="H1039" s="509" t="s">
        <v>1137</v>
      </c>
      <c r="I1039" s="509"/>
      <c r="J1039" s="519" t="s">
        <v>3960</v>
      </c>
      <c r="K1039" s="527" t="s">
        <v>605</v>
      </c>
      <c r="L1039" s="526" t="s">
        <v>315</v>
      </c>
      <c r="M1039" s="527" t="s">
        <v>315</v>
      </c>
      <c r="N1039" s="528" t="s">
        <v>315</v>
      </c>
      <c r="O1039" s="663"/>
      <c r="P1039" s="666"/>
      <c r="Q1039" s="566"/>
      <c r="R1039" s="530"/>
      <c r="S1039" s="530" t="s">
        <v>315</v>
      </c>
      <c r="T1039" s="657" t="s">
        <v>315</v>
      </c>
    </row>
    <row r="1040" spans="1:20" s="508" customFormat="1" ht="75" hidden="1">
      <c r="A1040" s="518">
        <v>15</v>
      </c>
      <c r="B1040" s="519" t="s">
        <v>1063</v>
      </c>
      <c r="C1040" s="509" t="s">
        <v>3532</v>
      </c>
      <c r="D1040" s="507" t="s">
        <v>4050</v>
      </c>
      <c r="E1040" s="509" t="str">
        <f>IF('GPS Anthro Tool'!$B$4=1,"North America FMVSS","")</f>
        <v>North America FMVSS</v>
      </c>
      <c r="F1040" s="507" t="s">
        <v>4242</v>
      </c>
      <c r="G1040" s="520"/>
      <c r="H1040" s="509" t="s">
        <v>1138</v>
      </c>
      <c r="I1040" s="509"/>
      <c r="J1040" s="519" t="s">
        <v>3960</v>
      </c>
      <c r="K1040" s="527" t="s">
        <v>605</v>
      </c>
      <c r="L1040" s="526" t="s">
        <v>315</v>
      </c>
      <c r="M1040" s="527" t="s">
        <v>315</v>
      </c>
      <c r="N1040" s="528" t="s">
        <v>315</v>
      </c>
      <c r="O1040" s="663"/>
      <c r="P1040" s="666"/>
      <c r="Q1040" s="566"/>
      <c r="R1040" s="530"/>
      <c r="S1040" s="530" t="s">
        <v>315</v>
      </c>
      <c r="T1040" s="657" t="s">
        <v>315</v>
      </c>
    </row>
    <row r="1041" spans="1:20" s="508" customFormat="1" ht="135" hidden="1">
      <c r="A1041" s="518">
        <v>16</v>
      </c>
      <c r="B1041" s="519" t="s">
        <v>1063</v>
      </c>
      <c r="C1041" s="509" t="s">
        <v>3532</v>
      </c>
      <c r="D1041" s="507" t="s">
        <v>4051</v>
      </c>
      <c r="E1041" s="509" t="str">
        <f>IF('GPS Anthro Tool'!$B$4=1,"North America FMVSS","")</f>
        <v>North America FMVSS</v>
      </c>
      <c r="F1041" s="507" t="s">
        <v>4242</v>
      </c>
      <c r="G1041" s="520"/>
      <c r="H1041" s="509" t="s">
        <v>1139</v>
      </c>
      <c r="I1041" s="509"/>
      <c r="J1041" s="519" t="s">
        <v>3960</v>
      </c>
      <c r="K1041" s="527" t="s">
        <v>605</v>
      </c>
      <c r="L1041" s="526" t="s">
        <v>315</v>
      </c>
      <c r="M1041" s="527" t="s">
        <v>315</v>
      </c>
      <c r="N1041" s="528" t="s">
        <v>315</v>
      </c>
      <c r="O1041" s="663"/>
      <c r="P1041" s="666"/>
      <c r="Q1041" s="566"/>
      <c r="R1041" s="530"/>
      <c r="S1041" s="530" t="s">
        <v>315</v>
      </c>
      <c r="T1041" s="657" t="s">
        <v>315</v>
      </c>
    </row>
    <row r="1042" spans="1:20" s="508" customFormat="1" ht="75" hidden="1">
      <c r="A1042" s="518">
        <v>17</v>
      </c>
      <c r="B1042" s="519" t="s">
        <v>1063</v>
      </c>
      <c r="C1042" s="509" t="s">
        <v>3532</v>
      </c>
      <c r="D1042" s="507" t="s">
        <v>4052</v>
      </c>
      <c r="E1042" s="509" t="str">
        <f>IF('GPS Anthro Tool'!$B$4=1,"North America FMVSS","")</f>
        <v>North America FMVSS</v>
      </c>
      <c r="F1042" s="507" t="s">
        <v>4242</v>
      </c>
      <c r="G1042" s="520"/>
      <c r="H1042" s="509" t="s">
        <v>1140</v>
      </c>
      <c r="I1042" s="509"/>
      <c r="J1042" s="519" t="s">
        <v>3960</v>
      </c>
      <c r="K1042" s="527" t="s">
        <v>605</v>
      </c>
      <c r="L1042" s="526" t="s">
        <v>315</v>
      </c>
      <c r="M1042" s="527" t="s">
        <v>315</v>
      </c>
      <c r="N1042" s="528" t="s">
        <v>315</v>
      </c>
      <c r="O1042" s="663"/>
      <c r="P1042" s="666"/>
      <c r="Q1042" s="566"/>
      <c r="R1042" s="530"/>
      <c r="S1042" s="530" t="s">
        <v>315</v>
      </c>
      <c r="T1042" s="657" t="s">
        <v>315</v>
      </c>
    </row>
    <row r="1043" spans="1:20" s="508" customFormat="1" ht="120" hidden="1">
      <c r="A1043" s="518">
        <v>18</v>
      </c>
      <c r="B1043" s="519" t="s">
        <v>1063</v>
      </c>
      <c r="C1043" s="509" t="s">
        <v>3532</v>
      </c>
      <c r="D1043" s="507" t="s">
        <v>4053</v>
      </c>
      <c r="E1043" s="509" t="str">
        <f>IF('GPS Anthro Tool'!$B$4=1,"North America FMVSS","")</f>
        <v>North America FMVSS</v>
      </c>
      <c r="F1043" s="507" t="s">
        <v>4242</v>
      </c>
      <c r="G1043" s="520"/>
      <c r="H1043" s="509" t="s">
        <v>1141</v>
      </c>
      <c r="I1043" s="509"/>
      <c r="J1043" s="519" t="s">
        <v>3960</v>
      </c>
      <c r="K1043" s="527" t="s">
        <v>605</v>
      </c>
      <c r="L1043" s="526" t="s">
        <v>315</v>
      </c>
      <c r="M1043" s="527" t="s">
        <v>315</v>
      </c>
      <c r="N1043" s="528" t="s">
        <v>315</v>
      </c>
      <c r="O1043" s="663"/>
      <c r="P1043" s="666"/>
      <c r="Q1043" s="566"/>
      <c r="R1043" s="530"/>
      <c r="S1043" s="530" t="s">
        <v>315</v>
      </c>
      <c r="T1043" s="657" t="s">
        <v>315</v>
      </c>
    </row>
    <row r="1044" spans="1:20" s="508" customFormat="1" ht="90" hidden="1">
      <c r="A1044" s="518">
        <v>19</v>
      </c>
      <c r="B1044" s="519" t="s">
        <v>1063</v>
      </c>
      <c r="C1044" s="509" t="s">
        <v>3532</v>
      </c>
      <c r="D1044" s="507" t="s">
        <v>4054</v>
      </c>
      <c r="E1044" s="509" t="str">
        <f>IF('GPS Anthro Tool'!$B$4=1,"North America FMVSS","")</f>
        <v>North America FMVSS</v>
      </c>
      <c r="F1044" s="507" t="s">
        <v>4242</v>
      </c>
      <c r="G1044" s="520"/>
      <c r="H1044" s="509" t="s">
        <v>1142</v>
      </c>
      <c r="I1044" s="509"/>
      <c r="J1044" s="519" t="s">
        <v>3960</v>
      </c>
      <c r="K1044" s="527" t="s">
        <v>605</v>
      </c>
      <c r="L1044" s="526" t="s">
        <v>315</v>
      </c>
      <c r="M1044" s="527" t="s">
        <v>315</v>
      </c>
      <c r="N1044" s="528" t="s">
        <v>315</v>
      </c>
      <c r="O1044" s="663"/>
      <c r="P1044" s="666"/>
      <c r="Q1044" s="566"/>
      <c r="R1044" s="530"/>
      <c r="S1044" s="530" t="s">
        <v>315</v>
      </c>
      <c r="T1044" s="657" t="s">
        <v>315</v>
      </c>
    </row>
    <row r="1045" spans="1:20" s="508" customFormat="1" ht="75" hidden="1">
      <c r="A1045" s="518">
        <v>20</v>
      </c>
      <c r="B1045" s="509" t="s">
        <v>2163</v>
      </c>
      <c r="C1045" s="509" t="s">
        <v>2164</v>
      </c>
      <c r="D1045" s="509" t="s">
        <v>4239</v>
      </c>
      <c r="E1045" s="509" t="str">
        <f>IF('GPS Anthro Tool'!$B$4=1,"North America FMVSS","")</f>
        <v>North America FMVSS</v>
      </c>
      <c r="F1045" s="507" t="s">
        <v>4242</v>
      </c>
      <c r="G1045" s="507" t="s">
        <v>2184</v>
      </c>
      <c r="H1045" s="509" t="s">
        <v>2185</v>
      </c>
      <c r="I1045" s="506"/>
      <c r="J1045" s="506"/>
      <c r="K1045" s="535"/>
      <c r="L1045" s="662"/>
      <c r="M1045" s="535"/>
      <c r="N1045" s="658"/>
      <c r="O1045" s="663"/>
      <c r="P1045" s="666"/>
      <c r="Q1045" s="566"/>
      <c r="R1045" s="535"/>
      <c r="S1045" s="535" t="s">
        <v>1819</v>
      </c>
      <c r="T1045" s="667"/>
    </row>
    <row r="1046" spans="1:20" s="508" customFormat="1" ht="60" hidden="1">
      <c r="A1046" s="518">
        <v>21</v>
      </c>
      <c r="B1046" s="509" t="s">
        <v>2163</v>
      </c>
      <c r="C1046" s="509" t="s">
        <v>2164</v>
      </c>
      <c r="D1046" s="509" t="s">
        <v>4240</v>
      </c>
      <c r="E1046" s="509" t="str">
        <f>IF('GPS Anthro Tool'!$B$4=1,"North America FMVSS","")</f>
        <v>North America FMVSS</v>
      </c>
      <c r="F1046" s="507" t="s">
        <v>4242</v>
      </c>
      <c r="G1046" s="507" t="s">
        <v>2165</v>
      </c>
      <c r="H1046" s="509" t="s">
        <v>2166</v>
      </c>
      <c r="I1046" s="506"/>
      <c r="J1046" s="506"/>
      <c r="K1046" s="535"/>
      <c r="L1046" s="662"/>
      <c r="M1046" s="535"/>
      <c r="N1046" s="658"/>
      <c r="O1046" s="663"/>
      <c r="P1046" s="666"/>
      <c r="Q1046" s="566"/>
      <c r="R1046" s="535"/>
      <c r="S1046" s="535" t="s">
        <v>1819</v>
      </c>
      <c r="T1046" s="658" t="s">
        <v>1819</v>
      </c>
    </row>
    <row r="1047" spans="1:20" s="508" customFormat="1" ht="120" hidden="1">
      <c r="A1047" s="518">
        <v>22</v>
      </c>
      <c r="B1047" s="519" t="s">
        <v>1063</v>
      </c>
      <c r="C1047" s="509" t="s">
        <v>1143</v>
      </c>
      <c r="D1047" s="507" t="s">
        <v>4055</v>
      </c>
      <c r="E1047" s="509" t="str">
        <f>IF('GPS Anthro Tool'!$B$4=1,"North America FMVSS","")</f>
        <v>North America FMVSS</v>
      </c>
      <c r="F1047" s="507" t="s">
        <v>4242</v>
      </c>
      <c r="G1047" s="520"/>
      <c r="H1047" s="509" t="s">
        <v>4325</v>
      </c>
      <c r="I1047" s="509"/>
      <c r="J1047" s="519" t="s">
        <v>3960</v>
      </c>
      <c r="K1047" s="527" t="s">
        <v>605</v>
      </c>
      <c r="L1047" s="526" t="s">
        <v>315</v>
      </c>
      <c r="M1047" s="527" t="s">
        <v>315</v>
      </c>
      <c r="N1047" s="528" t="s">
        <v>315</v>
      </c>
      <c r="O1047" s="663"/>
      <c r="P1047" s="666"/>
      <c r="Q1047" s="566"/>
      <c r="R1047" s="530"/>
      <c r="S1047" s="530" t="s">
        <v>315</v>
      </c>
      <c r="T1047" s="657" t="s">
        <v>315</v>
      </c>
    </row>
    <row r="1048" spans="1:20" s="508" customFormat="1" ht="150" hidden="1">
      <c r="A1048" s="518">
        <v>23</v>
      </c>
      <c r="B1048" s="519" t="s">
        <v>1063</v>
      </c>
      <c r="C1048" s="509" t="s">
        <v>1143</v>
      </c>
      <c r="D1048" s="509" t="s">
        <v>4056</v>
      </c>
      <c r="E1048" s="509" t="str">
        <f>IF('GPS Anthro Tool'!$B$4=1,"North America FMVSS","")</f>
        <v>North America FMVSS</v>
      </c>
      <c r="F1048" s="507" t="s">
        <v>4242</v>
      </c>
      <c r="G1048" s="520"/>
      <c r="H1048" s="509" t="s">
        <v>1144</v>
      </c>
      <c r="I1048" s="509"/>
      <c r="J1048" s="519" t="s">
        <v>3960</v>
      </c>
      <c r="K1048" s="527" t="s">
        <v>605</v>
      </c>
      <c r="L1048" s="526" t="s">
        <v>315</v>
      </c>
      <c r="M1048" s="527" t="s">
        <v>315</v>
      </c>
      <c r="N1048" s="528" t="s">
        <v>315</v>
      </c>
      <c r="O1048" s="663"/>
      <c r="P1048" s="666"/>
      <c r="Q1048" s="566"/>
      <c r="R1048" s="530"/>
      <c r="S1048" s="530" t="s">
        <v>315</v>
      </c>
      <c r="T1048" s="657" t="s">
        <v>315</v>
      </c>
    </row>
    <row r="1049" spans="1:20" s="508" customFormat="1" ht="90" hidden="1">
      <c r="A1049" s="518">
        <v>24</v>
      </c>
      <c r="B1049" s="519" t="s">
        <v>1063</v>
      </c>
      <c r="C1049" s="509" t="s">
        <v>1143</v>
      </c>
      <c r="D1049" s="509" t="s">
        <v>4057</v>
      </c>
      <c r="E1049" s="509" t="str">
        <f>IF('GPS Anthro Tool'!$B$4=1,"North America FMVSS","")</f>
        <v>North America FMVSS</v>
      </c>
      <c r="F1049" s="507" t="s">
        <v>4242</v>
      </c>
      <c r="G1049" s="520"/>
      <c r="H1049" s="509" t="s">
        <v>1145</v>
      </c>
      <c r="I1049" s="509"/>
      <c r="J1049" s="519" t="s">
        <v>3960</v>
      </c>
      <c r="K1049" s="527" t="s">
        <v>605</v>
      </c>
      <c r="L1049" s="526" t="s">
        <v>315</v>
      </c>
      <c r="M1049" s="527" t="s">
        <v>315</v>
      </c>
      <c r="N1049" s="528" t="s">
        <v>315</v>
      </c>
      <c r="O1049" s="663"/>
      <c r="P1049" s="666"/>
      <c r="Q1049" s="566"/>
      <c r="R1049" s="530"/>
      <c r="S1049" s="530" t="s">
        <v>315</v>
      </c>
      <c r="T1049" s="657" t="s">
        <v>315</v>
      </c>
    </row>
    <row r="1050" spans="1:20" s="508" customFormat="1" ht="75" hidden="1">
      <c r="A1050" s="518">
        <v>25</v>
      </c>
      <c r="B1050" s="519" t="s">
        <v>1063</v>
      </c>
      <c r="C1050" s="509" t="s">
        <v>1143</v>
      </c>
      <c r="D1050" s="509" t="s">
        <v>4058</v>
      </c>
      <c r="E1050" s="509" t="str">
        <f>IF('GPS Anthro Tool'!$B$4=1,"North America FMVSS","")</f>
        <v>North America FMVSS</v>
      </c>
      <c r="F1050" s="507" t="s">
        <v>4242</v>
      </c>
      <c r="G1050" s="520"/>
      <c r="H1050" s="509" t="s">
        <v>1146</v>
      </c>
      <c r="I1050" s="509"/>
      <c r="J1050" s="519" t="s">
        <v>3960</v>
      </c>
      <c r="K1050" s="527" t="s">
        <v>605</v>
      </c>
      <c r="L1050" s="526" t="s">
        <v>315</v>
      </c>
      <c r="M1050" s="527" t="s">
        <v>315</v>
      </c>
      <c r="N1050" s="528" t="s">
        <v>315</v>
      </c>
      <c r="O1050" s="663"/>
      <c r="P1050" s="666"/>
      <c r="Q1050" s="566"/>
      <c r="R1050" s="530"/>
      <c r="S1050" s="530" t="s">
        <v>315</v>
      </c>
      <c r="T1050" s="657" t="s">
        <v>315</v>
      </c>
    </row>
    <row r="1051" spans="1:20" s="508" customFormat="1" ht="210" hidden="1">
      <c r="A1051" s="518">
        <v>26</v>
      </c>
      <c r="B1051" s="519" t="s">
        <v>1063</v>
      </c>
      <c r="C1051" s="509" t="s">
        <v>1143</v>
      </c>
      <c r="D1051" s="509" t="s">
        <v>4059</v>
      </c>
      <c r="E1051" s="509" t="str">
        <f>IF('GPS Anthro Tool'!$B$4=1,"North America FMVSS","")</f>
        <v>North America FMVSS</v>
      </c>
      <c r="F1051" s="507" t="s">
        <v>4242</v>
      </c>
      <c r="G1051" s="520"/>
      <c r="H1051" s="509" t="s">
        <v>1147</v>
      </c>
      <c r="I1051" s="509"/>
      <c r="J1051" s="519" t="s">
        <v>3960</v>
      </c>
      <c r="K1051" s="527" t="s">
        <v>605</v>
      </c>
      <c r="L1051" s="526" t="s">
        <v>315</v>
      </c>
      <c r="M1051" s="527" t="s">
        <v>315</v>
      </c>
      <c r="N1051" s="528" t="s">
        <v>315</v>
      </c>
      <c r="O1051" s="663"/>
      <c r="P1051" s="666"/>
      <c r="Q1051" s="566"/>
      <c r="R1051" s="530"/>
      <c r="S1051" s="530" t="s">
        <v>315</v>
      </c>
      <c r="T1051" s="657" t="s">
        <v>315</v>
      </c>
    </row>
    <row r="1052" spans="1:20" s="508" customFormat="1" ht="75" hidden="1">
      <c r="A1052" s="518">
        <v>27</v>
      </c>
      <c r="B1052" s="519" t="s">
        <v>1063</v>
      </c>
      <c r="C1052" s="509" t="s">
        <v>1143</v>
      </c>
      <c r="D1052" s="509" t="s">
        <v>4060</v>
      </c>
      <c r="E1052" s="509" t="str">
        <f>IF('GPS Anthro Tool'!$B$4=1,"North America FMVSS","")</f>
        <v>North America FMVSS</v>
      </c>
      <c r="F1052" s="507" t="s">
        <v>4242</v>
      </c>
      <c r="G1052" s="520"/>
      <c r="H1052" s="509" t="s">
        <v>1148</v>
      </c>
      <c r="I1052" s="509"/>
      <c r="J1052" s="519" t="s">
        <v>3960</v>
      </c>
      <c r="K1052" s="527" t="s">
        <v>605</v>
      </c>
      <c r="L1052" s="526" t="s">
        <v>315</v>
      </c>
      <c r="M1052" s="527" t="s">
        <v>315</v>
      </c>
      <c r="N1052" s="528" t="s">
        <v>315</v>
      </c>
      <c r="O1052" s="663"/>
      <c r="P1052" s="666"/>
      <c r="Q1052" s="566"/>
      <c r="R1052" s="530"/>
      <c r="S1052" s="530" t="s">
        <v>315</v>
      </c>
      <c r="T1052" s="657" t="s">
        <v>315</v>
      </c>
    </row>
    <row r="1053" spans="1:20" s="508" customFormat="1" ht="90" hidden="1">
      <c r="A1053" s="518">
        <v>28</v>
      </c>
      <c r="B1053" s="519" t="s">
        <v>1063</v>
      </c>
      <c r="C1053" s="509" t="s">
        <v>1143</v>
      </c>
      <c r="D1053" s="507" t="s">
        <v>4061</v>
      </c>
      <c r="E1053" s="509" t="str">
        <f>IF('GPS Anthro Tool'!$B$4=1,"North America FMVSS","")</f>
        <v>North America FMVSS</v>
      </c>
      <c r="F1053" s="507" t="s">
        <v>4242</v>
      </c>
      <c r="G1053" s="520"/>
      <c r="H1053" s="509" t="s">
        <v>1149</v>
      </c>
      <c r="I1053" s="509"/>
      <c r="J1053" s="519" t="s">
        <v>3960</v>
      </c>
      <c r="K1053" s="527" t="s">
        <v>605</v>
      </c>
      <c r="L1053" s="526" t="s">
        <v>315</v>
      </c>
      <c r="M1053" s="527" t="s">
        <v>315</v>
      </c>
      <c r="N1053" s="528" t="s">
        <v>315</v>
      </c>
      <c r="O1053" s="663"/>
      <c r="P1053" s="666"/>
      <c r="Q1053" s="566"/>
      <c r="R1053" s="530"/>
      <c r="S1053" s="530" t="s">
        <v>315</v>
      </c>
      <c r="T1053" s="657" t="s">
        <v>315</v>
      </c>
    </row>
    <row r="1054" spans="1:20" s="508" customFormat="1" ht="90" hidden="1">
      <c r="A1054" s="518">
        <v>29</v>
      </c>
      <c r="B1054" s="519" t="s">
        <v>1092</v>
      </c>
      <c r="C1054" s="509" t="s">
        <v>1143</v>
      </c>
      <c r="D1054" s="507" t="s">
        <v>4062</v>
      </c>
      <c r="E1054" s="509" t="str">
        <f>IF('GPS Anthro Tool'!$B$4=1,"North America FMVSS","")</f>
        <v>North America FMVSS</v>
      </c>
      <c r="F1054" s="507" t="s">
        <v>4242</v>
      </c>
      <c r="G1054" s="506"/>
      <c r="H1054" s="509" t="s">
        <v>1150</v>
      </c>
      <c r="I1054" s="509"/>
      <c r="J1054" s="519" t="s">
        <v>3960</v>
      </c>
      <c r="K1054" s="527" t="s">
        <v>605</v>
      </c>
      <c r="L1054" s="526" t="s">
        <v>315</v>
      </c>
      <c r="M1054" s="527" t="s">
        <v>315</v>
      </c>
      <c r="N1054" s="528" t="s">
        <v>315</v>
      </c>
      <c r="O1054" s="663"/>
      <c r="P1054" s="666"/>
      <c r="Q1054" s="566"/>
      <c r="R1054" s="530"/>
      <c r="S1054" s="530" t="s">
        <v>315</v>
      </c>
      <c r="T1054" s="657" t="s">
        <v>315</v>
      </c>
    </row>
    <row r="1055" spans="1:20" s="508" customFormat="1" ht="30" hidden="1">
      <c r="A1055" s="518">
        <v>30</v>
      </c>
      <c r="B1055" s="519" t="s">
        <v>1092</v>
      </c>
      <c r="C1055" s="509" t="s">
        <v>1143</v>
      </c>
      <c r="D1055" s="507" t="s">
        <v>4063</v>
      </c>
      <c r="E1055" s="509" t="str">
        <f>IF('GPS Anthro Tool'!$B$4=1,"North America FMVSS","")</f>
        <v>North America FMVSS</v>
      </c>
      <c r="F1055" s="507" t="s">
        <v>4242</v>
      </c>
      <c r="G1055" s="506"/>
      <c r="H1055" s="509" t="s">
        <v>1151</v>
      </c>
      <c r="I1055" s="509"/>
      <c r="J1055" s="519" t="s">
        <v>3960</v>
      </c>
      <c r="K1055" s="527" t="s">
        <v>605</v>
      </c>
      <c r="L1055" s="526" t="s">
        <v>315</v>
      </c>
      <c r="M1055" s="527" t="s">
        <v>315</v>
      </c>
      <c r="N1055" s="528" t="s">
        <v>315</v>
      </c>
      <c r="O1055" s="663"/>
      <c r="P1055" s="666"/>
      <c r="Q1055" s="566"/>
      <c r="R1055" s="530"/>
      <c r="S1055" s="530" t="s">
        <v>315</v>
      </c>
      <c r="T1055" s="657" t="s">
        <v>315</v>
      </c>
    </row>
    <row r="1056" spans="1:20" s="508" customFormat="1" ht="120" hidden="1">
      <c r="A1056" s="518">
        <v>31</v>
      </c>
      <c r="B1056" s="519" t="s">
        <v>1092</v>
      </c>
      <c r="C1056" s="509" t="s">
        <v>1143</v>
      </c>
      <c r="D1056" s="507" t="s">
        <v>4064</v>
      </c>
      <c r="E1056" s="509" t="str">
        <f>IF('GPS Anthro Tool'!$B$4=1,"North America FMVSS","")</f>
        <v>North America FMVSS</v>
      </c>
      <c r="F1056" s="507" t="s">
        <v>4242</v>
      </c>
      <c r="G1056" s="506"/>
      <c r="H1056" s="509" t="s">
        <v>1152</v>
      </c>
      <c r="I1056" s="509"/>
      <c r="J1056" s="519" t="s">
        <v>3960</v>
      </c>
      <c r="K1056" s="527" t="s">
        <v>605</v>
      </c>
      <c r="L1056" s="526" t="s">
        <v>315</v>
      </c>
      <c r="M1056" s="527" t="s">
        <v>315</v>
      </c>
      <c r="N1056" s="528" t="s">
        <v>315</v>
      </c>
      <c r="O1056" s="663"/>
      <c r="P1056" s="666"/>
      <c r="Q1056" s="566"/>
      <c r="R1056" s="530"/>
      <c r="S1056" s="530" t="s">
        <v>315</v>
      </c>
      <c r="T1056" s="657" t="s">
        <v>315</v>
      </c>
    </row>
    <row r="1057" spans="1:20" s="508" customFormat="1" ht="75" hidden="1">
      <c r="A1057" s="518">
        <v>32</v>
      </c>
      <c r="B1057" s="519" t="s">
        <v>1092</v>
      </c>
      <c r="C1057" s="509" t="s">
        <v>1143</v>
      </c>
      <c r="D1057" s="507" t="s">
        <v>4065</v>
      </c>
      <c r="E1057" s="509" t="str">
        <f>IF('GPS Anthro Tool'!$B$4=1,"North America FMVSS","")</f>
        <v>North America FMVSS</v>
      </c>
      <c r="F1057" s="507" t="s">
        <v>4242</v>
      </c>
      <c r="G1057" s="506"/>
      <c r="H1057" s="509" t="s">
        <v>1153</v>
      </c>
      <c r="I1057" s="509"/>
      <c r="J1057" s="519" t="s">
        <v>3960</v>
      </c>
      <c r="K1057" s="527" t="s">
        <v>605</v>
      </c>
      <c r="L1057" s="526" t="s">
        <v>315</v>
      </c>
      <c r="M1057" s="527" t="s">
        <v>315</v>
      </c>
      <c r="N1057" s="528" t="s">
        <v>315</v>
      </c>
      <c r="O1057" s="663"/>
      <c r="P1057" s="666"/>
      <c r="Q1057" s="566"/>
      <c r="R1057" s="530"/>
      <c r="S1057" s="530" t="s">
        <v>315</v>
      </c>
      <c r="T1057" s="657" t="s">
        <v>315</v>
      </c>
    </row>
    <row r="1058" spans="1:20" s="508" customFormat="1" ht="165" hidden="1">
      <c r="A1058" s="518">
        <v>33</v>
      </c>
      <c r="B1058" s="519" t="s">
        <v>1092</v>
      </c>
      <c r="C1058" s="509" t="s">
        <v>1143</v>
      </c>
      <c r="D1058" s="507" t="s">
        <v>4066</v>
      </c>
      <c r="E1058" s="509" t="str">
        <f>IF('GPS Anthro Tool'!$B$4=1,"North America FMVSS","")</f>
        <v>North America FMVSS</v>
      </c>
      <c r="F1058" s="507" t="s">
        <v>4242</v>
      </c>
      <c r="G1058" s="506"/>
      <c r="H1058" s="509" t="s">
        <v>1154</v>
      </c>
      <c r="I1058" s="509"/>
      <c r="J1058" s="519" t="s">
        <v>3960</v>
      </c>
      <c r="K1058" s="527" t="s">
        <v>605</v>
      </c>
      <c r="L1058" s="526" t="s">
        <v>315</v>
      </c>
      <c r="M1058" s="527" t="s">
        <v>315</v>
      </c>
      <c r="N1058" s="528" t="s">
        <v>315</v>
      </c>
      <c r="O1058" s="663"/>
      <c r="P1058" s="666"/>
      <c r="Q1058" s="566"/>
      <c r="R1058" s="530"/>
      <c r="S1058" s="530" t="s">
        <v>315</v>
      </c>
      <c r="T1058" s="657" t="s">
        <v>315</v>
      </c>
    </row>
    <row r="1059" spans="1:20" s="508" customFormat="1" ht="210" hidden="1">
      <c r="A1059" s="518">
        <v>34</v>
      </c>
      <c r="B1059" s="519" t="s">
        <v>1063</v>
      </c>
      <c r="C1059" s="509" t="s">
        <v>1143</v>
      </c>
      <c r="D1059" s="507" t="s">
        <v>4067</v>
      </c>
      <c r="E1059" s="509" t="str">
        <f>IF('GPS Anthro Tool'!$B$4=1,"North America FMVSS","")</f>
        <v>North America FMVSS</v>
      </c>
      <c r="F1059" s="507" t="s">
        <v>4242</v>
      </c>
      <c r="G1059" s="520"/>
      <c r="H1059" s="509" t="s">
        <v>1155</v>
      </c>
      <c r="I1059" s="509"/>
      <c r="J1059" s="519" t="s">
        <v>3960</v>
      </c>
      <c r="K1059" s="527" t="s">
        <v>605</v>
      </c>
      <c r="L1059" s="526" t="s">
        <v>315</v>
      </c>
      <c r="M1059" s="527" t="s">
        <v>315</v>
      </c>
      <c r="N1059" s="528" t="s">
        <v>315</v>
      </c>
      <c r="O1059" s="663"/>
      <c r="P1059" s="666"/>
      <c r="Q1059" s="566"/>
      <c r="R1059" s="530"/>
      <c r="S1059" s="530" t="s">
        <v>315</v>
      </c>
      <c r="T1059" s="657" t="s">
        <v>315</v>
      </c>
    </row>
    <row r="1060" spans="1:20" s="508" customFormat="1" ht="60" hidden="1">
      <c r="A1060" s="518">
        <v>35</v>
      </c>
      <c r="B1060" s="519" t="s">
        <v>1063</v>
      </c>
      <c r="C1060" s="509" t="s">
        <v>1143</v>
      </c>
      <c r="D1060" s="507" t="s">
        <v>4068</v>
      </c>
      <c r="E1060" s="509" t="str">
        <f>IF('GPS Anthro Tool'!$B$4=1,"North America FMVSS","")</f>
        <v>North America FMVSS</v>
      </c>
      <c r="F1060" s="507" t="s">
        <v>4242</v>
      </c>
      <c r="G1060" s="520"/>
      <c r="H1060" s="509" t="s">
        <v>1156</v>
      </c>
      <c r="I1060" s="509"/>
      <c r="J1060" s="519" t="s">
        <v>3960</v>
      </c>
      <c r="K1060" s="527" t="s">
        <v>605</v>
      </c>
      <c r="L1060" s="526" t="s">
        <v>315</v>
      </c>
      <c r="M1060" s="527" t="s">
        <v>315</v>
      </c>
      <c r="N1060" s="528" t="s">
        <v>315</v>
      </c>
      <c r="O1060" s="663"/>
      <c r="P1060" s="666"/>
      <c r="Q1060" s="566"/>
      <c r="R1060" s="530"/>
      <c r="S1060" s="530" t="s">
        <v>315</v>
      </c>
      <c r="T1060" s="657" t="s">
        <v>315</v>
      </c>
    </row>
    <row r="1061" spans="1:20" s="508" customFormat="1" ht="90" hidden="1">
      <c r="A1061" s="518">
        <v>36</v>
      </c>
      <c r="B1061" s="519" t="s">
        <v>1063</v>
      </c>
      <c r="C1061" s="509" t="s">
        <v>1143</v>
      </c>
      <c r="D1061" s="509" t="s">
        <v>4069</v>
      </c>
      <c r="E1061" s="509" t="str">
        <f>IF('GPS Anthro Tool'!$B$4=1,"North America FMVSS","")</f>
        <v>North America FMVSS</v>
      </c>
      <c r="F1061" s="507" t="s">
        <v>4242</v>
      </c>
      <c r="G1061" s="520"/>
      <c r="H1061" s="509" t="s">
        <v>1157</v>
      </c>
      <c r="I1061" s="509"/>
      <c r="J1061" s="519" t="s">
        <v>3960</v>
      </c>
      <c r="K1061" s="527" t="s">
        <v>605</v>
      </c>
      <c r="L1061" s="526" t="s">
        <v>315</v>
      </c>
      <c r="M1061" s="527" t="s">
        <v>315</v>
      </c>
      <c r="N1061" s="528" t="s">
        <v>315</v>
      </c>
      <c r="O1061" s="663"/>
      <c r="P1061" s="666"/>
      <c r="Q1061" s="566"/>
      <c r="R1061" s="530"/>
      <c r="S1061" s="530" t="s">
        <v>315</v>
      </c>
      <c r="T1061" s="657" t="s">
        <v>315</v>
      </c>
    </row>
    <row r="1062" spans="1:20" s="508" customFormat="1" ht="30" hidden="1">
      <c r="A1062" s="518">
        <v>37</v>
      </c>
      <c r="B1062" s="507" t="s">
        <v>699</v>
      </c>
      <c r="C1062" s="509" t="s">
        <v>3531</v>
      </c>
      <c r="D1062" s="507" t="s">
        <v>4010</v>
      </c>
      <c r="E1062" s="509" t="str">
        <f>IF('GPS Anthro Tool'!$B$4=1,"North America FMVSS","")</f>
        <v>North America FMVSS</v>
      </c>
      <c r="F1062" s="507" t="s">
        <v>4242</v>
      </c>
      <c r="G1062" s="520"/>
      <c r="H1062" s="509" t="s">
        <v>1022</v>
      </c>
      <c r="I1062" s="509"/>
      <c r="J1062" s="519" t="s">
        <v>3960</v>
      </c>
      <c r="K1062" s="527" t="s">
        <v>605</v>
      </c>
      <c r="L1062" s="526" t="s">
        <v>315</v>
      </c>
      <c r="M1062" s="527" t="s">
        <v>315</v>
      </c>
      <c r="N1062" s="528" t="s">
        <v>315</v>
      </c>
      <c r="O1062" s="663"/>
      <c r="P1062" s="666"/>
      <c r="Q1062" s="566"/>
      <c r="R1062" s="530"/>
      <c r="S1062" s="530" t="s">
        <v>315</v>
      </c>
      <c r="T1062" s="657" t="s">
        <v>315</v>
      </c>
    </row>
    <row r="1063" spans="1:20" s="508" customFormat="1" ht="45" hidden="1">
      <c r="A1063" s="518">
        <v>38</v>
      </c>
      <c r="B1063" s="507" t="s">
        <v>699</v>
      </c>
      <c r="C1063" s="509" t="s">
        <v>3531</v>
      </c>
      <c r="D1063" s="507" t="s">
        <v>4011</v>
      </c>
      <c r="E1063" s="509" t="str">
        <f>IF('GPS Anthro Tool'!$B$4=1,"North America FMVSS","")</f>
        <v>North America FMVSS</v>
      </c>
      <c r="F1063" s="507" t="s">
        <v>4242</v>
      </c>
      <c r="G1063" s="520"/>
      <c r="H1063" s="509" t="s">
        <v>1023</v>
      </c>
      <c r="I1063" s="509"/>
      <c r="J1063" s="519" t="s">
        <v>3960</v>
      </c>
      <c r="K1063" s="527" t="s">
        <v>605</v>
      </c>
      <c r="L1063" s="526" t="s">
        <v>315</v>
      </c>
      <c r="M1063" s="527" t="s">
        <v>315</v>
      </c>
      <c r="N1063" s="528" t="s">
        <v>315</v>
      </c>
      <c r="O1063" s="663"/>
      <c r="P1063" s="666"/>
      <c r="Q1063" s="566"/>
      <c r="R1063" s="530"/>
      <c r="S1063" s="530" t="s">
        <v>315</v>
      </c>
      <c r="T1063" s="657" t="s">
        <v>315</v>
      </c>
    </row>
    <row r="1064" spans="1:20" s="508" customFormat="1" ht="105" hidden="1">
      <c r="A1064" s="518">
        <v>39</v>
      </c>
      <c r="B1064" s="507" t="s">
        <v>699</v>
      </c>
      <c r="C1064" s="509" t="s">
        <v>3531</v>
      </c>
      <c r="D1064" s="507" t="s">
        <v>4012</v>
      </c>
      <c r="E1064" s="509" t="str">
        <f>IF('GPS Anthro Tool'!$B$4=1,"North America FMVSS","")</f>
        <v>North America FMVSS</v>
      </c>
      <c r="F1064" s="507" t="s">
        <v>4242</v>
      </c>
      <c r="G1064" s="520"/>
      <c r="H1064" s="509" t="s">
        <v>1024</v>
      </c>
      <c r="I1064" s="509"/>
      <c r="J1064" s="519" t="s">
        <v>3960</v>
      </c>
      <c r="K1064" s="527" t="s">
        <v>605</v>
      </c>
      <c r="L1064" s="526" t="s">
        <v>315</v>
      </c>
      <c r="M1064" s="527" t="s">
        <v>315</v>
      </c>
      <c r="N1064" s="528" t="s">
        <v>315</v>
      </c>
      <c r="O1064" s="663"/>
      <c r="P1064" s="666"/>
      <c r="Q1064" s="566"/>
      <c r="R1064" s="530"/>
      <c r="S1064" s="530" t="s">
        <v>315</v>
      </c>
      <c r="T1064" s="657" t="s">
        <v>315</v>
      </c>
    </row>
    <row r="1065" spans="1:20" s="508" customFormat="1" ht="135" hidden="1">
      <c r="A1065" s="518">
        <v>40</v>
      </c>
      <c r="B1065" s="507" t="s">
        <v>699</v>
      </c>
      <c r="C1065" s="509" t="s">
        <v>3531</v>
      </c>
      <c r="D1065" s="507" t="s">
        <v>4013</v>
      </c>
      <c r="E1065" s="509" t="str">
        <f>IF('GPS Anthro Tool'!$B$4=1,"North America FMVSS","")</f>
        <v>North America FMVSS</v>
      </c>
      <c r="F1065" s="507" t="s">
        <v>4242</v>
      </c>
      <c r="G1065" s="520"/>
      <c r="H1065" s="509" t="s">
        <v>1025</v>
      </c>
      <c r="I1065" s="509"/>
      <c r="J1065" s="519" t="s">
        <v>3960</v>
      </c>
      <c r="K1065" s="527" t="s">
        <v>605</v>
      </c>
      <c r="L1065" s="526" t="s">
        <v>315</v>
      </c>
      <c r="M1065" s="527" t="s">
        <v>315</v>
      </c>
      <c r="N1065" s="528" t="s">
        <v>315</v>
      </c>
      <c r="O1065" s="663"/>
      <c r="P1065" s="666"/>
      <c r="Q1065" s="566"/>
      <c r="R1065" s="530"/>
      <c r="S1065" s="530" t="s">
        <v>315</v>
      </c>
      <c r="T1065" s="657" t="s">
        <v>315</v>
      </c>
    </row>
    <row r="1066" spans="1:20" s="508" customFormat="1" ht="90" hidden="1">
      <c r="A1066" s="518">
        <v>41</v>
      </c>
      <c r="B1066" s="507" t="s">
        <v>699</v>
      </c>
      <c r="C1066" s="509" t="s">
        <v>3531</v>
      </c>
      <c r="D1066" s="507" t="s">
        <v>4014</v>
      </c>
      <c r="E1066" s="509" t="str">
        <f>IF('GPS Anthro Tool'!$B$4=1,"North America FMVSS","")</f>
        <v>North America FMVSS</v>
      </c>
      <c r="F1066" s="507" t="s">
        <v>4242</v>
      </c>
      <c r="G1066" s="520"/>
      <c r="H1066" s="509" t="s">
        <v>1026</v>
      </c>
      <c r="I1066" s="509"/>
      <c r="J1066" s="519" t="s">
        <v>3960</v>
      </c>
      <c r="K1066" s="527" t="s">
        <v>605</v>
      </c>
      <c r="L1066" s="526" t="s">
        <v>315</v>
      </c>
      <c r="M1066" s="527" t="s">
        <v>315</v>
      </c>
      <c r="N1066" s="528" t="s">
        <v>315</v>
      </c>
      <c r="O1066" s="663"/>
      <c r="P1066" s="666"/>
      <c r="Q1066" s="566"/>
      <c r="R1066" s="535"/>
      <c r="S1066" s="530" t="s">
        <v>315</v>
      </c>
      <c r="T1066" s="657" t="s">
        <v>315</v>
      </c>
    </row>
    <row r="1067" spans="1:20" s="508" customFormat="1" ht="90" hidden="1">
      <c r="A1067" s="518">
        <v>42</v>
      </c>
      <c r="B1067" s="507" t="s">
        <v>699</v>
      </c>
      <c r="C1067" s="509" t="s">
        <v>3531</v>
      </c>
      <c r="D1067" s="507" t="s">
        <v>4015</v>
      </c>
      <c r="E1067" s="509" t="str">
        <f>IF('GPS Anthro Tool'!$B$4=1,"North America FMVSS","")</f>
        <v>North America FMVSS</v>
      </c>
      <c r="F1067" s="507" t="s">
        <v>4242</v>
      </c>
      <c r="G1067" s="520"/>
      <c r="H1067" s="509" t="s">
        <v>1027</v>
      </c>
      <c r="I1067" s="509"/>
      <c r="J1067" s="519" t="s">
        <v>3960</v>
      </c>
      <c r="K1067" s="527" t="s">
        <v>605</v>
      </c>
      <c r="L1067" s="526" t="s">
        <v>315</v>
      </c>
      <c r="M1067" s="527" t="s">
        <v>315</v>
      </c>
      <c r="N1067" s="528" t="s">
        <v>315</v>
      </c>
      <c r="O1067" s="663"/>
      <c r="P1067" s="666"/>
      <c r="Q1067" s="566"/>
      <c r="R1067" s="535"/>
      <c r="S1067" s="530" t="s">
        <v>315</v>
      </c>
      <c r="T1067" s="657" t="s">
        <v>315</v>
      </c>
    </row>
    <row r="1068" spans="1:20" s="508" customFormat="1" ht="180" hidden="1">
      <c r="A1068" s="518">
        <v>43</v>
      </c>
      <c r="B1068" s="507" t="s">
        <v>699</v>
      </c>
      <c r="C1068" s="509" t="s">
        <v>3531</v>
      </c>
      <c r="D1068" s="507" t="s">
        <v>4016</v>
      </c>
      <c r="E1068" s="509" t="str">
        <f>IF('GPS Anthro Tool'!$B$4=1,"North America FMVSS","")</f>
        <v>North America FMVSS</v>
      </c>
      <c r="F1068" s="507" t="s">
        <v>4242</v>
      </c>
      <c r="G1068" s="520"/>
      <c r="H1068" s="509" t="s">
        <v>1028</v>
      </c>
      <c r="I1068" s="509"/>
      <c r="J1068" s="519" t="s">
        <v>3960</v>
      </c>
      <c r="K1068" s="527" t="s">
        <v>605</v>
      </c>
      <c r="L1068" s="526" t="s">
        <v>315</v>
      </c>
      <c r="M1068" s="527" t="s">
        <v>315</v>
      </c>
      <c r="N1068" s="528" t="s">
        <v>315</v>
      </c>
      <c r="O1068" s="663"/>
      <c r="P1068" s="666"/>
      <c r="Q1068" s="566"/>
      <c r="R1068" s="535"/>
      <c r="S1068" s="530" t="s">
        <v>315</v>
      </c>
      <c r="T1068" s="657" t="s">
        <v>315</v>
      </c>
    </row>
    <row r="1069" spans="1:20" s="508" customFormat="1" ht="150" hidden="1">
      <c r="A1069" s="518">
        <v>44</v>
      </c>
      <c r="B1069" s="507" t="s">
        <v>699</v>
      </c>
      <c r="C1069" s="509" t="s">
        <v>3531</v>
      </c>
      <c r="D1069" s="507" t="s">
        <v>4017</v>
      </c>
      <c r="E1069" s="509" t="str">
        <f>IF('GPS Anthro Tool'!$B$4=1,"North America FMVSS","")</f>
        <v>North America FMVSS</v>
      </c>
      <c r="F1069" s="507" t="s">
        <v>4242</v>
      </c>
      <c r="G1069" s="520"/>
      <c r="H1069" s="509" t="s">
        <v>1029</v>
      </c>
      <c r="I1069" s="509"/>
      <c r="J1069" s="519" t="s">
        <v>3960</v>
      </c>
      <c r="K1069" s="527" t="s">
        <v>605</v>
      </c>
      <c r="L1069" s="526" t="s">
        <v>315</v>
      </c>
      <c r="M1069" s="527" t="s">
        <v>315</v>
      </c>
      <c r="N1069" s="528" t="s">
        <v>315</v>
      </c>
      <c r="O1069" s="663"/>
      <c r="P1069" s="666"/>
      <c r="Q1069" s="566"/>
      <c r="R1069" s="535"/>
      <c r="S1069" s="530" t="s">
        <v>315</v>
      </c>
      <c r="T1069" s="657" t="s">
        <v>315</v>
      </c>
    </row>
    <row r="1070" spans="1:20" s="508" customFormat="1" ht="255" hidden="1">
      <c r="A1070" s="518">
        <v>45</v>
      </c>
      <c r="B1070" s="507" t="s">
        <v>1030</v>
      </c>
      <c r="C1070" s="509" t="s">
        <v>3531</v>
      </c>
      <c r="D1070" s="507" t="s">
        <v>4018</v>
      </c>
      <c r="E1070" s="509" t="str">
        <f>IF('GPS Anthro Tool'!$B$4=1,"North America FMVSS","")</f>
        <v>North America FMVSS</v>
      </c>
      <c r="F1070" s="507" t="s">
        <v>4242</v>
      </c>
      <c r="G1070" s="506"/>
      <c r="H1070" s="509" t="s">
        <v>1031</v>
      </c>
      <c r="I1070" s="509"/>
      <c r="J1070" s="519" t="s">
        <v>3960</v>
      </c>
      <c r="K1070" s="527" t="s">
        <v>605</v>
      </c>
      <c r="L1070" s="526" t="s">
        <v>315</v>
      </c>
      <c r="M1070" s="527" t="s">
        <v>315</v>
      </c>
      <c r="N1070" s="528" t="s">
        <v>315</v>
      </c>
      <c r="O1070" s="663"/>
      <c r="P1070" s="666"/>
      <c r="Q1070" s="566"/>
      <c r="R1070" s="535"/>
      <c r="S1070" s="530" t="s">
        <v>315</v>
      </c>
      <c r="T1070" s="657" t="s">
        <v>315</v>
      </c>
    </row>
    <row r="1071" spans="1:20" s="508" customFormat="1" ht="75" hidden="1">
      <c r="A1071" s="518">
        <v>46</v>
      </c>
      <c r="B1071" s="507" t="s">
        <v>1030</v>
      </c>
      <c r="C1071" s="509" t="s">
        <v>3531</v>
      </c>
      <c r="D1071" s="507" t="s">
        <v>4019</v>
      </c>
      <c r="E1071" s="509" t="str">
        <f>IF('GPS Anthro Tool'!$B$4=1,"North America FMVSS","")</f>
        <v>North America FMVSS</v>
      </c>
      <c r="F1071" s="507" t="s">
        <v>4242</v>
      </c>
      <c r="G1071" s="506"/>
      <c r="H1071" s="509" t="s">
        <v>1032</v>
      </c>
      <c r="I1071" s="509"/>
      <c r="J1071" s="519" t="s">
        <v>3960</v>
      </c>
      <c r="K1071" s="527" t="s">
        <v>605</v>
      </c>
      <c r="L1071" s="526" t="s">
        <v>315</v>
      </c>
      <c r="M1071" s="527" t="s">
        <v>315</v>
      </c>
      <c r="N1071" s="528" t="s">
        <v>315</v>
      </c>
      <c r="O1071" s="663"/>
      <c r="P1071" s="666"/>
      <c r="Q1071" s="566"/>
      <c r="R1071" s="535"/>
      <c r="S1071" s="530" t="s">
        <v>315</v>
      </c>
      <c r="T1071" s="657" t="s">
        <v>315</v>
      </c>
    </row>
    <row r="1072" spans="1:20" s="508" customFormat="1" ht="60" hidden="1">
      <c r="A1072" s="518">
        <v>47</v>
      </c>
      <c r="B1072" s="507" t="s">
        <v>699</v>
      </c>
      <c r="C1072" s="509" t="s">
        <v>3531</v>
      </c>
      <c r="D1072" s="507" t="s">
        <v>4020</v>
      </c>
      <c r="E1072" s="509" t="str">
        <f>IF('GPS Anthro Tool'!$B$4=1,"North America FMVSS","")</f>
        <v>North America FMVSS</v>
      </c>
      <c r="F1072" s="507" t="s">
        <v>4242</v>
      </c>
      <c r="G1072" s="520"/>
      <c r="H1072" s="509" t="s">
        <v>1033</v>
      </c>
      <c r="I1072" s="509"/>
      <c r="J1072" s="519" t="s">
        <v>3960</v>
      </c>
      <c r="K1072" s="527" t="s">
        <v>605</v>
      </c>
      <c r="L1072" s="526" t="s">
        <v>315</v>
      </c>
      <c r="M1072" s="527" t="s">
        <v>315</v>
      </c>
      <c r="N1072" s="528" t="s">
        <v>315</v>
      </c>
      <c r="O1072" s="663"/>
      <c r="P1072" s="666"/>
      <c r="Q1072" s="566"/>
      <c r="R1072" s="535"/>
      <c r="S1072" s="530" t="s">
        <v>315</v>
      </c>
      <c r="T1072" s="657" t="s">
        <v>315</v>
      </c>
    </row>
    <row r="1073" spans="1:20" s="508" customFormat="1" ht="81" hidden="1">
      <c r="A1073" s="518">
        <v>48</v>
      </c>
      <c r="B1073" s="507" t="s">
        <v>699</v>
      </c>
      <c r="C1073" s="509" t="s">
        <v>3531</v>
      </c>
      <c r="D1073" s="507" t="s">
        <v>4021</v>
      </c>
      <c r="E1073" s="509" t="str">
        <f>IF('GPS Anthro Tool'!$B$4=1,"North America FMVSS","")</f>
        <v>North America FMVSS</v>
      </c>
      <c r="F1073" s="507" t="s">
        <v>4242</v>
      </c>
      <c r="G1073" s="520"/>
      <c r="H1073" s="509" t="s">
        <v>3494</v>
      </c>
      <c r="I1073" s="509"/>
      <c r="J1073" s="519" t="s">
        <v>3960</v>
      </c>
      <c r="K1073" s="527" t="s">
        <v>605</v>
      </c>
      <c r="L1073" s="526" t="s">
        <v>315</v>
      </c>
      <c r="M1073" s="527" t="s">
        <v>315</v>
      </c>
      <c r="N1073" s="528" t="s">
        <v>315</v>
      </c>
      <c r="O1073" s="663"/>
      <c r="P1073" s="666"/>
      <c r="Q1073" s="566"/>
      <c r="R1073" s="535"/>
      <c r="S1073" s="530" t="s">
        <v>315</v>
      </c>
      <c r="T1073" s="657" t="s">
        <v>315</v>
      </c>
    </row>
    <row r="1074" spans="1:20" s="508" customFormat="1" ht="141" hidden="1">
      <c r="A1074" s="518">
        <v>49</v>
      </c>
      <c r="B1074" s="507" t="s">
        <v>699</v>
      </c>
      <c r="C1074" s="509" t="s">
        <v>3531</v>
      </c>
      <c r="D1074" s="507" t="s">
        <v>4022</v>
      </c>
      <c r="E1074" s="509" t="str">
        <f>IF('GPS Anthro Tool'!$B$4=1,"North America FMVSS","")</f>
        <v>North America FMVSS</v>
      </c>
      <c r="F1074" s="507" t="s">
        <v>4242</v>
      </c>
      <c r="G1074" s="520"/>
      <c r="H1074" s="509" t="s">
        <v>3495</v>
      </c>
      <c r="I1074" s="509"/>
      <c r="J1074" s="519" t="s">
        <v>3960</v>
      </c>
      <c r="K1074" s="527" t="s">
        <v>605</v>
      </c>
      <c r="L1074" s="526" t="s">
        <v>315</v>
      </c>
      <c r="M1074" s="527" t="s">
        <v>315</v>
      </c>
      <c r="N1074" s="528" t="s">
        <v>315</v>
      </c>
      <c r="O1074" s="663"/>
      <c r="P1074" s="666"/>
      <c r="Q1074" s="566"/>
      <c r="R1074" s="535"/>
      <c r="S1074" s="530" t="s">
        <v>315</v>
      </c>
      <c r="T1074" s="657" t="s">
        <v>315</v>
      </c>
    </row>
    <row r="1075" spans="1:20" s="508" customFormat="1" ht="120" hidden="1">
      <c r="A1075" s="518">
        <v>50</v>
      </c>
      <c r="B1075" s="507" t="s">
        <v>699</v>
      </c>
      <c r="C1075" s="509" t="s">
        <v>3531</v>
      </c>
      <c r="D1075" s="507" t="s">
        <v>4023</v>
      </c>
      <c r="E1075" s="509" t="str">
        <f>IF('GPS Anthro Tool'!$B$4=1,"North America FMVSS","")</f>
        <v>North America FMVSS</v>
      </c>
      <c r="F1075" s="507" t="s">
        <v>4242</v>
      </c>
      <c r="G1075" s="520"/>
      <c r="H1075" s="509" t="s">
        <v>1034</v>
      </c>
      <c r="I1075" s="509"/>
      <c r="J1075" s="519" t="s">
        <v>3960</v>
      </c>
      <c r="K1075" s="527" t="s">
        <v>605</v>
      </c>
      <c r="L1075" s="526" t="s">
        <v>315</v>
      </c>
      <c r="M1075" s="527" t="s">
        <v>315</v>
      </c>
      <c r="N1075" s="528" t="s">
        <v>315</v>
      </c>
      <c r="O1075" s="663"/>
      <c r="P1075" s="666"/>
      <c r="Q1075" s="566"/>
      <c r="R1075" s="535"/>
      <c r="S1075" s="530" t="s">
        <v>315</v>
      </c>
      <c r="T1075" s="657" t="s">
        <v>315</v>
      </c>
    </row>
    <row r="1076" spans="1:20" s="508" customFormat="1" ht="45" hidden="1">
      <c r="A1076" s="518">
        <v>51</v>
      </c>
      <c r="B1076" s="507" t="s">
        <v>699</v>
      </c>
      <c r="C1076" s="509" t="s">
        <v>3531</v>
      </c>
      <c r="D1076" s="507" t="s">
        <v>4024</v>
      </c>
      <c r="E1076" s="509" t="str">
        <f>IF('GPS Anthro Tool'!$B$4=1,"North America FMVSS","")</f>
        <v>North America FMVSS</v>
      </c>
      <c r="F1076" s="507" t="s">
        <v>4242</v>
      </c>
      <c r="G1076" s="520"/>
      <c r="H1076" s="509" t="s">
        <v>1035</v>
      </c>
      <c r="I1076" s="509"/>
      <c r="J1076" s="519" t="s">
        <v>3960</v>
      </c>
      <c r="K1076" s="527" t="s">
        <v>605</v>
      </c>
      <c r="L1076" s="526" t="s">
        <v>315</v>
      </c>
      <c r="M1076" s="527" t="s">
        <v>315</v>
      </c>
      <c r="N1076" s="528" t="s">
        <v>315</v>
      </c>
      <c r="O1076" s="663"/>
      <c r="P1076" s="666"/>
      <c r="Q1076" s="566"/>
      <c r="R1076" s="535"/>
      <c r="S1076" s="530" t="s">
        <v>315</v>
      </c>
      <c r="T1076" s="657" t="s">
        <v>315</v>
      </c>
    </row>
    <row r="1077" spans="1:20" s="508" customFormat="1" ht="30" hidden="1">
      <c r="A1077" s="518">
        <v>52</v>
      </c>
      <c r="B1077" s="507" t="s">
        <v>699</v>
      </c>
      <c r="C1077" s="509" t="s">
        <v>3531</v>
      </c>
      <c r="D1077" s="507" t="s">
        <v>4025</v>
      </c>
      <c r="E1077" s="509" t="str">
        <f>IF('GPS Anthro Tool'!$B$4=1,"North America FMVSS","")</f>
        <v>North America FMVSS</v>
      </c>
      <c r="F1077" s="507" t="s">
        <v>4242</v>
      </c>
      <c r="G1077" s="520"/>
      <c r="H1077" s="509" t="s">
        <v>1036</v>
      </c>
      <c r="I1077" s="509"/>
      <c r="J1077" s="519" t="s">
        <v>3960</v>
      </c>
      <c r="K1077" s="527" t="s">
        <v>605</v>
      </c>
      <c r="L1077" s="526" t="s">
        <v>315</v>
      </c>
      <c r="M1077" s="527" t="s">
        <v>315</v>
      </c>
      <c r="N1077" s="528" t="s">
        <v>315</v>
      </c>
      <c r="O1077" s="663"/>
      <c r="P1077" s="666"/>
      <c r="Q1077" s="566"/>
      <c r="R1077" s="535"/>
      <c r="S1077" s="530" t="s">
        <v>315</v>
      </c>
      <c r="T1077" s="657" t="s">
        <v>315</v>
      </c>
    </row>
    <row r="1078" spans="1:20" s="508" customFormat="1" ht="45" hidden="1">
      <c r="A1078" s="518">
        <v>53</v>
      </c>
      <c r="B1078" s="507" t="s">
        <v>699</v>
      </c>
      <c r="C1078" s="509" t="s">
        <v>3531</v>
      </c>
      <c r="D1078" s="507" t="s">
        <v>4026</v>
      </c>
      <c r="E1078" s="509" t="str">
        <f>IF('GPS Anthro Tool'!$B$4=1,"North America FMVSS","")</f>
        <v>North America FMVSS</v>
      </c>
      <c r="F1078" s="507" t="s">
        <v>4242</v>
      </c>
      <c r="G1078" s="520"/>
      <c r="H1078" s="509" t="s">
        <v>1037</v>
      </c>
      <c r="I1078" s="509"/>
      <c r="J1078" s="519" t="s">
        <v>3960</v>
      </c>
      <c r="K1078" s="527" t="s">
        <v>605</v>
      </c>
      <c r="L1078" s="526" t="s">
        <v>315</v>
      </c>
      <c r="M1078" s="527" t="s">
        <v>315</v>
      </c>
      <c r="N1078" s="528" t="s">
        <v>315</v>
      </c>
      <c r="O1078" s="663"/>
      <c r="P1078" s="666"/>
      <c r="Q1078" s="566"/>
      <c r="R1078" s="535"/>
      <c r="S1078" s="530" t="s">
        <v>315</v>
      </c>
      <c r="T1078" s="657" t="s">
        <v>315</v>
      </c>
    </row>
    <row r="1079" spans="1:20" s="508" customFormat="1" ht="60" hidden="1">
      <c r="A1079" s="518">
        <v>54</v>
      </c>
      <c r="B1079" s="507" t="s">
        <v>699</v>
      </c>
      <c r="C1079" s="509" t="s">
        <v>3531</v>
      </c>
      <c r="D1079" s="507" t="s">
        <v>4027</v>
      </c>
      <c r="E1079" s="509" t="str">
        <f>IF('GPS Anthro Tool'!$B$4=1,"North America FMVSS","")</f>
        <v>North America FMVSS</v>
      </c>
      <c r="F1079" s="507" t="s">
        <v>4242</v>
      </c>
      <c r="G1079" s="520"/>
      <c r="H1079" s="509" t="s">
        <v>1038</v>
      </c>
      <c r="I1079" s="509"/>
      <c r="J1079" s="519" t="s">
        <v>3960</v>
      </c>
      <c r="K1079" s="527" t="s">
        <v>605</v>
      </c>
      <c r="L1079" s="526" t="s">
        <v>315</v>
      </c>
      <c r="M1079" s="527" t="s">
        <v>315</v>
      </c>
      <c r="N1079" s="528" t="s">
        <v>315</v>
      </c>
      <c r="O1079" s="663"/>
      <c r="P1079" s="666"/>
      <c r="Q1079" s="566"/>
      <c r="R1079" s="535"/>
      <c r="S1079" s="530" t="s">
        <v>315</v>
      </c>
      <c r="T1079" s="657" t="s">
        <v>315</v>
      </c>
    </row>
    <row r="1080" spans="1:20" s="508" customFormat="1" ht="105" hidden="1">
      <c r="A1080" s="518">
        <v>55</v>
      </c>
      <c r="B1080" s="507" t="s">
        <v>699</v>
      </c>
      <c r="C1080" s="509" t="s">
        <v>3531</v>
      </c>
      <c r="D1080" s="507" t="s">
        <v>4028</v>
      </c>
      <c r="E1080" s="509" t="str">
        <f>IF('GPS Anthro Tool'!$B$4=1,"North America FMVSS","")</f>
        <v>North America FMVSS</v>
      </c>
      <c r="F1080" s="507" t="s">
        <v>4242</v>
      </c>
      <c r="G1080" s="520"/>
      <c r="H1080" s="509" t="s">
        <v>1039</v>
      </c>
      <c r="I1080" s="509"/>
      <c r="J1080" s="519" t="s">
        <v>3960</v>
      </c>
      <c r="K1080" s="527" t="s">
        <v>605</v>
      </c>
      <c r="L1080" s="526" t="s">
        <v>315</v>
      </c>
      <c r="M1080" s="527" t="s">
        <v>315</v>
      </c>
      <c r="N1080" s="528" t="s">
        <v>315</v>
      </c>
      <c r="O1080" s="663"/>
      <c r="P1080" s="666"/>
      <c r="Q1080" s="566"/>
      <c r="R1080" s="535"/>
      <c r="S1080" s="530" t="s">
        <v>315</v>
      </c>
      <c r="T1080" s="657" t="s">
        <v>315</v>
      </c>
    </row>
    <row r="1081" spans="1:20" s="508" customFormat="1" ht="30" hidden="1">
      <c r="A1081" s="518">
        <v>56</v>
      </c>
      <c r="B1081" s="507" t="s">
        <v>699</v>
      </c>
      <c r="C1081" s="509" t="s">
        <v>3531</v>
      </c>
      <c r="D1081" s="507" t="s">
        <v>4029</v>
      </c>
      <c r="E1081" s="509" t="str">
        <f>IF('GPS Anthro Tool'!$B$4=1,"North America FMVSS","")</f>
        <v>North America FMVSS</v>
      </c>
      <c r="F1081" s="507" t="s">
        <v>4242</v>
      </c>
      <c r="G1081" s="520"/>
      <c r="H1081" s="509" t="s">
        <v>1040</v>
      </c>
      <c r="I1081" s="509"/>
      <c r="J1081" s="519" t="s">
        <v>3960</v>
      </c>
      <c r="K1081" s="527" t="s">
        <v>605</v>
      </c>
      <c r="L1081" s="526" t="s">
        <v>315</v>
      </c>
      <c r="M1081" s="527" t="s">
        <v>315</v>
      </c>
      <c r="N1081" s="528" t="s">
        <v>315</v>
      </c>
      <c r="O1081" s="663"/>
      <c r="P1081" s="666"/>
      <c r="Q1081" s="566"/>
      <c r="R1081" s="535"/>
      <c r="S1081" s="530" t="s">
        <v>315</v>
      </c>
      <c r="T1081" s="657" t="s">
        <v>315</v>
      </c>
    </row>
    <row r="1082" spans="1:20" s="508" customFormat="1" ht="105" hidden="1">
      <c r="A1082" s="518">
        <v>57</v>
      </c>
      <c r="B1082" s="507" t="s">
        <v>699</v>
      </c>
      <c r="C1082" s="509" t="s">
        <v>3531</v>
      </c>
      <c r="D1082" s="507" t="s">
        <v>4030</v>
      </c>
      <c r="E1082" s="509" t="str">
        <f>IF('GPS Anthro Tool'!$B$4=1,"North America FMVSS","")</f>
        <v>North America FMVSS</v>
      </c>
      <c r="F1082" s="507" t="s">
        <v>4242</v>
      </c>
      <c r="G1082" s="520"/>
      <c r="H1082" s="509" t="s">
        <v>1041</v>
      </c>
      <c r="I1082" s="509"/>
      <c r="J1082" s="519" t="s">
        <v>3960</v>
      </c>
      <c r="K1082" s="527" t="s">
        <v>605</v>
      </c>
      <c r="L1082" s="526" t="s">
        <v>315</v>
      </c>
      <c r="M1082" s="527" t="s">
        <v>315</v>
      </c>
      <c r="N1082" s="528" t="s">
        <v>315</v>
      </c>
      <c r="O1082" s="663"/>
      <c r="P1082" s="666"/>
      <c r="Q1082" s="566"/>
      <c r="R1082" s="535"/>
      <c r="S1082" s="530" t="s">
        <v>315</v>
      </c>
      <c r="T1082" s="657" t="s">
        <v>315</v>
      </c>
    </row>
    <row r="1083" spans="1:20" s="508" customFormat="1" ht="105" hidden="1">
      <c r="A1083" s="518">
        <v>58</v>
      </c>
      <c r="B1083" s="507" t="s">
        <v>699</v>
      </c>
      <c r="C1083" s="509" t="s">
        <v>3531</v>
      </c>
      <c r="D1083" s="507" t="s">
        <v>4031</v>
      </c>
      <c r="E1083" s="509" t="str">
        <f>IF('GPS Anthro Tool'!$B$4=1,"North America FMVSS","")</f>
        <v>North America FMVSS</v>
      </c>
      <c r="F1083" s="507" t="s">
        <v>4242</v>
      </c>
      <c r="G1083" s="520"/>
      <c r="H1083" s="509" t="s">
        <v>1042</v>
      </c>
      <c r="I1083" s="509"/>
      <c r="J1083" s="519" t="s">
        <v>3960</v>
      </c>
      <c r="K1083" s="527" t="s">
        <v>605</v>
      </c>
      <c r="L1083" s="526" t="s">
        <v>315</v>
      </c>
      <c r="M1083" s="527" t="s">
        <v>315</v>
      </c>
      <c r="N1083" s="528" t="s">
        <v>315</v>
      </c>
      <c r="O1083" s="663"/>
      <c r="P1083" s="666"/>
      <c r="Q1083" s="566"/>
      <c r="R1083" s="535"/>
      <c r="S1083" s="530" t="s">
        <v>315</v>
      </c>
      <c r="T1083" s="657" t="s">
        <v>315</v>
      </c>
    </row>
    <row r="1084" spans="1:20" s="508" customFormat="1" ht="81" hidden="1">
      <c r="A1084" s="518">
        <v>59</v>
      </c>
      <c r="B1084" s="507" t="s">
        <v>699</v>
      </c>
      <c r="C1084" s="509" t="s">
        <v>3531</v>
      </c>
      <c r="D1084" s="507" t="s">
        <v>4032</v>
      </c>
      <c r="E1084" s="509" t="str">
        <f>IF('GPS Anthro Tool'!$B$4=1,"North America FMVSS","")</f>
        <v>North America FMVSS</v>
      </c>
      <c r="F1084" s="507" t="s">
        <v>4242</v>
      </c>
      <c r="G1084" s="520"/>
      <c r="H1084" s="509" t="s">
        <v>3496</v>
      </c>
      <c r="I1084" s="509"/>
      <c r="J1084" s="519" t="s">
        <v>3960</v>
      </c>
      <c r="K1084" s="527" t="s">
        <v>605</v>
      </c>
      <c r="L1084" s="526" t="s">
        <v>315</v>
      </c>
      <c r="M1084" s="527" t="s">
        <v>315</v>
      </c>
      <c r="N1084" s="528" t="s">
        <v>315</v>
      </c>
      <c r="O1084" s="663"/>
      <c r="P1084" s="666"/>
      <c r="Q1084" s="566"/>
      <c r="R1084" s="535"/>
      <c r="S1084" s="530" t="s">
        <v>315</v>
      </c>
      <c r="T1084" s="657" t="s">
        <v>315</v>
      </c>
    </row>
    <row r="1085" spans="1:20" s="508" customFormat="1" ht="159" hidden="1">
      <c r="A1085" s="518">
        <v>60</v>
      </c>
      <c r="B1085" s="507" t="s">
        <v>699</v>
      </c>
      <c r="C1085" s="509" t="s">
        <v>3531</v>
      </c>
      <c r="D1085" s="507" t="s">
        <v>4033</v>
      </c>
      <c r="E1085" s="509" t="str">
        <f>IF('GPS Anthro Tool'!$B$4=1,"North America FMVSS","")</f>
        <v>North America FMVSS</v>
      </c>
      <c r="F1085" s="507" t="s">
        <v>4242</v>
      </c>
      <c r="G1085" s="520"/>
      <c r="H1085" s="509" t="s">
        <v>3497</v>
      </c>
      <c r="I1085" s="509"/>
      <c r="J1085" s="519" t="s">
        <v>3960</v>
      </c>
      <c r="K1085" s="527" t="s">
        <v>605</v>
      </c>
      <c r="L1085" s="526" t="s">
        <v>315</v>
      </c>
      <c r="M1085" s="527" t="s">
        <v>315</v>
      </c>
      <c r="N1085" s="528" t="s">
        <v>315</v>
      </c>
      <c r="O1085" s="663"/>
      <c r="P1085" s="666"/>
      <c r="Q1085" s="566"/>
      <c r="R1085" s="535"/>
      <c r="S1085" s="530" t="s">
        <v>315</v>
      </c>
      <c r="T1085" s="657" t="s">
        <v>315</v>
      </c>
    </row>
    <row r="1086" spans="1:20" s="508" customFormat="1" ht="165" hidden="1">
      <c r="A1086" s="518">
        <v>61</v>
      </c>
      <c r="B1086" s="507" t="s">
        <v>699</v>
      </c>
      <c r="C1086" s="509" t="s">
        <v>1043</v>
      </c>
      <c r="D1086" s="507" t="s">
        <v>4034</v>
      </c>
      <c r="E1086" s="509" t="str">
        <f>IF('GPS Anthro Tool'!$B$4=1,"North America FMVSS","")</f>
        <v>North America FMVSS</v>
      </c>
      <c r="F1086" s="507" t="s">
        <v>4242</v>
      </c>
      <c r="G1086" s="520"/>
      <c r="H1086" s="509" t="s">
        <v>1044</v>
      </c>
      <c r="I1086" s="509" t="s">
        <v>1043</v>
      </c>
      <c r="J1086" s="519" t="s">
        <v>3960</v>
      </c>
      <c r="K1086" s="527" t="s">
        <v>605</v>
      </c>
      <c r="L1086" s="526" t="s">
        <v>315</v>
      </c>
      <c r="M1086" s="527" t="s">
        <v>315</v>
      </c>
      <c r="N1086" s="528" t="s">
        <v>315</v>
      </c>
      <c r="O1086" s="663"/>
      <c r="P1086" s="666"/>
      <c r="Q1086" s="566"/>
      <c r="R1086" s="530"/>
      <c r="S1086" s="530" t="s">
        <v>315</v>
      </c>
      <c r="T1086" s="657" t="s">
        <v>315</v>
      </c>
    </row>
    <row r="1087" spans="1:20" s="508" customFormat="1" ht="30" hidden="1">
      <c r="A1087" s="518">
        <v>62</v>
      </c>
      <c r="B1087" s="507" t="s">
        <v>699</v>
      </c>
      <c r="C1087" s="509" t="s">
        <v>1045</v>
      </c>
      <c r="D1087" s="507" t="s">
        <v>4035</v>
      </c>
      <c r="E1087" s="509" t="str">
        <f>IF('GPS Anthro Tool'!$B$4=1,"North America FMVSS","")</f>
        <v>North America FMVSS</v>
      </c>
      <c r="F1087" s="507" t="s">
        <v>4242</v>
      </c>
      <c r="G1087" s="520"/>
      <c r="H1087" s="509" t="s">
        <v>1046</v>
      </c>
      <c r="I1087" s="509"/>
      <c r="J1087" s="519" t="s">
        <v>3960</v>
      </c>
      <c r="K1087" s="527" t="s">
        <v>605</v>
      </c>
      <c r="L1087" s="526" t="s">
        <v>315</v>
      </c>
      <c r="M1087" s="527" t="s">
        <v>315</v>
      </c>
      <c r="N1087" s="528" t="s">
        <v>315</v>
      </c>
      <c r="O1087" s="663"/>
      <c r="P1087" s="666"/>
      <c r="Q1087" s="566"/>
      <c r="R1087" s="530"/>
      <c r="S1087" s="530" t="s">
        <v>315</v>
      </c>
      <c r="T1087" s="657" t="s">
        <v>315</v>
      </c>
    </row>
    <row r="1088" spans="1:20" s="508" customFormat="1" ht="30" hidden="1">
      <c r="A1088" s="518">
        <v>63</v>
      </c>
      <c r="B1088" s="507" t="s">
        <v>699</v>
      </c>
      <c r="C1088" s="509" t="s">
        <v>1045</v>
      </c>
      <c r="D1088" s="507" t="s">
        <v>4036</v>
      </c>
      <c r="E1088" s="509" t="str">
        <f>IF('GPS Anthro Tool'!$B$4=1,"North America FMVSS","")</f>
        <v>North America FMVSS</v>
      </c>
      <c r="F1088" s="507" t="s">
        <v>4242</v>
      </c>
      <c r="G1088" s="520"/>
      <c r="H1088" s="509" t="s">
        <v>1047</v>
      </c>
      <c r="I1088" s="509"/>
      <c r="J1088" s="519" t="s">
        <v>3960</v>
      </c>
      <c r="K1088" s="527" t="s">
        <v>605</v>
      </c>
      <c r="L1088" s="526" t="s">
        <v>315</v>
      </c>
      <c r="M1088" s="527" t="s">
        <v>315</v>
      </c>
      <c r="N1088" s="528" t="s">
        <v>315</v>
      </c>
      <c r="O1088" s="663"/>
      <c r="P1088" s="666"/>
      <c r="Q1088" s="566"/>
      <c r="R1088" s="530"/>
      <c r="S1088" s="530" t="s">
        <v>315</v>
      </c>
      <c r="T1088" s="657" t="s">
        <v>315</v>
      </c>
    </row>
    <row r="1089" spans="1:20" s="508" customFormat="1" ht="150" hidden="1">
      <c r="A1089" s="518">
        <v>64</v>
      </c>
      <c r="B1089" s="507" t="s">
        <v>699</v>
      </c>
      <c r="C1089" s="509" t="s">
        <v>1045</v>
      </c>
      <c r="D1089" s="507" t="s">
        <v>4037</v>
      </c>
      <c r="E1089" s="509" t="str">
        <f>IF('GPS Anthro Tool'!$B$4=1,"North America FMVSS","")</f>
        <v>North America FMVSS</v>
      </c>
      <c r="F1089" s="507" t="s">
        <v>4242</v>
      </c>
      <c r="G1089" s="520"/>
      <c r="H1089" s="509" t="s">
        <v>1048</v>
      </c>
      <c r="I1089" s="509"/>
      <c r="J1089" s="519" t="s">
        <v>3960</v>
      </c>
      <c r="K1089" s="527" t="s">
        <v>605</v>
      </c>
      <c r="L1089" s="526" t="s">
        <v>315</v>
      </c>
      <c r="M1089" s="527" t="s">
        <v>315</v>
      </c>
      <c r="N1089" s="528" t="s">
        <v>315</v>
      </c>
      <c r="O1089" s="663"/>
      <c r="P1089" s="666"/>
      <c r="Q1089" s="566"/>
      <c r="R1089" s="530"/>
      <c r="S1089" s="530" t="s">
        <v>315</v>
      </c>
      <c r="T1089" s="657" t="s">
        <v>315</v>
      </c>
    </row>
    <row r="1090" spans="1:20" s="508" customFormat="1" ht="165" hidden="1">
      <c r="A1090" s="518">
        <v>65</v>
      </c>
      <c r="B1090" s="507" t="s">
        <v>699</v>
      </c>
      <c r="C1090" s="509" t="s">
        <v>1049</v>
      </c>
      <c r="D1090" s="507" t="s">
        <v>4038</v>
      </c>
      <c r="E1090" s="509" t="str">
        <f>IF('GPS Anthro Tool'!$B$4=1,"North America FMVSS","")</f>
        <v>North America FMVSS</v>
      </c>
      <c r="F1090" s="507" t="s">
        <v>4242</v>
      </c>
      <c r="G1090" s="520"/>
      <c r="H1090" s="509" t="s">
        <v>1050</v>
      </c>
      <c r="I1090" s="509"/>
      <c r="J1090" s="519" t="s">
        <v>3960</v>
      </c>
      <c r="K1090" s="527" t="s">
        <v>605</v>
      </c>
      <c r="L1090" s="526" t="s">
        <v>315</v>
      </c>
      <c r="M1090" s="527" t="s">
        <v>315</v>
      </c>
      <c r="N1090" s="528" t="s">
        <v>315</v>
      </c>
      <c r="O1090" s="663"/>
      <c r="P1090" s="666"/>
      <c r="Q1090" s="566"/>
      <c r="R1090" s="530"/>
      <c r="S1090" s="530" t="s">
        <v>315</v>
      </c>
      <c r="T1090" s="657" t="s">
        <v>315</v>
      </c>
    </row>
    <row r="1091" spans="1:20" s="508" customFormat="1" ht="30" hidden="1">
      <c r="A1091" s="518">
        <v>66</v>
      </c>
      <c r="B1091" s="507" t="s">
        <v>699</v>
      </c>
      <c r="C1091" s="509" t="s">
        <v>1049</v>
      </c>
      <c r="D1091" s="507" t="s">
        <v>4039</v>
      </c>
      <c r="E1091" s="509" t="str">
        <f>IF('GPS Anthro Tool'!$B$4=1,"North America FMVSS","")</f>
        <v>North America FMVSS</v>
      </c>
      <c r="F1091" s="507" t="s">
        <v>4242</v>
      </c>
      <c r="G1091" s="520"/>
      <c r="H1091" s="509" t="s">
        <v>1051</v>
      </c>
      <c r="I1091" s="509"/>
      <c r="J1091" s="519" t="s">
        <v>3960</v>
      </c>
      <c r="K1091" s="527" t="s">
        <v>605</v>
      </c>
      <c r="L1091" s="526" t="s">
        <v>315</v>
      </c>
      <c r="M1091" s="527" t="s">
        <v>315</v>
      </c>
      <c r="N1091" s="528" t="s">
        <v>315</v>
      </c>
      <c r="O1091" s="663"/>
      <c r="P1091" s="666"/>
      <c r="Q1091" s="566"/>
      <c r="R1091" s="530"/>
      <c r="S1091" s="530" t="s">
        <v>315</v>
      </c>
      <c r="T1091" s="657" t="s">
        <v>315</v>
      </c>
    </row>
    <row r="1092" spans="1:20" s="508" customFormat="1" ht="48" hidden="1">
      <c r="A1092" s="518">
        <v>67</v>
      </c>
      <c r="B1092" s="507" t="s">
        <v>699</v>
      </c>
      <c r="C1092" s="509" t="s">
        <v>1049</v>
      </c>
      <c r="D1092" s="507" t="s">
        <v>4040</v>
      </c>
      <c r="E1092" s="509" t="str">
        <f>IF('GPS Anthro Tool'!$B$4=1,"North America FMVSS","")</f>
        <v>North America FMVSS</v>
      </c>
      <c r="F1092" s="507" t="s">
        <v>4242</v>
      </c>
      <c r="G1092" s="520"/>
      <c r="H1092" s="509" t="s">
        <v>3498</v>
      </c>
      <c r="I1092" s="509"/>
      <c r="J1092" s="519" t="s">
        <v>3960</v>
      </c>
      <c r="K1092" s="527" t="s">
        <v>605</v>
      </c>
      <c r="L1092" s="526" t="s">
        <v>315</v>
      </c>
      <c r="M1092" s="527" t="s">
        <v>315</v>
      </c>
      <c r="N1092" s="528" t="s">
        <v>315</v>
      </c>
      <c r="O1092" s="663"/>
      <c r="P1092" s="666"/>
      <c r="Q1092" s="566"/>
      <c r="R1092" s="530"/>
      <c r="S1092" s="530" t="s">
        <v>315</v>
      </c>
      <c r="T1092" s="657" t="s">
        <v>315</v>
      </c>
    </row>
    <row r="1093" spans="1:20" s="508" customFormat="1" ht="60" hidden="1">
      <c r="A1093" s="518">
        <v>68</v>
      </c>
      <c r="B1093" s="507" t="s">
        <v>699</v>
      </c>
      <c r="C1093" s="509" t="s">
        <v>1049</v>
      </c>
      <c r="D1093" s="507" t="s">
        <v>4041</v>
      </c>
      <c r="E1093" s="509" t="str">
        <f>IF('GPS Anthro Tool'!$B$4=1,"North America FMVSS","")</f>
        <v>North America FMVSS</v>
      </c>
      <c r="F1093" s="507" t="s">
        <v>4242</v>
      </c>
      <c r="G1093" s="520"/>
      <c r="H1093" s="509" t="s">
        <v>1052</v>
      </c>
      <c r="I1093" s="509"/>
      <c r="J1093" s="519" t="s">
        <v>3960</v>
      </c>
      <c r="K1093" s="527" t="s">
        <v>605</v>
      </c>
      <c r="L1093" s="526" t="s">
        <v>315</v>
      </c>
      <c r="M1093" s="527" t="s">
        <v>315</v>
      </c>
      <c r="N1093" s="528" t="s">
        <v>315</v>
      </c>
      <c r="O1093" s="663"/>
      <c r="P1093" s="666"/>
      <c r="Q1093" s="566"/>
      <c r="R1093" s="530"/>
      <c r="S1093" s="530" t="s">
        <v>315</v>
      </c>
      <c r="T1093" s="657" t="s">
        <v>315</v>
      </c>
    </row>
    <row r="1094" spans="1:20" s="508" customFormat="1" ht="90" hidden="1">
      <c r="A1094" s="518">
        <v>69</v>
      </c>
      <c r="B1094" s="507" t="s">
        <v>699</v>
      </c>
      <c r="C1094" s="509" t="s">
        <v>1053</v>
      </c>
      <c r="D1094" s="507" t="s">
        <v>4042</v>
      </c>
      <c r="E1094" s="509" t="str">
        <f>IF('GPS Anthro Tool'!$B$4=1,"North America FMVSS","")</f>
        <v>North America FMVSS</v>
      </c>
      <c r="F1094" s="507" t="s">
        <v>4242</v>
      </c>
      <c r="G1094" s="520"/>
      <c r="H1094" s="509" t="s">
        <v>1054</v>
      </c>
      <c r="I1094" s="509"/>
      <c r="J1094" s="519" t="s">
        <v>3960</v>
      </c>
      <c r="K1094" s="527" t="s">
        <v>605</v>
      </c>
      <c r="L1094" s="526" t="s">
        <v>315</v>
      </c>
      <c r="M1094" s="527" t="s">
        <v>315</v>
      </c>
      <c r="N1094" s="528" t="s">
        <v>315</v>
      </c>
      <c r="O1094" s="663"/>
      <c r="P1094" s="666"/>
      <c r="Q1094" s="566"/>
      <c r="R1094" s="530"/>
      <c r="S1094" s="530" t="s">
        <v>315</v>
      </c>
      <c r="T1094" s="657" t="s">
        <v>315</v>
      </c>
    </row>
    <row r="1095" spans="1:20" s="508" customFormat="1" ht="90" hidden="1">
      <c r="A1095" s="518">
        <v>70</v>
      </c>
      <c r="B1095" s="507" t="s">
        <v>699</v>
      </c>
      <c r="C1095" s="509" t="s">
        <v>1053</v>
      </c>
      <c r="D1095" s="507" t="s">
        <v>4043</v>
      </c>
      <c r="E1095" s="509" t="str">
        <f>IF('GPS Anthro Tool'!$B$4=1,"North America FMVSS","")</f>
        <v>North America FMVSS</v>
      </c>
      <c r="F1095" s="507" t="s">
        <v>4242</v>
      </c>
      <c r="G1095" s="520"/>
      <c r="H1095" s="509" t="s">
        <v>1055</v>
      </c>
      <c r="I1095" s="509"/>
      <c r="J1095" s="519" t="s">
        <v>3960</v>
      </c>
      <c r="K1095" s="527" t="s">
        <v>605</v>
      </c>
      <c r="L1095" s="526" t="s">
        <v>315</v>
      </c>
      <c r="M1095" s="527" t="s">
        <v>315</v>
      </c>
      <c r="N1095" s="528" t="s">
        <v>315</v>
      </c>
      <c r="O1095" s="663"/>
      <c r="P1095" s="666"/>
      <c r="Q1095" s="566"/>
      <c r="R1095" s="530"/>
      <c r="S1095" s="530" t="s">
        <v>315</v>
      </c>
      <c r="T1095" s="657" t="s">
        <v>315</v>
      </c>
    </row>
    <row r="1096" spans="1:20" s="508" customFormat="1" ht="30" hidden="1">
      <c r="A1096" s="518">
        <v>71</v>
      </c>
      <c r="B1096" s="519" t="s">
        <v>1158</v>
      </c>
      <c r="C1096" s="509" t="s">
        <v>1362</v>
      </c>
      <c r="D1096" s="507" t="s">
        <v>4077</v>
      </c>
      <c r="E1096" s="509" t="str">
        <f>IF('GPS Anthro Tool'!$B$4=1,"North America FMVSS","")</f>
        <v>North America FMVSS</v>
      </c>
      <c r="F1096" s="507" t="s">
        <v>4242</v>
      </c>
      <c r="G1096" s="520"/>
      <c r="H1096" s="509" t="s">
        <v>1363</v>
      </c>
      <c r="I1096" s="509"/>
      <c r="J1096" s="519" t="s">
        <v>3960</v>
      </c>
      <c r="K1096" s="527" t="s">
        <v>605</v>
      </c>
      <c r="L1096" s="526" t="s">
        <v>315</v>
      </c>
      <c r="M1096" s="527" t="s">
        <v>315</v>
      </c>
      <c r="N1096" s="528" t="s">
        <v>315</v>
      </c>
      <c r="O1096" s="663"/>
      <c r="P1096" s="666"/>
      <c r="Q1096" s="566"/>
      <c r="R1096" s="535"/>
      <c r="S1096" s="530" t="s">
        <v>315</v>
      </c>
      <c r="T1096" s="657" t="s">
        <v>315</v>
      </c>
    </row>
    <row r="1097" spans="1:20" s="508" customFormat="1" ht="90" hidden="1">
      <c r="A1097" s="518">
        <v>72</v>
      </c>
      <c r="B1097" s="519" t="s">
        <v>1158</v>
      </c>
      <c r="C1097" s="509" t="s">
        <v>1362</v>
      </c>
      <c r="D1097" s="509" t="s">
        <v>4078</v>
      </c>
      <c r="E1097" s="509" t="str">
        <f>IF('GPS Anthro Tool'!$B$4=1,"North America FMVSS","")</f>
        <v>North America FMVSS</v>
      </c>
      <c r="F1097" s="507" t="s">
        <v>4242</v>
      </c>
      <c r="G1097" s="520"/>
      <c r="H1097" s="509" t="s">
        <v>1364</v>
      </c>
      <c r="I1097" s="509"/>
      <c r="J1097" s="519" t="s">
        <v>3960</v>
      </c>
      <c r="K1097" s="527" t="s">
        <v>605</v>
      </c>
      <c r="L1097" s="526" t="s">
        <v>315</v>
      </c>
      <c r="M1097" s="527" t="s">
        <v>315</v>
      </c>
      <c r="N1097" s="528" t="s">
        <v>315</v>
      </c>
      <c r="O1097" s="663"/>
      <c r="P1097" s="666"/>
      <c r="Q1097" s="566"/>
      <c r="R1097" s="535"/>
      <c r="S1097" s="530" t="s">
        <v>315</v>
      </c>
      <c r="T1097" s="657" t="s">
        <v>315</v>
      </c>
    </row>
    <row r="1098" spans="1:20" s="508" customFormat="1" ht="300" hidden="1">
      <c r="A1098" s="518">
        <v>73</v>
      </c>
      <c r="B1098" s="519" t="s">
        <v>1158</v>
      </c>
      <c r="C1098" s="509" t="s">
        <v>1362</v>
      </c>
      <c r="D1098" s="509" t="s">
        <v>4079</v>
      </c>
      <c r="E1098" s="509" t="str">
        <f>IF('GPS Anthro Tool'!$B$4=1,"North America FMVSS","")</f>
        <v>North America FMVSS</v>
      </c>
      <c r="F1098" s="507" t="s">
        <v>4242</v>
      </c>
      <c r="G1098" s="520"/>
      <c r="H1098" s="509" t="s">
        <v>1365</v>
      </c>
      <c r="I1098" s="509"/>
      <c r="J1098" s="519" t="s">
        <v>3960</v>
      </c>
      <c r="K1098" s="527" t="s">
        <v>605</v>
      </c>
      <c r="L1098" s="526" t="s">
        <v>315</v>
      </c>
      <c r="M1098" s="527" t="s">
        <v>315</v>
      </c>
      <c r="N1098" s="528" t="s">
        <v>315</v>
      </c>
      <c r="O1098" s="663"/>
      <c r="P1098" s="666"/>
      <c r="Q1098" s="566"/>
      <c r="R1098" s="535"/>
      <c r="S1098" s="530" t="s">
        <v>315</v>
      </c>
      <c r="T1098" s="657" t="s">
        <v>315</v>
      </c>
    </row>
    <row r="1099" spans="1:20" s="508" customFormat="1" ht="105" hidden="1">
      <c r="A1099" s="518">
        <v>74</v>
      </c>
      <c r="B1099" s="519" t="s">
        <v>1158</v>
      </c>
      <c r="C1099" s="509" t="s">
        <v>1362</v>
      </c>
      <c r="D1099" s="509" t="s">
        <v>4080</v>
      </c>
      <c r="E1099" s="509" t="str">
        <f>IF('GPS Anthro Tool'!$B$4=1,"North America FMVSS","")</f>
        <v>North America FMVSS</v>
      </c>
      <c r="F1099" s="507" t="s">
        <v>4242</v>
      </c>
      <c r="G1099" s="520"/>
      <c r="H1099" s="509" t="s">
        <v>1366</v>
      </c>
      <c r="I1099" s="509"/>
      <c r="J1099" s="519" t="s">
        <v>3960</v>
      </c>
      <c r="K1099" s="527" t="s">
        <v>605</v>
      </c>
      <c r="L1099" s="526" t="s">
        <v>315</v>
      </c>
      <c r="M1099" s="527" t="s">
        <v>315</v>
      </c>
      <c r="N1099" s="528" t="s">
        <v>315</v>
      </c>
      <c r="O1099" s="663"/>
      <c r="P1099" s="666"/>
      <c r="Q1099" s="566"/>
      <c r="R1099" s="535"/>
      <c r="S1099" s="530" t="s">
        <v>315</v>
      </c>
      <c r="T1099" s="657" t="s">
        <v>315</v>
      </c>
    </row>
    <row r="1100" spans="1:20" s="508" customFormat="1" ht="180" hidden="1">
      <c r="A1100" s="518">
        <v>75</v>
      </c>
      <c r="B1100" s="519" t="s">
        <v>1158</v>
      </c>
      <c r="C1100" s="509" t="s">
        <v>1362</v>
      </c>
      <c r="D1100" s="509" t="s">
        <v>4081</v>
      </c>
      <c r="E1100" s="509" t="str">
        <f>IF('GPS Anthro Tool'!$B$4=1,"North America FMVSS","")</f>
        <v>North America FMVSS</v>
      </c>
      <c r="F1100" s="507" t="s">
        <v>4242</v>
      </c>
      <c r="G1100" s="520"/>
      <c r="H1100" s="509" t="s">
        <v>1367</v>
      </c>
      <c r="I1100" s="509"/>
      <c r="J1100" s="519" t="s">
        <v>3960</v>
      </c>
      <c r="K1100" s="527" t="s">
        <v>605</v>
      </c>
      <c r="L1100" s="526" t="s">
        <v>315</v>
      </c>
      <c r="M1100" s="527" t="s">
        <v>315</v>
      </c>
      <c r="N1100" s="528" t="s">
        <v>315</v>
      </c>
      <c r="O1100" s="663"/>
      <c r="P1100" s="666"/>
      <c r="Q1100" s="566"/>
      <c r="R1100" s="535"/>
      <c r="S1100" s="530" t="s">
        <v>315</v>
      </c>
      <c r="T1100" s="657" t="s">
        <v>315</v>
      </c>
    </row>
    <row r="1101" spans="1:20" s="508" customFormat="1" ht="135" hidden="1">
      <c r="A1101" s="518">
        <v>76</v>
      </c>
      <c r="B1101" s="519" t="s">
        <v>1158</v>
      </c>
      <c r="C1101" s="509" t="s">
        <v>1362</v>
      </c>
      <c r="D1101" s="509" t="s">
        <v>4082</v>
      </c>
      <c r="E1101" s="509" t="str">
        <f>IF('GPS Anthro Tool'!$B$4=1,"North America FMVSS","")</f>
        <v>North America FMVSS</v>
      </c>
      <c r="F1101" s="507" t="s">
        <v>4242</v>
      </c>
      <c r="G1101" s="520"/>
      <c r="H1101" s="509" t="s">
        <v>1368</v>
      </c>
      <c r="I1101" s="509"/>
      <c r="J1101" s="519" t="s">
        <v>3960</v>
      </c>
      <c r="K1101" s="527" t="s">
        <v>605</v>
      </c>
      <c r="L1101" s="526" t="s">
        <v>315</v>
      </c>
      <c r="M1101" s="527" t="s">
        <v>315</v>
      </c>
      <c r="N1101" s="528" t="s">
        <v>315</v>
      </c>
      <c r="O1101" s="663"/>
      <c r="P1101" s="666"/>
      <c r="Q1101" s="566"/>
      <c r="R1101" s="535"/>
      <c r="S1101" s="530" t="s">
        <v>315</v>
      </c>
      <c r="T1101" s="657" t="s">
        <v>315</v>
      </c>
    </row>
    <row r="1102" spans="1:20" s="508" customFormat="1" ht="90" hidden="1">
      <c r="A1102" s="518">
        <v>77</v>
      </c>
      <c r="B1102" s="519" t="s">
        <v>1158</v>
      </c>
      <c r="C1102" s="509" t="s">
        <v>1362</v>
      </c>
      <c r="D1102" s="509" t="s">
        <v>4083</v>
      </c>
      <c r="E1102" s="509" t="str">
        <f>IF('GPS Anthro Tool'!$B$4=1,"North America FMVSS","")</f>
        <v>North America FMVSS</v>
      </c>
      <c r="F1102" s="507" t="s">
        <v>4242</v>
      </c>
      <c r="G1102" s="520"/>
      <c r="H1102" s="509" t="s">
        <v>1369</v>
      </c>
      <c r="I1102" s="509"/>
      <c r="J1102" s="519" t="s">
        <v>3960</v>
      </c>
      <c r="K1102" s="527" t="s">
        <v>605</v>
      </c>
      <c r="L1102" s="526" t="s">
        <v>315</v>
      </c>
      <c r="M1102" s="527" t="s">
        <v>315</v>
      </c>
      <c r="N1102" s="528" t="s">
        <v>315</v>
      </c>
      <c r="O1102" s="663"/>
      <c r="P1102" s="666"/>
      <c r="Q1102" s="566"/>
      <c r="R1102" s="535"/>
      <c r="S1102" s="530" t="s">
        <v>315</v>
      </c>
      <c r="T1102" s="657" t="s">
        <v>315</v>
      </c>
    </row>
    <row r="1103" spans="1:20" s="508" customFormat="1" ht="75" hidden="1">
      <c r="A1103" s="518">
        <v>78</v>
      </c>
      <c r="B1103" s="519" t="s">
        <v>1158</v>
      </c>
      <c r="C1103" s="509" t="s">
        <v>1370</v>
      </c>
      <c r="D1103" s="507" t="s">
        <v>4084</v>
      </c>
      <c r="E1103" s="509" t="str">
        <f>IF('GPS Anthro Tool'!$B$4=1,"North America FMVSS","")</f>
        <v>North America FMVSS</v>
      </c>
      <c r="F1103" s="507" t="s">
        <v>4242</v>
      </c>
      <c r="G1103" s="520"/>
      <c r="H1103" s="509" t="s">
        <v>1371</v>
      </c>
      <c r="I1103" s="509"/>
      <c r="J1103" s="519" t="s">
        <v>3960</v>
      </c>
      <c r="K1103" s="527" t="s">
        <v>605</v>
      </c>
      <c r="L1103" s="526" t="s">
        <v>315</v>
      </c>
      <c r="M1103" s="527" t="s">
        <v>315</v>
      </c>
      <c r="N1103" s="528" t="s">
        <v>315</v>
      </c>
      <c r="O1103" s="663"/>
      <c r="P1103" s="666"/>
      <c r="Q1103" s="566"/>
      <c r="R1103" s="535"/>
      <c r="S1103" s="530" t="s">
        <v>315</v>
      </c>
      <c r="T1103" s="657" t="s">
        <v>315</v>
      </c>
    </row>
    <row r="1104" spans="1:20" s="508" customFormat="1" ht="195" hidden="1">
      <c r="A1104" s="518">
        <v>79</v>
      </c>
      <c r="B1104" s="519" t="s">
        <v>1158</v>
      </c>
      <c r="C1104" s="509" t="s">
        <v>1370</v>
      </c>
      <c r="D1104" s="509" t="s">
        <v>4085</v>
      </c>
      <c r="E1104" s="509" t="str">
        <f>IF('GPS Anthro Tool'!$B$4=1,"North America FMVSS","")</f>
        <v>North America FMVSS</v>
      </c>
      <c r="F1104" s="507" t="s">
        <v>4242</v>
      </c>
      <c r="G1104" s="520"/>
      <c r="H1104" s="509" t="s">
        <v>1372</v>
      </c>
      <c r="I1104" s="509"/>
      <c r="J1104" s="519" t="s">
        <v>3960</v>
      </c>
      <c r="K1104" s="527" t="s">
        <v>605</v>
      </c>
      <c r="L1104" s="526" t="s">
        <v>315</v>
      </c>
      <c r="M1104" s="527" t="s">
        <v>315</v>
      </c>
      <c r="N1104" s="528" t="s">
        <v>315</v>
      </c>
      <c r="O1104" s="663"/>
      <c r="P1104" s="666"/>
      <c r="Q1104" s="566"/>
      <c r="R1104" s="535"/>
      <c r="S1104" s="530" t="s">
        <v>315</v>
      </c>
      <c r="T1104" s="657" t="s">
        <v>315</v>
      </c>
    </row>
    <row r="1105" spans="1:20" s="508" customFormat="1" ht="90" hidden="1">
      <c r="A1105" s="518">
        <v>80</v>
      </c>
      <c r="B1105" s="519" t="s">
        <v>1158</v>
      </c>
      <c r="C1105" s="536" t="s">
        <v>2167</v>
      </c>
      <c r="D1105" s="507" t="s">
        <v>4076</v>
      </c>
      <c r="E1105" s="509" t="str">
        <f>IF('GPS Anthro Tool'!$B$4=1,"North America FMVSS","")</f>
        <v>North America FMVSS</v>
      </c>
      <c r="F1105" s="507" t="s">
        <v>4242</v>
      </c>
      <c r="G1105" s="520"/>
      <c r="H1105" s="509" t="s">
        <v>1239</v>
      </c>
      <c r="I1105" s="506"/>
      <c r="J1105" s="519" t="s">
        <v>3960</v>
      </c>
      <c r="K1105" s="527" t="s">
        <v>605</v>
      </c>
      <c r="L1105" s="526" t="s">
        <v>315</v>
      </c>
      <c r="M1105" s="527" t="s">
        <v>315</v>
      </c>
      <c r="N1105" s="528" t="s">
        <v>315</v>
      </c>
      <c r="O1105" s="663"/>
      <c r="P1105" s="666"/>
      <c r="Q1105" s="566"/>
      <c r="R1105" s="535"/>
      <c r="S1105" s="530" t="s">
        <v>315</v>
      </c>
      <c r="T1105" s="657" t="s">
        <v>315</v>
      </c>
    </row>
    <row r="1106" spans="1:20" s="508" customFormat="1" ht="30" hidden="1">
      <c r="A1106" s="518">
        <v>81</v>
      </c>
      <c r="B1106" s="519" t="s">
        <v>1158</v>
      </c>
      <c r="C1106" s="509" t="s">
        <v>1373</v>
      </c>
      <c r="D1106" s="507" t="s">
        <v>4086</v>
      </c>
      <c r="E1106" s="509" t="str">
        <f>IF('GPS Anthro Tool'!$B$4=1,"North America FMVSS","")</f>
        <v>North America FMVSS</v>
      </c>
      <c r="F1106" s="507" t="s">
        <v>4242</v>
      </c>
      <c r="G1106" s="520"/>
      <c r="H1106" s="509" t="s">
        <v>1374</v>
      </c>
      <c r="I1106" s="509"/>
      <c r="J1106" s="519" t="s">
        <v>3960</v>
      </c>
      <c r="K1106" s="527" t="s">
        <v>605</v>
      </c>
      <c r="L1106" s="526" t="s">
        <v>315</v>
      </c>
      <c r="M1106" s="527" t="s">
        <v>315</v>
      </c>
      <c r="N1106" s="528" t="s">
        <v>315</v>
      </c>
      <c r="O1106" s="663"/>
      <c r="P1106" s="666"/>
      <c r="Q1106" s="566"/>
      <c r="R1106" s="535"/>
      <c r="S1106" s="530" t="s">
        <v>315</v>
      </c>
      <c r="T1106" s="657" t="s">
        <v>315</v>
      </c>
    </row>
    <row r="1107" spans="1:20" s="508" customFormat="1" ht="135" hidden="1">
      <c r="A1107" s="518">
        <v>82</v>
      </c>
      <c r="B1107" s="519" t="s">
        <v>1158</v>
      </c>
      <c r="C1107" s="509" t="s">
        <v>1373</v>
      </c>
      <c r="D1107" s="509" t="s">
        <v>4087</v>
      </c>
      <c r="E1107" s="509" t="str">
        <f>IF('GPS Anthro Tool'!$B$4=1,"North America FMVSS","")</f>
        <v>North America FMVSS</v>
      </c>
      <c r="F1107" s="507" t="s">
        <v>4242</v>
      </c>
      <c r="G1107" s="520"/>
      <c r="H1107" s="509" t="s">
        <v>1375</v>
      </c>
      <c r="I1107" s="509"/>
      <c r="J1107" s="519" t="s">
        <v>3960</v>
      </c>
      <c r="K1107" s="527" t="s">
        <v>605</v>
      </c>
      <c r="L1107" s="526" t="s">
        <v>315</v>
      </c>
      <c r="M1107" s="527" t="s">
        <v>315</v>
      </c>
      <c r="N1107" s="528" t="s">
        <v>315</v>
      </c>
      <c r="O1107" s="663"/>
      <c r="P1107" s="666"/>
      <c r="Q1107" s="566"/>
      <c r="R1107" s="535"/>
      <c r="S1107" s="530" t="s">
        <v>315</v>
      </c>
      <c r="T1107" s="657" t="s">
        <v>315</v>
      </c>
    </row>
    <row r="1108" spans="1:20" s="508" customFormat="1" ht="165" hidden="1">
      <c r="A1108" s="518">
        <v>83</v>
      </c>
      <c r="B1108" s="519" t="s">
        <v>1158</v>
      </c>
      <c r="C1108" s="509" t="s">
        <v>1373</v>
      </c>
      <c r="D1108" s="509" t="s">
        <v>4088</v>
      </c>
      <c r="E1108" s="509" t="str">
        <f>IF('GPS Anthro Tool'!$B$4=1,"North America FMVSS","")</f>
        <v>North America FMVSS</v>
      </c>
      <c r="F1108" s="507" t="s">
        <v>4242</v>
      </c>
      <c r="G1108" s="520"/>
      <c r="H1108" s="509" t="s">
        <v>1376</v>
      </c>
      <c r="I1108" s="509"/>
      <c r="J1108" s="519" t="s">
        <v>3960</v>
      </c>
      <c r="K1108" s="527" t="s">
        <v>605</v>
      </c>
      <c r="L1108" s="526" t="s">
        <v>315</v>
      </c>
      <c r="M1108" s="527" t="s">
        <v>315</v>
      </c>
      <c r="N1108" s="528" t="s">
        <v>315</v>
      </c>
      <c r="O1108" s="663"/>
      <c r="P1108" s="666"/>
      <c r="Q1108" s="566"/>
      <c r="R1108" s="535"/>
      <c r="S1108" s="530" t="s">
        <v>315</v>
      </c>
      <c r="T1108" s="657" t="s">
        <v>315</v>
      </c>
    </row>
    <row r="1109" spans="1:20" s="508" customFormat="1" ht="60" hidden="1">
      <c r="A1109" s="518">
        <v>84</v>
      </c>
      <c r="B1109" s="519" t="s">
        <v>1158</v>
      </c>
      <c r="C1109" s="509" t="s">
        <v>1373</v>
      </c>
      <c r="D1109" s="509" t="s">
        <v>4089</v>
      </c>
      <c r="E1109" s="509" t="str">
        <f>IF('GPS Anthro Tool'!$B$4=1,"North America FMVSS","")</f>
        <v>North America FMVSS</v>
      </c>
      <c r="F1109" s="507" t="s">
        <v>4242</v>
      </c>
      <c r="G1109" s="520"/>
      <c r="H1109" s="509" t="s">
        <v>1377</v>
      </c>
      <c r="I1109" s="509"/>
      <c r="J1109" s="519" t="s">
        <v>3960</v>
      </c>
      <c r="K1109" s="527" t="s">
        <v>605</v>
      </c>
      <c r="L1109" s="526" t="s">
        <v>315</v>
      </c>
      <c r="M1109" s="527" t="s">
        <v>315</v>
      </c>
      <c r="N1109" s="528" t="s">
        <v>315</v>
      </c>
      <c r="O1109" s="663"/>
      <c r="P1109" s="666"/>
      <c r="Q1109" s="566"/>
      <c r="R1109" s="535"/>
      <c r="S1109" s="530" t="s">
        <v>315</v>
      </c>
      <c r="T1109" s="657" t="s">
        <v>315</v>
      </c>
    </row>
    <row r="1110" spans="1:20" s="508" customFormat="1" ht="60" hidden="1">
      <c r="A1110" s="518">
        <v>85</v>
      </c>
      <c r="B1110" s="519" t="s">
        <v>1158</v>
      </c>
      <c r="C1110" s="509" t="s">
        <v>1373</v>
      </c>
      <c r="D1110" s="509" t="s">
        <v>4090</v>
      </c>
      <c r="E1110" s="509" t="str">
        <f>IF('GPS Anthro Tool'!$B$4=1,"North America FMVSS","")</f>
        <v>North America FMVSS</v>
      </c>
      <c r="F1110" s="507" t="s">
        <v>4242</v>
      </c>
      <c r="G1110" s="520"/>
      <c r="H1110" s="509" t="s">
        <v>1378</v>
      </c>
      <c r="I1110" s="509"/>
      <c r="J1110" s="519" t="s">
        <v>3960</v>
      </c>
      <c r="K1110" s="527" t="s">
        <v>605</v>
      </c>
      <c r="L1110" s="526" t="s">
        <v>315</v>
      </c>
      <c r="M1110" s="527" t="s">
        <v>315</v>
      </c>
      <c r="N1110" s="528" t="s">
        <v>315</v>
      </c>
      <c r="O1110" s="663"/>
      <c r="P1110" s="666"/>
      <c r="Q1110" s="566"/>
      <c r="R1110" s="535"/>
      <c r="S1110" s="530" t="s">
        <v>315</v>
      </c>
      <c r="T1110" s="657" t="s">
        <v>315</v>
      </c>
    </row>
    <row r="1111" spans="1:20" s="508" customFormat="1" ht="120" hidden="1">
      <c r="A1111" s="518">
        <v>86</v>
      </c>
      <c r="B1111" s="519" t="s">
        <v>1158</v>
      </c>
      <c r="C1111" s="509" t="s">
        <v>1373</v>
      </c>
      <c r="D1111" s="509" t="s">
        <v>4091</v>
      </c>
      <c r="E1111" s="509" t="str">
        <f>IF('GPS Anthro Tool'!$B$4=1,"North America FMVSS","")</f>
        <v>North America FMVSS</v>
      </c>
      <c r="F1111" s="507" t="s">
        <v>4242</v>
      </c>
      <c r="G1111" s="520"/>
      <c r="H1111" s="509" t="s">
        <v>1379</v>
      </c>
      <c r="I1111" s="509"/>
      <c r="J1111" s="519" t="s">
        <v>3960</v>
      </c>
      <c r="K1111" s="527" t="s">
        <v>605</v>
      </c>
      <c r="L1111" s="526" t="s">
        <v>315</v>
      </c>
      <c r="M1111" s="527" t="s">
        <v>315</v>
      </c>
      <c r="N1111" s="528" t="s">
        <v>315</v>
      </c>
      <c r="O1111" s="663"/>
      <c r="P1111" s="666"/>
      <c r="Q1111" s="566"/>
      <c r="R1111" s="535"/>
      <c r="S1111" s="530" t="s">
        <v>315</v>
      </c>
      <c r="T1111" s="657" t="s">
        <v>315</v>
      </c>
    </row>
    <row r="1112" spans="1:20" s="508" customFormat="1" ht="30" hidden="1">
      <c r="A1112" s="518">
        <v>87</v>
      </c>
      <c r="B1112" s="519" t="s">
        <v>1158</v>
      </c>
      <c r="C1112" s="509" t="s">
        <v>1373</v>
      </c>
      <c r="D1112" s="509" t="s">
        <v>4092</v>
      </c>
      <c r="E1112" s="509" t="str">
        <f>IF('GPS Anthro Tool'!$B$4=1,"North America FMVSS","")</f>
        <v>North America FMVSS</v>
      </c>
      <c r="F1112" s="507" t="s">
        <v>4242</v>
      </c>
      <c r="G1112" s="520"/>
      <c r="H1112" s="509" t="s">
        <v>1380</v>
      </c>
      <c r="I1112" s="509"/>
      <c r="J1112" s="519" t="s">
        <v>3960</v>
      </c>
      <c r="K1112" s="527" t="s">
        <v>605</v>
      </c>
      <c r="L1112" s="526" t="s">
        <v>315</v>
      </c>
      <c r="M1112" s="527" t="s">
        <v>315</v>
      </c>
      <c r="N1112" s="528" t="s">
        <v>315</v>
      </c>
      <c r="O1112" s="663"/>
      <c r="P1112" s="666"/>
      <c r="Q1112" s="566"/>
      <c r="R1112" s="535"/>
      <c r="S1112" s="530" t="s">
        <v>315</v>
      </c>
      <c r="T1112" s="657" t="s">
        <v>315</v>
      </c>
    </row>
    <row r="1113" spans="1:20" s="508" customFormat="1" ht="30" hidden="1">
      <c r="A1113" s="518">
        <v>88</v>
      </c>
      <c r="B1113" s="519" t="s">
        <v>1158</v>
      </c>
      <c r="C1113" s="509" t="s">
        <v>1373</v>
      </c>
      <c r="D1113" s="509" t="s">
        <v>4093</v>
      </c>
      <c r="E1113" s="509" t="str">
        <f>IF('GPS Anthro Tool'!$B$4=1,"North America FMVSS","")</f>
        <v>North America FMVSS</v>
      </c>
      <c r="F1113" s="507" t="s">
        <v>4242</v>
      </c>
      <c r="G1113" s="520"/>
      <c r="H1113" s="509" t="s">
        <v>1381</v>
      </c>
      <c r="I1113" s="509"/>
      <c r="J1113" s="519" t="s">
        <v>3960</v>
      </c>
      <c r="K1113" s="527" t="s">
        <v>605</v>
      </c>
      <c r="L1113" s="526" t="s">
        <v>315</v>
      </c>
      <c r="M1113" s="527" t="s">
        <v>315</v>
      </c>
      <c r="N1113" s="528" t="s">
        <v>315</v>
      </c>
      <c r="O1113" s="663"/>
      <c r="P1113" s="666"/>
      <c r="Q1113" s="566"/>
      <c r="R1113" s="535"/>
      <c r="S1113" s="530" t="s">
        <v>315</v>
      </c>
      <c r="T1113" s="657" t="s">
        <v>315</v>
      </c>
    </row>
    <row r="1114" spans="1:20" s="508" customFormat="1" ht="30" hidden="1">
      <c r="A1114" s="518">
        <v>89</v>
      </c>
      <c r="B1114" s="519" t="s">
        <v>1158</v>
      </c>
      <c r="C1114" s="509" t="s">
        <v>1373</v>
      </c>
      <c r="D1114" s="509" t="s">
        <v>4094</v>
      </c>
      <c r="E1114" s="509" t="str">
        <f>IF('GPS Anthro Tool'!$B$4=1,"North America FMVSS","")</f>
        <v>North America FMVSS</v>
      </c>
      <c r="F1114" s="507" t="s">
        <v>4242</v>
      </c>
      <c r="G1114" s="520"/>
      <c r="H1114" s="509" t="s">
        <v>1382</v>
      </c>
      <c r="I1114" s="509"/>
      <c r="J1114" s="519" t="s">
        <v>3960</v>
      </c>
      <c r="K1114" s="527" t="s">
        <v>605</v>
      </c>
      <c r="L1114" s="526" t="s">
        <v>315</v>
      </c>
      <c r="M1114" s="527" t="s">
        <v>315</v>
      </c>
      <c r="N1114" s="528" t="s">
        <v>315</v>
      </c>
      <c r="O1114" s="663"/>
      <c r="P1114" s="666"/>
      <c r="Q1114" s="566"/>
      <c r="R1114" s="535"/>
      <c r="S1114" s="530" t="s">
        <v>315</v>
      </c>
      <c r="T1114" s="657" t="s">
        <v>315</v>
      </c>
    </row>
    <row r="1115" spans="1:20" s="508" customFormat="1" ht="30" hidden="1">
      <c r="A1115" s="518">
        <v>90</v>
      </c>
      <c r="B1115" s="519" t="s">
        <v>1158</v>
      </c>
      <c r="C1115" s="509" t="s">
        <v>1373</v>
      </c>
      <c r="D1115" s="509" t="s">
        <v>4095</v>
      </c>
      <c r="E1115" s="509" t="str">
        <f>IF('GPS Anthro Tool'!$B$4=1,"North America FMVSS","")</f>
        <v>North America FMVSS</v>
      </c>
      <c r="F1115" s="507" t="s">
        <v>4242</v>
      </c>
      <c r="G1115" s="520"/>
      <c r="H1115" s="509" t="s">
        <v>1383</v>
      </c>
      <c r="I1115" s="509"/>
      <c r="J1115" s="519" t="s">
        <v>3960</v>
      </c>
      <c r="K1115" s="527" t="s">
        <v>605</v>
      </c>
      <c r="L1115" s="526" t="s">
        <v>315</v>
      </c>
      <c r="M1115" s="527" t="s">
        <v>315</v>
      </c>
      <c r="N1115" s="528" t="s">
        <v>315</v>
      </c>
      <c r="O1115" s="663"/>
      <c r="P1115" s="666"/>
      <c r="Q1115" s="566"/>
      <c r="R1115" s="535"/>
      <c r="S1115" s="530" t="s">
        <v>315</v>
      </c>
      <c r="T1115" s="657" t="s">
        <v>315</v>
      </c>
    </row>
    <row r="1116" spans="1:20" s="508" customFormat="1" ht="60" hidden="1">
      <c r="A1116" s="518">
        <v>91</v>
      </c>
      <c r="B1116" s="519" t="s">
        <v>1158</v>
      </c>
      <c r="C1116" s="509" t="s">
        <v>1373</v>
      </c>
      <c r="D1116" s="509" t="s">
        <v>4096</v>
      </c>
      <c r="E1116" s="509" t="str">
        <f>IF('GPS Anthro Tool'!$B$4=1,"North America FMVSS","")</f>
        <v>North America FMVSS</v>
      </c>
      <c r="F1116" s="507" t="s">
        <v>4242</v>
      </c>
      <c r="G1116" s="520"/>
      <c r="H1116" s="509" t="s">
        <v>1384</v>
      </c>
      <c r="I1116" s="509"/>
      <c r="J1116" s="519" t="s">
        <v>3960</v>
      </c>
      <c r="K1116" s="527" t="s">
        <v>605</v>
      </c>
      <c r="L1116" s="526" t="s">
        <v>315</v>
      </c>
      <c r="M1116" s="527" t="s">
        <v>315</v>
      </c>
      <c r="N1116" s="528" t="s">
        <v>315</v>
      </c>
      <c r="O1116" s="663"/>
      <c r="P1116" s="666"/>
      <c r="Q1116" s="566"/>
      <c r="R1116" s="535"/>
      <c r="S1116" s="530" t="s">
        <v>315</v>
      </c>
      <c r="T1116" s="657" t="s">
        <v>315</v>
      </c>
    </row>
    <row r="1117" spans="1:20" s="508" customFormat="1" ht="30" hidden="1">
      <c r="A1117" s="518">
        <v>92</v>
      </c>
      <c r="B1117" s="519" t="s">
        <v>1158</v>
      </c>
      <c r="C1117" s="509" t="s">
        <v>1373</v>
      </c>
      <c r="D1117" s="509" t="s">
        <v>4097</v>
      </c>
      <c r="E1117" s="509" t="str">
        <f>IF('GPS Anthro Tool'!$B$4=1,"North America FMVSS","")</f>
        <v>North America FMVSS</v>
      </c>
      <c r="F1117" s="507" t="s">
        <v>4242</v>
      </c>
      <c r="G1117" s="520"/>
      <c r="H1117" s="509" t="s">
        <v>1385</v>
      </c>
      <c r="I1117" s="509"/>
      <c r="J1117" s="519" t="s">
        <v>3960</v>
      </c>
      <c r="K1117" s="527" t="s">
        <v>605</v>
      </c>
      <c r="L1117" s="526" t="s">
        <v>315</v>
      </c>
      <c r="M1117" s="527" t="s">
        <v>315</v>
      </c>
      <c r="N1117" s="528" t="s">
        <v>315</v>
      </c>
      <c r="O1117" s="663"/>
      <c r="P1117" s="666"/>
      <c r="Q1117" s="566"/>
      <c r="R1117" s="535"/>
      <c r="S1117" s="530" t="s">
        <v>315</v>
      </c>
      <c r="T1117" s="657" t="s">
        <v>315</v>
      </c>
    </row>
    <row r="1118" spans="1:20" s="508" customFormat="1" ht="45" hidden="1">
      <c r="A1118" s="518">
        <v>93</v>
      </c>
      <c r="B1118" s="519" t="s">
        <v>1158</v>
      </c>
      <c r="C1118" s="509" t="s">
        <v>1373</v>
      </c>
      <c r="D1118" s="509" t="s">
        <v>4099</v>
      </c>
      <c r="E1118" s="509" t="str">
        <f>IF('GPS Anthro Tool'!$B$4=1,"North America FMVSS","")</f>
        <v>North America FMVSS</v>
      </c>
      <c r="F1118" s="507" t="s">
        <v>4242</v>
      </c>
      <c r="G1118" s="520"/>
      <c r="H1118" s="509" t="s">
        <v>1387</v>
      </c>
      <c r="I1118" s="509"/>
      <c r="J1118" s="519" t="s">
        <v>3960</v>
      </c>
      <c r="K1118" s="527" t="s">
        <v>605</v>
      </c>
      <c r="L1118" s="526" t="s">
        <v>315</v>
      </c>
      <c r="M1118" s="527" t="s">
        <v>315</v>
      </c>
      <c r="N1118" s="528" t="s">
        <v>315</v>
      </c>
      <c r="O1118" s="663"/>
      <c r="P1118" s="666"/>
      <c r="Q1118" s="566"/>
      <c r="R1118" s="535"/>
      <c r="S1118" s="530" t="s">
        <v>315</v>
      </c>
      <c r="T1118" s="657" t="s">
        <v>315</v>
      </c>
    </row>
    <row r="1119" spans="1:20" s="508" customFormat="1" ht="30" hidden="1">
      <c r="A1119" s="518">
        <v>94</v>
      </c>
      <c r="B1119" s="519" t="s">
        <v>1158</v>
      </c>
      <c r="C1119" s="509" t="s">
        <v>1373</v>
      </c>
      <c r="D1119" s="509" t="s">
        <v>4100</v>
      </c>
      <c r="E1119" s="509" t="str">
        <f>IF('GPS Anthro Tool'!$B$4=1,"North America FMVSS","")</f>
        <v>North America FMVSS</v>
      </c>
      <c r="F1119" s="507" t="s">
        <v>4242</v>
      </c>
      <c r="G1119" s="520"/>
      <c r="H1119" s="509" t="s">
        <v>1388</v>
      </c>
      <c r="I1119" s="509"/>
      <c r="J1119" s="519" t="s">
        <v>3960</v>
      </c>
      <c r="K1119" s="527" t="s">
        <v>605</v>
      </c>
      <c r="L1119" s="526" t="s">
        <v>315</v>
      </c>
      <c r="M1119" s="527" t="s">
        <v>315</v>
      </c>
      <c r="N1119" s="528" t="s">
        <v>315</v>
      </c>
      <c r="O1119" s="663"/>
      <c r="P1119" s="666"/>
      <c r="Q1119" s="566"/>
      <c r="R1119" s="535"/>
      <c r="S1119" s="530" t="s">
        <v>315</v>
      </c>
      <c r="T1119" s="657" t="s">
        <v>315</v>
      </c>
    </row>
    <row r="1120" spans="1:20" s="508" customFormat="1" ht="60" hidden="1">
      <c r="A1120" s="518">
        <v>95</v>
      </c>
      <c r="B1120" s="519" t="s">
        <v>1158</v>
      </c>
      <c r="C1120" s="509" t="s">
        <v>1373</v>
      </c>
      <c r="D1120" s="509" t="s">
        <v>4098</v>
      </c>
      <c r="E1120" s="509" t="str">
        <f>IF('GPS Anthro Tool'!$B$4=1,"North America FMVSS","")</f>
        <v>North America FMVSS</v>
      </c>
      <c r="F1120" s="507" t="s">
        <v>4242</v>
      </c>
      <c r="G1120" s="520"/>
      <c r="H1120" s="509" t="s">
        <v>1386</v>
      </c>
      <c r="I1120" s="509"/>
      <c r="J1120" s="519" t="s">
        <v>3960</v>
      </c>
      <c r="K1120" s="527" t="s">
        <v>605</v>
      </c>
      <c r="L1120" s="526" t="s">
        <v>315</v>
      </c>
      <c r="M1120" s="527" t="s">
        <v>315</v>
      </c>
      <c r="N1120" s="528" t="s">
        <v>315</v>
      </c>
      <c r="O1120" s="663"/>
      <c r="P1120" s="666"/>
      <c r="Q1120" s="566"/>
      <c r="R1120" s="535"/>
      <c r="S1120" s="530" t="s">
        <v>315</v>
      </c>
      <c r="T1120" s="657" t="s">
        <v>315</v>
      </c>
    </row>
    <row r="1121" spans="1:20" s="508" customFormat="1" ht="30" hidden="1">
      <c r="A1121" s="518">
        <v>96</v>
      </c>
      <c r="B1121" s="519" t="s">
        <v>1158</v>
      </c>
      <c r="C1121" s="509" t="s">
        <v>1373</v>
      </c>
      <c r="D1121" s="509" t="s">
        <v>4101</v>
      </c>
      <c r="E1121" s="509" t="str">
        <f>IF('GPS Anthro Tool'!$B$4=1,"North America FMVSS","")</f>
        <v>North America FMVSS</v>
      </c>
      <c r="F1121" s="507" t="s">
        <v>4242</v>
      </c>
      <c r="G1121" s="520"/>
      <c r="H1121" s="509" t="s">
        <v>1389</v>
      </c>
      <c r="I1121" s="509"/>
      <c r="J1121" s="519" t="s">
        <v>3960</v>
      </c>
      <c r="K1121" s="527" t="s">
        <v>605</v>
      </c>
      <c r="L1121" s="526" t="s">
        <v>315</v>
      </c>
      <c r="M1121" s="527" t="s">
        <v>315</v>
      </c>
      <c r="N1121" s="528" t="s">
        <v>315</v>
      </c>
      <c r="O1121" s="663"/>
      <c r="P1121" s="666"/>
      <c r="Q1121" s="566"/>
      <c r="R1121" s="535"/>
      <c r="S1121" s="530" t="s">
        <v>315</v>
      </c>
      <c r="T1121" s="657" t="s">
        <v>315</v>
      </c>
    </row>
    <row r="1122" spans="1:20" s="508" customFormat="1" ht="45" hidden="1">
      <c r="A1122" s="518">
        <v>97</v>
      </c>
      <c r="B1122" s="519" t="s">
        <v>1158</v>
      </c>
      <c r="C1122" s="509" t="s">
        <v>1373</v>
      </c>
      <c r="D1122" s="509" t="s">
        <v>4102</v>
      </c>
      <c r="E1122" s="509" t="str">
        <f>IF('GPS Anthro Tool'!$B$4=1,"North America FMVSS","")</f>
        <v>North America FMVSS</v>
      </c>
      <c r="F1122" s="507" t="s">
        <v>4242</v>
      </c>
      <c r="G1122" s="520"/>
      <c r="H1122" s="509" t="s">
        <v>1390</v>
      </c>
      <c r="I1122" s="509"/>
      <c r="J1122" s="519" t="s">
        <v>3960</v>
      </c>
      <c r="K1122" s="527" t="s">
        <v>605</v>
      </c>
      <c r="L1122" s="526" t="s">
        <v>315</v>
      </c>
      <c r="M1122" s="527" t="s">
        <v>315</v>
      </c>
      <c r="N1122" s="528" t="s">
        <v>315</v>
      </c>
      <c r="O1122" s="663"/>
      <c r="P1122" s="666"/>
      <c r="Q1122" s="566"/>
      <c r="R1122" s="535"/>
      <c r="S1122" s="530" t="s">
        <v>315</v>
      </c>
      <c r="T1122" s="657" t="s">
        <v>315</v>
      </c>
    </row>
    <row r="1123" spans="1:20" s="508" customFormat="1" ht="30" hidden="1">
      <c r="A1123" s="518">
        <v>98</v>
      </c>
      <c r="B1123" s="519" t="s">
        <v>1158</v>
      </c>
      <c r="C1123" s="509" t="s">
        <v>1373</v>
      </c>
      <c r="D1123" s="509" t="s">
        <v>4103</v>
      </c>
      <c r="E1123" s="509" t="str">
        <f>IF('GPS Anthro Tool'!$B$4=1,"North America FMVSS","")</f>
        <v>North America FMVSS</v>
      </c>
      <c r="F1123" s="507" t="s">
        <v>4242</v>
      </c>
      <c r="G1123" s="520"/>
      <c r="H1123" s="509" t="s">
        <v>1391</v>
      </c>
      <c r="I1123" s="509"/>
      <c r="J1123" s="519" t="s">
        <v>3960</v>
      </c>
      <c r="K1123" s="527" t="s">
        <v>605</v>
      </c>
      <c r="L1123" s="526" t="s">
        <v>315</v>
      </c>
      <c r="M1123" s="527" t="s">
        <v>315</v>
      </c>
      <c r="N1123" s="528" t="s">
        <v>315</v>
      </c>
      <c r="O1123" s="663"/>
      <c r="P1123" s="666"/>
      <c r="Q1123" s="566"/>
      <c r="R1123" s="535"/>
      <c r="S1123" s="530" t="s">
        <v>315</v>
      </c>
      <c r="T1123" s="657" t="s">
        <v>315</v>
      </c>
    </row>
    <row r="1124" spans="1:20" s="508" customFormat="1" ht="90" hidden="1">
      <c r="A1124" s="518">
        <v>99</v>
      </c>
      <c r="B1124" s="519" t="s">
        <v>1158</v>
      </c>
      <c r="C1124" s="509" t="s">
        <v>1373</v>
      </c>
      <c r="D1124" s="509" t="s">
        <v>4104</v>
      </c>
      <c r="E1124" s="509" t="str">
        <f>IF('GPS Anthro Tool'!$B$4=1,"North America FMVSS","")</f>
        <v>North America FMVSS</v>
      </c>
      <c r="F1124" s="507" t="s">
        <v>4242</v>
      </c>
      <c r="G1124" s="520"/>
      <c r="H1124" s="509" t="s">
        <v>1392</v>
      </c>
      <c r="I1124" s="509"/>
      <c r="J1124" s="519" t="s">
        <v>3960</v>
      </c>
      <c r="K1124" s="527" t="s">
        <v>605</v>
      </c>
      <c r="L1124" s="526" t="s">
        <v>315</v>
      </c>
      <c r="M1124" s="527" t="s">
        <v>315</v>
      </c>
      <c r="N1124" s="528" t="s">
        <v>315</v>
      </c>
      <c r="O1124" s="663"/>
      <c r="P1124" s="666"/>
      <c r="Q1124" s="566"/>
      <c r="R1124" s="535"/>
      <c r="S1124" s="530" t="s">
        <v>315</v>
      </c>
      <c r="T1124" s="657" t="s">
        <v>315</v>
      </c>
    </row>
    <row r="1125" spans="1:20" s="508" customFormat="1" ht="60" hidden="1">
      <c r="A1125" s="518">
        <v>100</v>
      </c>
      <c r="B1125" s="519" t="s">
        <v>1158</v>
      </c>
      <c r="C1125" s="536" t="s">
        <v>2167</v>
      </c>
      <c r="D1125" s="507" t="s">
        <v>4070</v>
      </c>
      <c r="E1125" s="509" t="str">
        <f>IF('GPS Anthro Tool'!$B$4=1,"North America FMVSS","")</f>
        <v>North America FMVSS</v>
      </c>
      <c r="F1125" s="507" t="s">
        <v>4242</v>
      </c>
      <c r="G1125" s="520"/>
      <c r="H1125" s="509" t="s">
        <v>1234</v>
      </c>
      <c r="I1125" s="506"/>
      <c r="J1125" s="519" t="s">
        <v>3960</v>
      </c>
      <c r="K1125" s="527" t="s">
        <v>605</v>
      </c>
      <c r="L1125" s="526" t="s">
        <v>315</v>
      </c>
      <c r="M1125" s="527" t="s">
        <v>315</v>
      </c>
      <c r="N1125" s="528" t="s">
        <v>315</v>
      </c>
      <c r="O1125" s="663"/>
      <c r="P1125" s="666"/>
      <c r="Q1125" s="566"/>
      <c r="R1125" s="535"/>
      <c r="S1125" s="530" t="s">
        <v>315</v>
      </c>
      <c r="T1125" s="657" t="s">
        <v>315</v>
      </c>
    </row>
    <row r="1126" spans="1:20" s="508" customFormat="1" ht="75" hidden="1">
      <c r="A1126" s="518">
        <v>101</v>
      </c>
      <c r="B1126" s="519" t="s">
        <v>1158</v>
      </c>
      <c r="C1126" s="536" t="s">
        <v>2167</v>
      </c>
      <c r="D1126" s="536" t="s">
        <v>4071</v>
      </c>
      <c r="E1126" s="509" t="str">
        <f>IF('GPS Anthro Tool'!$B$4=1,"North America FMVSS","")</f>
        <v>North America FMVSS</v>
      </c>
      <c r="F1126" s="507" t="s">
        <v>4242</v>
      </c>
      <c r="G1126" s="520"/>
      <c r="H1126" s="509" t="s">
        <v>1235</v>
      </c>
      <c r="I1126" s="509"/>
      <c r="J1126" s="519" t="s">
        <v>3960</v>
      </c>
      <c r="K1126" s="527" t="s">
        <v>605</v>
      </c>
      <c r="L1126" s="526" t="s">
        <v>315</v>
      </c>
      <c r="M1126" s="527" t="s">
        <v>315</v>
      </c>
      <c r="N1126" s="528" t="s">
        <v>315</v>
      </c>
      <c r="O1126" s="663"/>
      <c r="P1126" s="666"/>
      <c r="Q1126" s="566"/>
      <c r="R1126" s="535"/>
      <c r="S1126" s="530" t="s">
        <v>315</v>
      </c>
      <c r="T1126" s="657" t="s">
        <v>315</v>
      </c>
    </row>
    <row r="1127" spans="1:20" s="508" customFormat="1" ht="165" hidden="1">
      <c r="A1127" s="518">
        <v>102</v>
      </c>
      <c r="B1127" s="519" t="s">
        <v>1158</v>
      </c>
      <c r="C1127" s="536" t="s">
        <v>2167</v>
      </c>
      <c r="D1127" s="536" t="s">
        <v>4072</v>
      </c>
      <c r="E1127" s="509" t="str">
        <f>IF('GPS Anthro Tool'!$B$4=1,"North America FMVSS","")</f>
        <v>North America FMVSS</v>
      </c>
      <c r="F1127" s="507" t="s">
        <v>4242</v>
      </c>
      <c r="G1127" s="520"/>
      <c r="H1127" s="509" t="s">
        <v>1236</v>
      </c>
      <c r="I1127" s="506"/>
      <c r="J1127" s="519" t="s">
        <v>3960</v>
      </c>
      <c r="K1127" s="527" t="s">
        <v>605</v>
      </c>
      <c r="L1127" s="526" t="s">
        <v>315</v>
      </c>
      <c r="M1127" s="527" t="s">
        <v>315</v>
      </c>
      <c r="N1127" s="528" t="s">
        <v>315</v>
      </c>
      <c r="O1127" s="663"/>
      <c r="P1127" s="666"/>
      <c r="Q1127" s="566"/>
      <c r="R1127" s="535"/>
      <c r="S1127" s="530" t="s">
        <v>315</v>
      </c>
      <c r="T1127" s="657" t="s">
        <v>315</v>
      </c>
    </row>
    <row r="1128" spans="1:20" s="508" customFormat="1" ht="93" hidden="1">
      <c r="A1128" s="518">
        <v>103</v>
      </c>
      <c r="B1128" s="519" t="s">
        <v>1158</v>
      </c>
      <c r="C1128" s="536" t="s">
        <v>2167</v>
      </c>
      <c r="D1128" s="536" t="s">
        <v>4073</v>
      </c>
      <c r="E1128" s="509" t="str">
        <f>IF('GPS Anthro Tool'!$B$4=1,"North America FMVSS","")</f>
        <v>North America FMVSS</v>
      </c>
      <c r="F1128" s="507" t="s">
        <v>4242</v>
      </c>
      <c r="G1128" s="520"/>
      <c r="H1128" s="509" t="s">
        <v>3502</v>
      </c>
      <c r="I1128" s="506"/>
      <c r="J1128" s="519" t="s">
        <v>3960</v>
      </c>
      <c r="K1128" s="527" t="s">
        <v>605</v>
      </c>
      <c r="L1128" s="526" t="s">
        <v>315</v>
      </c>
      <c r="M1128" s="527" t="s">
        <v>315</v>
      </c>
      <c r="N1128" s="528" t="s">
        <v>315</v>
      </c>
      <c r="O1128" s="663"/>
      <c r="P1128" s="666"/>
      <c r="Q1128" s="566"/>
      <c r="R1128" s="535"/>
      <c r="S1128" s="530" t="s">
        <v>315</v>
      </c>
      <c r="T1128" s="657" t="s">
        <v>315</v>
      </c>
    </row>
    <row r="1129" spans="1:20" s="508" customFormat="1" ht="60" hidden="1">
      <c r="A1129" s="518" t="s">
        <v>3528</v>
      </c>
      <c r="B1129" s="519" t="s">
        <v>1158</v>
      </c>
      <c r="C1129" s="536" t="s">
        <v>2167</v>
      </c>
      <c r="D1129" s="536" t="s">
        <v>4074</v>
      </c>
      <c r="E1129" s="509" t="str">
        <f>IF('GPS Anthro Tool'!$B$4=1,"North America FMVSS","")</f>
        <v>North America FMVSS</v>
      </c>
      <c r="F1129" s="507" t="s">
        <v>4242</v>
      </c>
      <c r="G1129" s="520"/>
      <c r="H1129" s="509" t="s">
        <v>1237</v>
      </c>
      <c r="I1129" s="506"/>
      <c r="J1129" s="519" t="s">
        <v>3960</v>
      </c>
      <c r="K1129" s="527" t="s">
        <v>605</v>
      </c>
      <c r="L1129" s="526" t="s">
        <v>315</v>
      </c>
      <c r="M1129" s="527" t="s">
        <v>315</v>
      </c>
      <c r="N1129" s="528" t="s">
        <v>315</v>
      </c>
      <c r="O1129" s="663"/>
      <c r="P1129" s="666"/>
      <c r="Q1129" s="566"/>
      <c r="R1129" s="535"/>
      <c r="S1129" s="530" t="s">
        <v>315</v>
      </c>
      <c r="T1129" s="657" t="s">
        <v>315</v>
      </c>
    </row>
    <row r="1130" spans="1:20" s="508" customFormat="1" ht="30" hidden="1">
      <c r="A1130" s="518" t="s">
        <v>3528</v>
      </c>
      <c r="B1130" s="519" t="s">
        <v>1158</v>
      </c>
      <c r="C1130" s="536" t="s">
        <v>2167</v>
      </c>
      <c r="D1130" s="507" t="s">
        <v>4075</v>
      </c>
      <c r="E1130" s="509" t="str">
        <f>IF('GPS Anthro Tool'!$B$4=1,"North America FMVSS","")</f>
        <v>North America FMVSS</v>
      </c>
      <c r="F1130" s="507" t="s">
        <v>4242</v>
      </c>
      <c r="G1130" s="520"/>
      <c r="H1130" s="509" t="s">
        <v>1238</v>
      </c>
      <c r="I1130" s="506"/>
      <c r="J1130" s="519" t="s">
        <v>3960</v>
      </c>
      <c r="K1130" s="527" t="s">
        <v>605</v>
      </c>
      <c r="L1130" s="526" t="s">
        <v>315</v>
      </c>
      <c r="M1130" s="527" t="s">
        <v>315</v>
      </c>
      <c r="N1130" s="528" t="s">
        <v>315</v>
      </c>
      <c r="O1130" s="663"/>
      <c r="P1130" s="666"/>
      <c r="Q1130" s="566"/>
      <c r="R1130" s="535"/>
      <c r="S1130" s="530" t="s">
        <v>315</v>
      </c>
      <c r="T1130" s="657" t="s">
        <v>315</v>
      </c>
    </row>
    <row r="1131" spans="1:20" s="508" customFormat="1" ht="30" hidden="1">
      <c r="A1131" s="518" t="s">
        <v>3528</v>
      </c>
      <c r="B1131" s="507" t="s">
        <v>1454</v>
      </c>
      <c r="C1131" s="534" t="s">
        <v>1483</v>
      </c>
      <c r="D1131" s="507" t="s">
        <v>4105</v>
      </c>
      <c r="E1131" s="509" t="str">
        <f>IF('GPS Anthro Tool'!$B$4=1,"North America FMVSS","")</f>
        <v>North America FMVSS</v>
      </c>
      <c r="F1131" s="507" t="s">
        <v>4242</v>
      </c>
      <c r="G1131" s="520"/>
      <c r="H1131" s="509" t="s">
        <v>1540</v>
      </c>
      <c r="I1131" s="509"/>
      <c r="J1131" s="519" t="s">
        <v>3960</v>
      </c>
      <c r="K1131" s="527" t="s">
        <v>605</v>
      </c>
      <c r="L1131" s="526" t="s">
        <v>315</v>
      </c>
      <c r="M1131" s="527" t="s">
        <v>315</v>
      </c>
      <c r="N1131" s="528" t="s">
        <v>315</v>
      </c>
      <c r="O1131" s="663"/>
      <c r="P1131" s="666"/>
      <c r="Q1131" s="566"/>
      <c r="R1131" s="530"/>
      <c r="S1131" s="530" t="s">
        <v>315</v>
      </c>
      <c r="T1131" s="657" t="s">
        <v>315</v>
      </c>
    </row>
    <row r="1132" spans="1:20" s="508" customFormat="1" ht="135" hidden="1">
      <c r="A1132" s="518" t="s">
        <v>3528</v>
      </c>
      <c r="B1132" s="507" t="s">
        <v>1454</v>
      </c>
      <c r="C1132" s="534" t="s">
        <v>1483</v>
      </c>
      <c r="D1132" s="534" t="s">
        <v>4105</v>
      </c>
      <c r="E1132" s="509" t="str">
        <f>IF('GPS Anthro Tool'!$B$4=1,"North America FMVSS","")</f>
        <v>North America FMVSS</v>
      </c>
      <c r="F1132" s="507" t="s">
        <v>4242</v>
      </c>
      <c r="G1132" s="520"/>
      <c r="H1132" s="509" t="s">
        <v>1541</v>
      </c>
      <c r="I1132" s="509"/>
      <c r="J1132" s="519" t="s">
        <v>3960</v>
      </c>
      <c r="K1132" s="527" t="s">
        <v>605</v>
      </c>
      <c r="L1132" s="526" t="s">
        <v>315</v>
      </c>
      <c r="M1132" s="527" t="s">
        <v>315</v>
      </c>
      <c r="N1132" s="528" t="s">
        <v>315</v>
      </c>
      <c r="O1132" s="663"/>
      <c r="P1132" s="666"/>
      <c r="Q1132" s="566"/>
      <c r="R1132" s="530"/>
      <c r="S1132" s="530" t="s">
        <v>315</v>
      </c>
      <c r="T1132" s="657" t="s">
        <v>315</v>
      </c>
    </row>
    <row r="1133" spans="1:20" s="508" customFormat="1" ht="60" hidden="1">
      <c r="A1133" s="518" t="s">
        <v>3528</v>
      </c>
      <c r="B1133" s="507" t="s">
        <v>1454</v>
      </c>
      <c r="C1133" s="534" t="s">
        <v>1483</v>
      </c>
      <c r="D1133" s="534" t="s">
        <v>4106</v>
      </c>
      <c r="E1133" s="509" t="str">
        <f>IF('GPS Anthro Tool'!$B$4=1,"North America FMVSS","")</f>
        <v>North America FMVSS</v>
      </c>
      <c r="F1133" s="507" t="s">
        <v>4242</v>
      </c>
      <c r="G1133" s="520"/>
      <c r="H1133" s="509" t="s">
        <v>1542</v>
      </c>
      <c r="I1133" s="509"/>
      <c r="J1133" s="519" t="s">
        <v>3960</v>
      </c>
      <c r="K1133" s="527" t="s">
        <v>605</v>
      </c>
      <c r="L1133" s="526" t="s">
        <v>315</v>
      </c>
      <c r="M1133" s="527" t="s">
        <v>315</v>
      </c>
      <c r="N1133" s="528" t="s">
        <v>315</v>
      </c>
      <c r="O1133" s="663"/>
      <c r="P1133" s="666"/>
      <c r="Q1133" s="566"/>
      <c r="R1133" s="530"/>
      <c r="S1133" s="530" t="s">
        <v>315</v>
      </c>
      <c r="T1133" s="657" t="s">
        <v>315</v>
      </c>
    </row>
    <row r="1134" spans="1:20" s="508" customFormat="1" ht="150" hidden="1">
      <c r="A1134" s="518" t="s">
        <v>3528</v>
      </c>
      <c r="B1134" s="507" t="s">
        <v>1454</v>
      </c>
      <c r="C1134" s="534" t="s">
        <v>1483</v>
      </c>
      <c r="D1134" s="534" t="s">
        <v>4107</v>
      </c>
      <c r="E1134" s="509" t="str">
        <f>IF('GPS Anthro Tool'!$B$4=1,"North America FMVSS","")</f>
        <v>North America FMVSS</v>
      </c>
      <c r="F1134" s="507" t="s">
        <v>4242</v>
      </c>
      <c r="G1134" s="520"/>
      <c r="H1134" s="509" t="s">
        <v>1543</v>
      </c>
      <c r="I1134" s="509"/>
      <c r="J1134" s="519" t="s">
        <v>3960</v>
      </c>
      <c r="K1134" s="527" t="s">
        <v>605</v>
      </c>
      <c r="L1134" s="526" t="s">
        <v>315</v>
      </c>
      <c r="M1134" s="527" t="s">
        <v>315</v>
      </c>
      <c r="N1134" s="528" t="s">
        <v>315</v>
      </c>
      <c r="O1134" s="663"/>
      <c r="P1134" s="666"/>
      <c r="Q1134" s="566"/>
      <c r="R1134" s="530"/>
      <c r="S1134" s="530" t="s">
        <v>315</v>
      </c>
      <c r="T1134" s="657" t="s">
        <v>315</v>
      </c>
    </row>
    <row r="1135" spans="1:20" s="508" customFormat="1" ht="30" hidden="1">
      <c r="A1135" s="518"/>
      <c r="B1135" s="507" t="s">
        <v>1454</v>
      </c>
      <c r="C1135" s="534" t="s">
        <v>1483</v>
      </c>
      <c r="D1135" s="534" t="s">
        <v>4108</v>
      </c>
      <c r="E1135" s="509" t="str">
        <f>IF('GPS Anthro Tool'!$B$4=1,"North America FMVSS","")</f>
        <v>North America FMVSS</v>
      </c>
      <c r="F1135" s="507" t="s">
        <v>4242</v>
      </c>
      <c r="G1135" s="520"/>
      <c r="H1135" s="509" t="s">
        <v>1544</v>
      </c>
      <c r="I1135" s="533"/>
      <c r="J1135" s="519" t="s">
        <v>3960</v>
      </c>
      <c r="K1135" s="527" t="s">
        <v>605</v>
      </c>
      <c r="L1135" s="526" t="s">
        <v>315</v>
      </c>
      <c r="M1135" s="527" t="s">
        <v>315</v>
      </c>
      <c r="N1135" s="528" t="s">
        <v>315</v>
      </c>
      <c r="O1135" s="663"/>
      <c r="P1135" s="666"/>
      <c r="Q1135" s="566"/>
      <c r="R1135" s="530"/>
      <c r="S1135" s="530" t="s">
        <v>315</v>
      </c>
      <c r="T1135" s="657" t="s">
        <v>315</v>
      </c>
    </row>
    <row r="1136" spans="1:20" s="508" customFormat="1" ht="105" hidden="1">
      <c r="A1136" s="518"/>
      <c r="B1136" s="507" t="s">
        <v>1454</v>
      </c>
      <c r="C1136" s="534" t="s">
        <v>1483</v>
      </c>
      <c r="D1136" s="534" t="s">
        <v>4109</v>
      </c>
      <c r="E1136" s="509" t="str">
        <f>IF('GPS Anthro Tool'!$B$4=1,"North America FMVSS","")</f>
        <v>North America FMVSS</v>
      </c>
      <c r="F1136" s="507" t="s">
        <v>4242</v>
      </c>
      <c r="G1136" s="520"/>
      <c r="H1136" s="509" t="s">
        <v>1545</v>
      </c>
      <c r="I1136" s="509"/>
      <c r="J1136" s="519" t="s">
        <v>3960</v>
      </c>
      <c r="K1136" s="527" t="s">
        <v>605</v>
      </c>
      <c r="L1136" s="526" t="s">
        <v>315</v>
      </c>
      <c r="M1136" s="527" t="s">
        <v>315</v>
      </c>
      <c r="N1136" s="528" t="s">
        <v>315</v>
      </c>
      <c r="O1136" s="663"/>
      <c r="P1136" s="666"/>
      <c r="Q1136" s="566"/>
      <c r="R1136" s="530"/>
      <c r="S1136" s="530" t="s">
        <v>315</v>
      </c>
      <c r="T1136" s="657" t="s">
        <v>315</v>
      </c>
    </row>
    <row r="1137" spans="1:20" s="508" customFormat="1" ht="45" hidden="1">
      <c r="A1137" s="518"/>
      <c r="B1137" s="507" t="s">
        <v>1454</v>
      </c>
      <c r="C1137" s="534" t="s">
        <v>1483</v>
      </c>
      <c r="D1137" s="534" t="s">
        <v>4110</v>
      </c>
      <c r="E1137" s="509" t="str">
        <f>IF('GPS Anthro Tool'!$B$4=1,"North America FMVSS","")</f>
        <v>North America FMVSS</v>
      </c>
      <c r="F1137" s="507" t="s">
        <v>4242</v>
      </c>
      <c r="G1137" s="520"/>
      <c r="H1137" s="509" t="s">
        <v>1546</v>
      </c>
      <c r="I1137" s="509"/>
      <c r="J1137" s="519" t="s">
        <v>3960</v>
      </c>
      <c r="K1137" s="527" t="s">
        <v>605</v>
      </c>
      <c r="L1137" s="526" t="s">
        <v>315</v>
      </c>
      <c r="M1137" s="527" t="s">
        <v>315</v>
      </c>
      <c r="N1137" s="528" t="s">
        <v>315</v>
      </c>
      <c r="O1137" s="663"/>
      <c r="P1137" s="666"/>
      <c r="Q1137" s="566"/>
      <c r="R1137" s="530"/>
      <c r="S1137" s="530" t="s">
        <v>315</v>
      </c>
      <c r="T1137" s="657" t="s">
        <v>315</v>
      </c>
    </row>
    <row r="1138" spans="1:20" s="508" customFormat="1" ht="90" hidden="1">
      <c r="A1138" s="518"/>
      <c r="B1138" s="507" t="s">
        <v>1454</v>
      </c>
      <c r="C1138" s="534" t="s">
        <v>1483</v>
      </c>
      <c r="D1138" s="534" t="s">
        <v>4111</v>
      </c>
      <c r="E1138" s="509" t="str">
        <f>IF('GPS Anthro Tool'!$B$4=1,"North America FMVSS","")</f>
        <v>North America FMVSS</v>
      </c>
      <c r="F1138" s="507" t="s">
        <v>4242</v>
      </c>
      <c r="G1138" s="520"/>
      <c r="H1138" s="509" t="s">
        <v>1547</v>
      </c>
      <c r="I1138" s="509"/>
      <c r="J1138" s="519" t="s">
        <v>3960</v>
      </c>
      <c r="K1138" s="527" t="s">
        <v>605</v>
      </c>
      <c r="L1138" s="526" t="s">
        <v>315</v>
      </c>
      <c r="M1138" s="527" t="s">
        <v>315</v>
      </c>
      <c r="N1138" s="528" t="s">
        <v>315</v>
      </c>
      <c r="O1138" s="663"/>
      <c r="P1138" s="666"/>
      <c r="Q1138" s="566"/>
      <c r="R1138" s="530"/>
      <c r="S1138" s="530" t="s">
        <v>315</v>
      </c>
      <c r="T1138" s="657" t="s">
        <v>315</v>
      </c>
    </row>
    <row r="1139" spans="1:20" s="508" customFormat="1" ht="45" hidden="1">
      <c r="A1139" s="518"/>
      <c r="B1139" s="507" t="s">
        <v>1454</v>
      </c>
      <c r="C1139" s="534" t="s">
        <v>1483</v>
      </c>
      <c r="D1139" s="534" t="s">
        <v>4112</v>
      </c>
      <c r="E1139" s="509" t="str">
        <f>IF('GPS Anthro Tool'!$B$4=1,"North America FMVSS","")</f>
        <v>North America FMVSS</v>
      </c>
      <c r="F1139" s="507" t="s">
        <v>4242</v>
      </c>
      <c r="G1139" s="520"/>
      <c r="H1139" s="509" t="s">
        <v>1548</v>
      </c>
      <c r="I1139" s="509"/>
      <c r="J1139" s="519" t="s">
        <v>3960</v>
      </c>
      <c r="K1139" s="527" t="s">
        <v>605</v>
      </c>
      <c r="L1139" s="526" t="s">
        <v>315</v>
      </c>
      <c r="M1139" s="527" t="s">
        <v>315</v>
      </c>
      <c r="N1139" s="528" t="s">
        <v>315</v>
      </c>
      <c r="O1139" s="663"/>
      <c r="P1139" s="666"/>
      <c r="Q1139" s="566"/>
      <c r="R1139" s="530"/>
      <c r="S1139" s="530" t="s">
        <v>315</v>
      </c>
      <c r="T1139" s="657" t="s">
        <v>315</v>
      </c>
    </row>
    <row r="1140" spans="1:20" s="508" customFormat="1" ht="180" hidden="1">
      <c r="A1140" s="518"/>
      <c r="B1140" s="507" t="s">
        <v>1454</v>
      </c>
      <c r="C1140" s="534" t="s">
        <v>1483</v>
      </c>
      <c r="D1140" s="534" t="s">
        <v>4113</v>
      </c>
      <c r="E1140" s="509" t="str">
        <f>IF('GPS Anthro Tool'!$B$4=1,"North America FMVSS","")</f>
        <v>North America FMVSS</v>
      </c>
      <c r="F1140" s="507" t="s">
        <v>4242</v>
      </c>
      <c r="G1140" s="520"/>
      <c r="H1140" s="509" t="s">
        <v>1549</v>
      </c>
      <c r="I1140" s="509"/>
      <c r="J1140" s="519" t="s">
        <v>3960</v>
      </c>
      <c r="K1140" s="527" t="s">
        <v>605</v>
      </c>
      <c r="L1140" s="526" t="s">
        <v>315</v>
      </c>
      <c r="M1140" s="527" t="s">
        <v>315</v>
      </c>
      <c r="N1140" s="528" t="s">
        <v>315</v>
      </c>
      <c r="O1140" s="663"/>
      <c r="P1140" s="666"/>
      <c r="Q1140" s="566"/>
      <c r="R1140" s="530"/>
      <c r="S1140" s="530" t="s">
        <v>315</v>
      </c>
      <c r="T1140" s="657" t="s">
        <v>315</v>
      </c>
    </row>
    <row r="1141" spans="1:20" s="508" customFormat="1" ht="75" hidden="1">
      <c r="A1141" s="518"/>
      <c r="B1141" s="507" t="s">
        <v>1454</v>
      </c>
      <c r="C1141" s="534" t="s">
        <v>1483</v>
      </c>
      <c r="D1141" s="534" t="s">
        <v>4114</v>
      </c>
      <c r="E1141" s="509" t="str">
        <f>IF('GPS Anthro Tool'!$B$4=1,"North America FMVSS","")</f>
        <v>North America FMVSS</v>
      </c>
      <c r="F1141" s="507" t="s">
        <v>4242</v>
      </c>
      <c r="G1141" s="520"/>
      <c r="H1141" s="509" t="s">
        <v>1550</v>
      </c>
      <c r="I1141" s="509"/>
      <c r="J1141" s="519" t="s">
        <v>3960</v>
      </c>
      <c r="K1141" s="527" t="s">
        <v>605</v>
      </c>
      <c r="L1141" s="526" t="s">
        <v>315</v>
      </c>
      <c r="M1141" s="527" t="s">
        <v>315</v>
      </c>
      <c r="N1141" s="528" t="s">
        <v>315</v>
      </c>
      <c r="O1141" s="663"/>
      <c r="P1141" s="666"/>
      <c r="Q1141" s="566"/>
      <c r="R1141" s="530"/>
      <c r="S1141" s="530" t="s">
        <v>315</v>
      </c>
      <c r="T1141" s="657" t="s">
        <v>315</v>
      </c>
    </row>
    <row r="1142" spans="1:20" s="508" customFormat="1" ht="120" hidden="1">
      <c r="A1142" s="518"/>
      <c r="B1142" s="507" t="s">
        <v>1454</v>
      </c>
      <c r="C1142" s="534" t="s">
        <v>1483</v>
      </c>
      <c r="D1142" s="534" t="s">
        <v>4115</v>
      </c>
      <c r="E1142" s="509" t="str">
        <f>IF('GPS Anthro Tool'!$B$4=1,"North America FMVSS","")</f>
        <v>North America FMVSS</v>
      </c>
      <c r="F1142" s="507" t="s">
        <v>4242</v>
      </c>
      <c r="G1142" s="520"/>
      <c r="H1142" s="509" t="s">
        <v>1551</v>
      </c>
      <c r="I1142" s="509"/>
      <c r="J1142" s="519" t="s">
        <v>3960</v>
      </c>
      <c r="K1142" s="527" t="s">
        <v>605</v>
      </c>
      <c r="L1142" s="526" t="s">
        <v>315</v>
      </c>
      <c r="M1142" s="527" t="s">
        <v>315</v>
      </c>
      <c r="N1142" s="528" t="s">
        <v>315</v>
      </c>
      <c r="O1142" s="663"/>
      <c r="P1142" s="666"/>
      <c r="Q1142" s="566"/>
      <c r="R1142" s="530"/>
      <c r="S1142" s="530" t="s">
        <v>315</v>
      </c>
      <c r="T1142" s="657" t="s">
        <v>315</v>
      </c>
    </row>
    <row r="1143" spans="1:20" s="508" customFormat="1" ht="90" hidden="1">
      <c r="A1143" s="518"/>
      <c r="B1143" s="507" t="s">
        <v>1454</v>
      </c>
      <c r="C1143" s="534" t="s">
        <v>1483</v>
      </c>
      <c r="D1143" s="534" t="s">
        <v>4116</v>
      </c>
      <c r="E1143" s="509" t="str">
        <f>IF('GPS Anthro Tool'!$B$4=1,"North America FMVSS","")</f>
        <v>North America FMVSS</v>
      </c>
      <c r="F1143" s="507" t="s">
        <v>4242</v>
      </c>
      <c r="G1143" s="520"/>
      <c r="H1143" s="509" t="s">
        <v>1552</v>
      </c>
      <c r="I1143" s="509"/>
      <c r="J1143" s="519" t="s">
        <v>3960</v>
      </c>
      <c r="K1143" s="527" t="s">
        <v>605</v>
      </c>
      <c r="L1143" s="526" t="s">
        <v>315</v>
      </c>
      <c r="M1143" s="527" t="s">
        <v>315</v>
      </c>
      <c r="N1143" s="528" t="s">
        <v>315</v>
      </c>
      <c r="O1143" s="663"/>
      <c r="P1143" s="666"/>
      <c r="Q1143" s="566"/>
      <c r="R1143" s="530"/>
      <c r="S1143" s="530" t="s">
        <v>315</v>
      </c>
      <c r="T1143" s="657" t="s">
        <v>315</v>
      </c>
    </row>
    <row r="1144" spans="1:20" s="508" customFormat="1" ht="105" hidden="1">
      <c r="A1144" s="518"/>
      <c r="B1144" s="507" t="s">
        <v>1454</v>
      </c>
      <c r="C1144" s="534" t="s">
        <v>1483</v>
      </c>
      <c r="D1144" s="534" t="s">
        <v>4117</v>
      </c>
      <c r="E1144" s="509" t="str">
        <f>IF('GPS Anthro Tool'!$B$4=1,"North America FMVSS","")</f>
        <v>North America FMVSS</v>
      </c>
      <c r="F1144" s="507" t="s">
        <v>4242</v>
      </c>
      <c r="G1144" s="520"/>
      <c r="H1144" s="509" t="s">
        <v>1553</v>
      </c>
      <c r="I1144" s="509"/>
      <c r="J1144" s="519" t="s">
        <v>3960</v>
      </c>
      <c r="K1144" s="527" t="s">
        <v>605</v>
      </c>
      <c r="L1144" s="526" t="s">
        <v>315</v>
      </c>
      <c r="M1144" s="527" t="s">
        <v>315</v>
      </c>
      <c r="N1144" s="528" t="s">
        <v>315</v>
      </c>
      <c r="O1144" s="663"/>
      <c r="P1144" s="666"/>
      <c r="Q1144" s="566"/>
      <c r="R1144" s="530"/>
      <c r="S1144" s="530" t="s">
        <v>315</v>
      </c>
      <c r="T1144" s="657" t="s">
        <v>315</v>
      </c>
    </row>
    <row r="1145" spans="1:20" s="508" customFormat="1" ht="90" hidden="1">
      <c r="A1145" s="518"/>
      <c r="B1145" s="507" t="s">
        <v>1454</v>
      </c>
      <c r="C1145" s="534" t="s">
        <v>1483</v>
      </c>
      <c r="D1145" s="534" t="s">
        <v>4118</v>
      </c>
      <c r="E1145" s="509" t="str">
        <f>IF('GPS Anthro Tool'!$B$4=1,"North America FMVSS","")</f>
        <v>North America FMVSS</v>
      </c>
      <c r="F1145" s="507" t="s">
        <v>4242</v>
      </c>
      <c r="G1145" s="520"/>
      <c r="H1145" s="509" t="s">
        <v>1554</v>
      </c>
      <c r="I1145" s="509"/>
      <c r="J1145" s="519" t="s">
        <v>3960</v>
      </c>
      <c r="K1145" s="527" t="s">
        <v>605</v>
      </c>
      <c r="L1145" s="526" t="s">
        <v>315</v>
      </c>
      <c r="M1145" s="527" t="s">
        <v>315</v>
      </c>
      <c r="N1145" s="528" t="s">
        <v>315</v>
      </c>
      <c r="O1145" s="663"/>
      <c r="P1145" s="666"/>
      <c r="Q1145" s="566"/>
      <c r="R1145" s="530"/>
      <c r="S1145" s="530" t="s">
        <v>315</v>
      </c>
      <c r="T1145" s="657" t="s">
        <v>315</v>
      </c>
    </row>
    <row r="1146" spans="1:20" s="508" customFormat="1" ht="90" hidden="1">
      <c r="A1146" s="518"/>
      <c r="B1146" s="507" t="s">
        <v>1454</v>
      </c>
      <c r="C1146" s="534" t="s">
        <v>1483</v>
      </c>
      <c r="D1146" s="534" t="s">
        <v>4119</v>
      </c>
      <c r="E1146" s="509" t="str">
        <f>IF('GPS Anthro Tool'!$B$4=1,"North America FMVSS","")</f>
        <v>North America FMVSS</v>
      </c>
      <c r="F1146" s="507" t="s">
        <v>4242</v>
      </c>
      <c r="G1146" s="520"/>
      <c r="H1146" s="509" t="s">
        <v>1555</v>
      </c>
      <c r="I1146" s="509"/>
      <c r="J1146" s="519" t="s">
        <v>3960</v>
      </c>
      <c r="K1146" s="527" t="s">
        <v>605</v>
      </c>
      <c r="L1146" s="526" t="s">
        <v>315</v>
      </c>
      <c r="M1146" s="527" t="s">
        <v>315</v>
      </c>
      <c r="N1146" s="528" t="s">
        <v>315</v>
      </c>
      <c r="O1146" s="663"/>
      <c r="P1146" s="666"/>
      <c r="Q1146" s="566"/>
      <c r="R1146" s="530"/>
      <c r="S1146" s="530" t="s">
        <v>315</v>
      </c>
      <c r="T1146" s="657" t="s">
        <v>315</v>
      </c>
    </row>
    <row r="1147" spans="1:20" s="508" customFormat="1" ht="409.5" hidden="1">
      <c r="A1147" s="518"/>
      <c r="B1147" s="507" t="s">
        <v>1454</v>
      </c>
      <c r="C1147" s="534" t="s">
        <v>1483</v>
      </c>
      <c r="D1147" s="534" t="s">
        <v>4120</v>
      </c>
      <c r="E1147" s="509" t="str">
        <f>IF('GPS Anthro Tool'!$B$4=1,"North America FMVSS","")</f>
        <v>North America FMVSS</v>
      </c>
      <c r="F1147" s="507" t="s">
        <v>4242</v>
      </c>
      <c r="G1147" s="520"/>
      <c r="H1147" s="509" t="s">
        <v>1556</v>
      </c>
      <c r="I1147" s="509"/>
      <c r="J1147" s="519" t="s">
        <v>3960</v>
      </c>
      <c r="K1147" s="527" t="s">
        <v>605</v>
      </c>
      <c r="L1147" s="526" t="s">
        <v>315</v>
      </c>
      <c r="M1147" s="527" t="s">
        <v>315</v>
      </c>
      <c r="N1147" s="528" t="s">
        <v>315</v>
      </c>
      <c r="O1147" s="663"/>
      <c r="P1147" s="666"/>
      <c r="Q1147" s="566"/>
      <c r="R1147" s="530"/>
      <c r="S1147" s="530" t="s">
        <v>315</v>
      </c>
      <c r="T1147" s="657" t="s">
        <v>315</v>
      </c>
    </row>
    <row r="1148" spans="1:20" s="508" customFormat="1" ht="75" hidden="1">
      <c r="A1148" s="518"/>
      <c r="B1148" s="507" t="s">
        <v>1454</v>
      </c>
      <c r="C1148" s="534" t="s">
        <v>1483</v>
      </c>
      <c r="D1148" s="534" t="s">
        <v>4121</v>
      </c>
      <c r="E1148" s="509" t="str">
        <f>IF('GPS Anthro Tool'!$B$4=1,"North America FMVSS","")</f>
        <v>North America FMVSS</v>
      </c>
      <c r="F1148" s="507" t="s">
        <v>4242</v>
      </c>
      <c r="G1148" s="520"/>
      <c r="H1148" s="509" t="s">
        <v>1557</v>
      </c>
      <c r="I1148" s="509"/>
      <c r="J1148" s="519" t="s">
        <v>3960</v>
      </c>
      <c r="K1148" s="527" t="s">
        <v>605</v>
      </c>
      <c r="L1148" s="526" t="s">
        <v>315</v>
      </c>
      <c r="M1148" s="527" t="s">
        <v>315</v>
      </c>
      <c r="N1148" s="528" t="s">
        <v>315</v>
      </c>
      <c r="O1148" s="663"/>
      <c r="P1148" s="666"/>
      <c r="Q1148" s="566"/>
      <c r="R1148" s="530"/>
      <c r="S1148" s="530" t="s">
        <v>315</v>
      </c>
      <c r="T1148" s="657" t="s">
        <v>315</v>
      </c>
    </row>
    <row r="1149" spans="1:20" s="508" customFormat="1" ht="30" hidden="1">
      <c r="A1149" s="518"/>
      <c r="B1149" s="507" t="s">
        <v>1454</v>
      </c>
      <c r="C1149" s="534" t="s">
        <v>1483</v>
      </c>
      <c r="D1149" s="534" t="s">
        <v>4122</v>
      </c>
      <c r="E1149" s="509" t="str">
        <f>IF('GPS Anthro Tool'!$B$4=1,"North America FMVSS","")</f>
        <v>North America FMVSS</v>
      </c>
      <c r="F1149" s="507" t="s">
        <v>4242</v>
      </c>
      <c r="G1149" s="520"/>
      <c r="H1149" s="509" t="s">
        <v>1558</v>
      </c>
      <c r="I1149" s="509"/>
      <c r="J1149" s="519" t="s">
        <v>3960</v>
      </c>
      <c r="K1149" s="527" t="s">
        <v>605</v>
      </c>
      <c r="L1149" s="526" t="s">
        <v>315</v>
      </c>
      <c r="M1149" s="527" t="s">
        <v>315</v>
      </c>
      <c r="N1149" s="528" t="s">
        <v>315</v>
      </c>
      <c r="O1149" s="663"/>
      <c r="P1149" s="666"/>
      <c r="Q1149" s="566"/>
      <c r="R1149" s="530"/>
      <c r="S1149" s="530" t="s">
        <v>315</v>
      </c>
      <c r="T1149" s="657" t="s">
        <v>315</v>
      </c>
    </row>
    <row r="1150" spans="1:20" s="362" customFormat="1" ht="60" hidden="1">
      <c r="A1150" s="518"/>
      <c r="B1150" s="507" t="s">
        <v>1454</v>
      </c>
      <c r="C1150" s="534" t="s">
        <v>1483</v>
      </c>
      <c r="D1150" s="534" t="s">
        <v>4123</v>
      </c>
      <c r="E1150" s="509" t="str">
        <f>IF('GPS Anthro Tool'!$B$4=1,"North America FMVSS","")</f>
        <v>North America FMVSS</v>
      </c>
      <c r="F1150" s="507" t="s">
        <v>4242</v>
      </c>
      <c r="G1150" s="520"/>
      <c r="H1150" s="509" t="s">
        <v>1559</v>
      </c>
      <c r="I1150" s="509"/>
      <c r="J1150" s="519" t="s">
        <v>3960</v>
      </c>
      <c r="K1150" s="527" t="s">
        <v>605</v>
      </c>
      <c r="L1150" s="526" t="s">
        <v>315</v>
      </c>
      <c r="M1150" s="527" t="s">
        <v>315</v>
      </c>
      <c r="N1150" s="528" t="s">
        <v>315</v>
      </c>
      <c r="O1150" s="663"/>
      <c r="P1150" s="666"/>
      <c r="Q1150" s="566"/>
      <c r="R1150" s="530"/>
      <c r="S1150" s="530" t="s">
        <v>315</v>
      </c>
      <c r="T1150" s="657" t="s">
        <v>315</v>
      </c>
    </row>
    <row r="1151" spans="1:20" s="508" customFormat="1" ht="255" hidden="1">
      <c r="A1151" s="518"/>
      <c r="B1151" s="507" t="s">
        <v>1454</v>
      </c>
      <c r="C1151" s="534" t="s">
        <v>1483</v>
      </c>
      <c r="D1151" s="534" t="s">
        <v>4124</v>
      </c>
      <c r="E1151" s="509" t="str">
        <f>IF('GPS Anthro Tool'!$B$4=1,"North America FMVSS","")</f>
        <v>North America FMVSS</v>
      </c>
      <c r="F1151" s="507" t="s">
        <v>4242</v>
      </c>
      <c r="G1151" s="520"/>
      <c r="H1151" s="509" t="s">
        <v>1560</v>
      </c>
      <c r="I1151" s="509"/>
      <c r="J1151" s="519" t="s">
        <v>3960</v>
      </c>
      <c r="K1151" s="527" t="s">
        <v>605</v>
      </c>
      <c r="L1151" s="526" t="s">
        <v>315</v>
      </c>
      <c r="M1151" s="527" t="s">
        <v>315</v>
      </c>
      <c r="N1151" s="528" t="s">
        <v>315</v>
      </c>
      <c r="O1151" s="663"/>
      <c r="P1151" s="666"/>
      <c r="Q1151" s="566"/>
      <c r="R1151" s="530"/>
      <c r="S1151" s="530" t="s">
        <v>315</v>
      </c>
      <c r="T1151" s="657" t="s">
        <v>315</v>
      </c>
    </row>
    <row r="1152" spans="1:20" s="508" customFormat="1" ht="90" hidden="1">
      <c r="A1152" s="518"/>
      <c r="B1152" s="507" t="s">
        <v>1454</v>
      </c>
      <c r="C1152" s="534" t="s">
        <v>1483</v>
      </c>
      <c r="D1152" s="534" t="s">
        <v>4125</v>
      </c>
      <c r="E1152" s="509" t="str">
        <f>IF('GPS Anthro Tool'!$B$4=1,"North America FMVSS","")</f>
        <v>North America FMVSS</v>
      </c>
      <c r="F1152" s="507" t="s">
        <v>4242</v>
      </c>
      <c r="G1152" s="520"/>
      <c r="H1152" s="509" t="s">
        <v>1561</v>
      </c>
      <c r="I1152" s="509"/>
      <c r="J1152" s="519" t="s">
        <v>3960</v>
      </c>
      <c r="K1152" s="527" t="s">
        <v>605</v>
      </c>
      <c r="L1152" s="526" t="s">
        <v>315</v>
      </c>
      <c r="M1152" s="527" t="s">
        <v>315</v>
      </c>
      <c r="N1152" s="528" t="s">
        <v>315</v>
      </c>
      <c r="O1152" s="663"/>
      <c r="P1152" s="666"/>
      <c r="Q1152" s="566"/>
      <c r="R1152" s="530"/>
      <c r="S1152" s="530" t="s">
        <v>315</v>
      </c>
      <c r="T1152" s="657" t="s">
        <v>315</v>
      </c>
    </row>
    <row r="1153" spans="1:20" s="508" customFormat="1" ht="75" hidden="1">
      <c r="A1153" s="518"/>
      <c r="B1153" s="507" t="s">
        <v>1454</v>
      </c>
      <c r="C1153" s="534" t="s">
        <v>1483</v>
      </c>
      <c r="D1153" s="534" t="s">
        <v>4126</v>
      </c>
      <c r="E1153" s="509" t="str">
        <f>IF('GPS Anthro Tool'!$B$4=1,"North America FMVSS","")</f>
        <v>North America FMVSS</v>
      </c>
      <c r="F1153" s="507" t="s">
        <v>4242</v>
      </c>
      <c r="G1153" s="520"/>
      <c r="H1153" s="509" t="s">
        <v>1562</v>
      </c>
      <c r="I1153" s="509"/>
      <c r="J1153" s="519" t="s">
        <v>3960</v>
      </c>
      <c r="K1153" s="527" t="s">
        <v>605</v>
      </c>
      <c r="L1153" s="526" t="s">
        <v>315</v>
      </c>
      <c r="M1153" s="527" t="s">
        <v>315</v>
      </c>
      <c r="N1153" s="528" t="s">
        <v>315</v>
      </c>
      <c r="O1153" s="663"/>
      <c r="P1153" s="666"/>
      <c r="Q1153" s="566"/>
      <c r="R1153" s="530"/>
      <c r="S1153" s="530" t="s">
        <v>315</v>
      </c>
      <c r="T1153" s="657" t="s">
        <v>315</v>
      </c>
    </row>
    <row r="1154" spans="1:20" s="508" customFormat="1" ht="45" hidden="1">
      <c r="A1154" s="518"/>
      <c r="B1154" s="507" t="s">
        <v>1454</v>
      </c>
      <c r="C1154" s="534" t="s">
        <v>1483</v>
      </c>
      <c r="D1154" s="534" t="s">
        <v>4127</v>
      </c>
      <c r="E1154" s="509" t="str">
        <f>IF('GPS Anthro Tool'!$B$4=1,"North America FMVSS","")</f>
        <v>North America FMVSS</v>
      </c>
      <c r="F1154" s="507" t="s">
        <v>4242</v>
      </c>
      <c r="G1154" s="520"/>
      <c r="H1154" s="509" t="s">
        <v>1563</v>
      </c>
      <c r="I1154" s="509"/>
      <c r="J1154" s="519" t="s">
        <v>3960</v>
      </c>
      <c r="K1154" s="527" t="s">
        <v>605</v>
      </c>
      <c r="L1154" s="526" t="s">
        <v>315</v>
      </c>
      <c r="M1154" s="527" t="s">
        <v>315</v>
      </c>
      <c r="N1154" s="528" t="s">
        <v>315</v>
      </c>
      <c r="O1154" s="663"/>
      <c r="P1154" s="666"/>
      <c r="Q1154" s="566"/>
      <c r="R1154" s="530"/>
      <c r="S1154" s="530" t="s">
        <v>315</v>
      </c>
      <c r="T1154" s="657" t="s">
        <v>315</v>
      </c>
    </row>
    <row r="1155" spans="1:20" s="508" customFormat="1" ht="75" hidden="1">
      <c r="A1155" s="518"/>
      <c r="B1155" s="507" t="s">
        <v>1454</v>
      </c>
      <c r="C1155" s="534" t="s">
        <v>1483</v>
      </c>
      <c r="D1155" s="534" t="s">
        <v>4128</v>
      </c>
      <c r="E1155" s="509" t="str">
        <f>IF('GPS Anthro Tool'!$B$4=1,"North America FMVSS","")</f>
        <v>North America FMVSS</v>
      </c>
      <c r="F1155" s="507" t="s">
        <v>4242</v>
      </c>
      <c r="G1155" s="520"/>
      <c r="H1155" s="509" t="s">
        <v>1564</v>
      </c>
      <c r="I1155" s="509"/>
      <c r="J1155" s="519" t="s">
        <v>3960</v>
      </c>
      <c r="K1155" s="527" t="s">
        <v>605</v>
      </c>
      <c r="L1155" s="526" t="s">
        <v>315</v>
      </c>
      <c r="M1155" s="527" t="s">
        <v>315</v>
      </c>
      <c r="N1155" s="528" t="s">
        <v>315</v>
      </c>
      <c r="O1155" s="663"/>
      <c r="P1155" s="666"/>
      <c r="Q1155" s="566"/>
      <c r="R1155" s="530"/>
      <c r="S1155" s="530" t="s">
        <v>315</v>
      </c>
      <c r="T1155" s="657" t="s">
        <v>315</v>
      </c>
    </row>
    <row r="1156" spans="1:20" s="508" customFormat="1" ht="255" hidden="1">
      <c r="A1156" s="518"/>
      <c r="B1156" s="507" t="s">
        <v>1454</v>
      </c>
      <c r="C1156" s="534" t="s">
        <v>1483</v>
      </c>
      <c r="D1156" s="534" t="s">
        <v>4129</v>
      </c>
      <c r="E1156" s="509" t="str">
        <f>IF('GPS Anthro Tool'!$B$4=1,"North America FMVSS","")</f>
        <v>North America FMVSS</v>
      </c>
      <c r="F1156" s="507" t="s">
        <v>4242</v>
      </c>
      <c r="G1156" s="520"/>
      <c r="H1156" s="509" t="s">
        <v>1565</v>
      </c>
      <c r="I1156" s="509"/>
      <c r="J1156" s="519" t="s">
        <v>3960</v>
      </c>
      <c r="K1156" s="527" t="s">
        <v>605</v>
      </c>
      <c r="L1156" s="526" t="s">
        <v>315</v>
      </c>
      <c r="M1156" s="527" t="s">
        <v>315</v>
      </c>
      <c r="N1156" s="528" t="s">
        <v>315</v>
      </c>
      <c r="O1156" s="663"/>
      <c r="P1156" s="666"/>
      <c r="Q1156" s="566"/>
      <c r="R1156" s="530"/>
      <c r="S1156" s="530" t="s">
        <v>315</v>
      </c>
      <c r="T1156" s="657" t="s">
        <v>315</v>
      </c>
    </row>
    <row r="1157" spans="1:20" s="508" customFormat="1" ht="195" hidden="1">
      <c r="A1157" s="518"/>
      <c r="B1157" s="507" t="s">
        <v>1454</v>
      </c>
      <c r="C1157" s="534" t="s">
        <v>1483</v>
      </c>
      <c r="D1157" s="534" t="s">
        <v>4130</v>
      </c>
      <c r="E1157" s="509" t="str">
        <f>IF('GPS Anthro Tool'!$B$4=1,"North America FMVSS","")</f>
        <v>North America FMVSS</v>
      </c>
      <c r="F1157" s="507" t="s">
        <v>4242</v>
      </c>
      <c r="G1157" s="520"/>
      <c r="H1157" s="509" t="s">
        <v>1566</v>
      </c>
      <c r="I1157" s="509"/>
      <c r="J1157" s="519" t="s">
        <v>3960</v>
      </c>
      <c r="K1157" s="527" t="s">
        <v>605</v>
      </c>
      <c r="L1157" s="526" t="s">
        <v>315</v>
      </c>
      <c r="M1157" s="527" t="s">
        <v>315</v>
      </c>
      <c r="N1157" s="528" t="s">
        <v>315</v>
      </c>
      <c r="O1157" s="663"/>
      <c r="P1157" s="666"/>
      <c r="Q1157" s="566"/>
      <c r="R1157" s="530"/>
      <c r="S1157" s="530" t="s">
        <v>315</v>
      </c>
      <c r="T1157" s="657" t="s">
        <v>315</v>
      </c>
    </row>
    <row r="1158" spans="1:20" s="508" customFormat="1" ht="75" hidden="1">
      <c r="A1158" s="518"/>
      <c r="B1158" s="507" t="s">
        <v>1454</v>
      </c>
      <c r="C1158" s="534" t="s">
        <v>1483</v>
      </c>
      <c r="D1158" s="534" t="s">
        <v>4131</v>
      </c>
      <c r="E1158" s="509" t="str">
        <f>IF('GPS Anthro Tool'!$B$4=1,"North America FMVSS","")</f>
        <v>North America FMVSS</v>
      </c>
      <c r="F1158" s="507" t="s">
        <v>4242</v>
      </c>
      <c r="G1158" s="520"/>
      <c r="H1158" s="509" t="s">
        <v>1567</v>
      </c>
      <c r="I1158" s="509"/>
      <c r="J1158" s="519" t="s">
        <v>3960</v>
      </c>
      <c r="K1158" s="527" t="s">
        <v>605</v>
      </c>
      <c r="L1158" s="526" t="s">
        <v>315</v>
      </c>
      <c r="M1158" s="527" t="s">
        <v>315</v>
      </c>
      <c r="N1158" s="528" t="s">
        <v>315</v>
      </c>
      <c r="O1158" s="663"/>
      <c r="P1158" s="666"/>
      <c r="Q1158" s="566"/>
      <c r="R1158" s="530"/>
      <c r="S1158" s="530" t="s">
        <v>315</v>
      </c>
      <c r="T1158" s="657" t="s">
        <v>315</v>
      </c>
    </row>
    <row r="1159" spans="1:20" s="508" customFormat="1" ht="75" hidden="1">
      <c r="A1159" s="518"/>
      <c r="B1159" s="507" t="s">
        <v>1454</v>
      </c>
      <c r="C1159" s="534" t="s">
        <v>1483</v>
      </c>
      <c r="D1159" s="534" t="s">
        <v>4132</v>
      </c>
      <c r="E1159" s="509" t="str">
        <f>IF('GPS Anthro Tool'!$B$4=1,"North America FMVSS","")</f>
        <v>North America FMVSS</v>
      </c>
      <c r="F1159" s="507" t="s">
        <v>4242</v>
      </c>
      <c r="G1159" s="520"/>
      <c r="H1159" s="509" t="s">
        <v>1568</v>
      </c>
      <c r="I1159" s="509"/>
      <c r="J1159" s="519" t="s">
        <v>3960</v>
      </c>
      <c r="K1159" s="527" t="s">
        <v>605</v>
      </c>
      <c r="L1159" s="526" t="s">
        <v>315</v>
      </c>
      <c r="M1159" s="527" t="s">
        <v>315</v>
      </c>
      <c r="N1159" s="528" t="s">
        <v>315</v>
      </c>
      <c r="O1159" s="663"/>
      <c r="P1159" s="666"/>
      <c r="Q1159" s="566"/>
      <c r="R1159" s="530"/>
      <c r="S1159" s="530" t="s">
        <v>315</v>
      </c>
      <c r="T1159" s="657" t="s">
        <v>315</v>
      </c>
    </row>
    <row r="1160" spans="1:20" s="508" customFormat="1" ht="120" hidden="1">
      <c r="A1160" s="518"/>
      <c r="B1160" s="507" t="s">
        <v>1454</v>
      </c>
      <c r="C1160" s="534" t="s">
        <v>1483</v>
      </c>
      <c r="D1160" s="534" t="s">
        <v>4133</v>
      </c>
      <c r="E1160" s="509" t="str">
        <f>IF('GPS Anthro Tool'!$B$4=1,"North America FMVSS","")</f>
        <v>North America FMVSS</v>
      </c>
      <c r="F1160" s="507" t="s">
        <v>4242</v>
      </c>
      <c r="G1160" s="520"/>
      <c r="H1160" s="509" t="s">
        <v>1569</v>
      </c>
      <c r="I1160" s="509"/>
      <c r="J1160" s="519" t="s">
        <v>3960</v>
      </c>
      <c r="K1160" s="527" t="s">
        <v>605</v>
      </c>
      <c r="L1160" s="526" t="s">
        <v>315</v>
      </c>
      <c r="M1160" s="527" t="s">
        <v>315</v>
      </c>
      <c r="N1160" s="528" t="s">
        <v>315</v>
      </c>
      <c r="O1160" s="663"/>
      <c r="P1160" s="666"/>
      <c r="Q1160" s="566"/>
      <c r="R1160" s="530"/>
      <c r="S1160" s="530" t="s">
        <v>315</v>
      </c>
      <c r="T1160" s="657" t="s">
        <v>315</v>
      </c>
    </row>
    <row r="1161" spans="1:20" s="508" customFormat="1" ht="240" hidden="1">
      <c r="A1161" s="518"/>
      <c r="B1161" s="507" t="s">
        <v>1454</v>
      </c>
      <c r="C1161" s="534" t="s">
        <v>1483</v>
      </c>
      <c r="D1161" s="534" t="s">
        <v>4134</v>
      </c>
      <c r="E1161" s="509" t="str">
        <f>IF('GPS Anthro Tool'!$B$4=1,"North America FMVSS","")</f>
        <v>North America FMVSS</v>
      </c>
      <c r="F1161" s="507" t="s">
        <v>4242</v>
      </c>
      <c r="G1161" s="520"/>
      <c r="H1161" s="509" t="s">
        <v>1570</v>
      </c>
      <c r="I1161" s="509"/>
      <c r="J1161" s="519" t="s">
        <v>3960</v>
      </c>
      <c r="K1161" s="527" t="s">
        <v>605</v>
      </c>
      <c r="L1161" s="526" t="s">
        <v>315</v>
      </c>
      <c r="M1161" s="527" t="s">
        <v>315</v>
      </c>
      <c r="N1161" s="528" t="s">
        <v>315</v>
      </c>
      <c r="O1161" s="663"/>
      <c r="P1161" s="666"/>
      <c r="Q1161" s="566"/>
      <c r="R1161" s="530"/>
      <c r="S1161" s="530" t="s">
        <v>315</v>
      </c>
      <c r="T1161" s="657" t="s">
        <v>315</v>
      </c>
    </row>
    <row r="1162" spans="1:20" s="508" customFormat="1" ht="45" hidden="1">
      <c r="A1162" s="518"/>
      <c r="B1162" s="507" t="s">
        <v>1454</v>
      </c>
      <c r="C1162" s="534" t="s">
        <v>1483</v>
      </c>
      <c r="D1162" s="534" t="s">
        <v>4135</v>
      </c>
      <c r="E1162" s="509" t="str">
        <f>IF('GPS Anthro Tool'!$B$4=1,"North America FMVSS","")</f>
        <v>North America FMVSS</v>
      </c>
      <c r="F1162" s="507" t="s">
        <v>4242</v>
      </c>
      <c r="G1162" s="520"/>
      <c r="H1162" s="509" t="s">
        <v>1571</v>
      </c>
      <c r="I1162" s="509"/>
      <c r="J1162" s="519" t="s">
        <v>3960</v>
      </c>
      <c r="K1162" s="527" t="s">
        <v>605</v>
      </c>
      <c r="L1162" s="526" t="s">
        <v>315</v>
      </c>
      <c r="M1162" s="527" t="s">
        <v>315</v>
      </c>
      <c r="N1162" s="528" t="s">
        <v>315</v>
      </c>
      <c r="O1162" s="663"/>
      <c r="P1162" s="666"/>
      <c r="Q1162" s="566"/>
      <c r="R1162" s="530"/>
      <c r="S1162" s="530" t="s">
        <v>315</v>
      </c>
      <c r="T1162" s="657" t="s">
        <v>315</v>
      </c>
    </row>
    <row r="1163" spans="1:20" s="508" customFormat="1" ht="48" hidden="1">
      <c r="A1163" s="518"/>
      <c r="B1163" s="507" t="s">
        <v>1454</v>
      </c>
      <c r="C1163" s="534" t="s">
        <v>1483</v>
      </c>
      <c r="D1163" s="534" t="s">
        <v>4136</v>
      </c>
      <c r="E1163" s="509" t="str">
        <f>IF('GPS Anthro Tool'!$B$4=1,"North America FMVSS","")</f>
        <v>North America FMVSS</v>
      </c>
      <c r="F1163" s="507" t="s">
        <v>4242</v>
      </c>
      <c r="G1163" s="520"/>
      <c r="H1163" s="509" t="s">
        <v>3504</v>
      </c>
      <c r="I1163" s="509"/>
      <c r="J1163" s="519" t="s">
        <v>3960</v>
      </c>
      <c r="K1163" s="527" t="s">
        <v>605</v>
      </c>
      <c r="L1163" s="526" t="s">
        <v>315</v>
      </c>
      <c r="M1163" s="527" t="s">
        <v>315</v>
      </c>
      <c r="N1163" s="528" t="s">
        <v>315</v>
      </c>
      <c r="O1163" s="663"/>
      <c r="P1163" s="666"/>
      <c r="Q1163" s="566"/>
      <c r="R1163" s="530"/>
      <c r="S1163" s="530" t="s">
        <v>315</v>
      </c>
      <c r="T1163" s="657" t="s">
        <v>315</v>
      </c>
    </row>
    <row r="1164" spans="1:20" s="508" customFormat="1" ht="60" hidden="1">
      <c r="A1164" s="518"/>
      <c r="B1164" s="507" t="s">
        <v>1454</v>
      </c>
      <c r="C1164" s="534" t="s">
        <v>1483</v>
      </c>
      <c r="D1164" s="534" t="s">
        <v>4137</v>
      </c>
      <c r="E1164" s="509" t="str">
        <f>IF('GPS Anthro Tool'!$B$4=1,"North America FMVSS","")</f>
        <v>North America FMVSS</v>
      </c>
      <c r="F1164" s="507" t="s">
        <v>4242</v>
      </c>
      <c r="G1164" s="520"/>
      <c r="H1164" s="509" t="s">
        <v>1572</v>
      </c>
      <c r="I1164" s="509"/>
      <c r="J1164" s="519" t="s">
        <v>3960</v>
      </c>
      <c r="K1164" s="527" t="s">
        <v>605</v>
      </c>
      <c r="L1164" s="526" t="s">
        <v>315</v>
      </c>
      <c r="M1164" s="527" t="s">
        <v>315</v>
      </c>
      <c r="N1164" s="528" t="s">
        <v>315</v>
      </c>
      <c r="O1164" s="663"/>
      <c r="P1164" s="666"/>
      <c r="Q1164" s="566"/>
      <c r="R1164" s="530"/>
      <c r="S1164" s="530" t="s">
        <v>315</v>
      </c>
      <c r="T1164" s="657" t="s">
        <v>315</v>
      </c>
    </row>
    <row r="1165" spans="1:20" s="508" customFormat="1" ht="165" hidden="1">
      <c r="A1165" s="518"/>
      <c r="B1165" s="507" t="s">
        <v>1454</v>
      </c>
      <c r="C1165" s="534" t="s">
        <v>1483</v>
      </c>
      <c r="D1165" s="534" t="s">
        <v>4138</v>
      </c>
      <c r="E1165" s="509" t="str">
        <f>IF('GPS Anthro Tool'!$B$4=1,"North America FMVSS","")</f>
        <v>North America FMVSS</v>
      </c>
      <c r="F1165" s="507" t="s">
        <v>4242</v>
      </c>
      <c r="G1165" s="520"/>
      <c r="H1165" s="509" t="s">
        <v>1573</v>
      </c>
      <c r="I1165" s="509"/>
      <c r="J1165" s="519" t="s">
        <v>3960</v>
      </c>
      <c r="K1165" s="527" t="s">
        <v>605</v>
      </c>
      <c r="L1165" s="526" t="s">
        <v>315</v>
      </c>
      <c r="M1165" s="527" t="s">
        <v>315</v>
      </c>
      <c r="N1165" s="528" t="s">
        <v>315</v>
      </c>
      <c r="O1165" s="663"/>
      <c r="P1165" s="666"/>
      <c r="Q1165" s="566"/>
      <c r="R1165" s="530"/>
      <c r="S1165" s="530" t="s">
        <v>315</v>
      </c>
      <c r="T1165" s="657" t="s">
        <v>315</v>
      </c>
    </row>
    <row r="1166" spans="1:20" s="508" customFormat="1" ht="30" hidden="1">
      <c r="A1166" s="518"/>
      <c r="B1166" s="507" t="s">
        <v>1454</v>
      </c>
      <c r="C1166" s="534" t="s">
        <v>1483</v>
      </c>
      <c r="D1166" s="534" t="s">
        <v>4139</v>
      </c>
      <c r="E1166" s="509" t="str">
        <f>IF('GPS Anthro Tool'!$B$4=1,"North America FMVSS","")</f>
        <v>North America FMVSS</v>
      </c>
      <c r="F1166" s="507" t="s">
        <v>4242</v>
      </c>
      <c r="G1166" s="520"/>
      <c r="H1166" s="509" t="s">
        <v>1574</v>
      </c>
      <c r="I1166" s="509"/>
      <c r="J1166" s="519" t="s">
        <v>3960</v>
      </c>
      <c r="K1166" s="527" t="s">
        <v>605</v>
      </c>
      <c r="L1166" s="526" t="s">
        <v>315</v>
      </c>
      <c r="M1166" s="527" t="s">
        <v>315</v>
      </c>
      <c r="N1166" s="528" t="s">
        <v>315</v>
      </c>
      <c r="O1166" s="663"/>
      <c r="P1166" s="666"/>
      <c r="Q1166" s="566"/>
      <c r="R1166" s="530"/>
      <c r="S1166" s="530" t="s">
        <v>315</v>
      </c>
      <c r="T1166" s="657" t="s">
        <v>315</v>
      </c>
    </row>
    <row r="1167" spans="1:20" s="508" customFormat="1" ht="30" hidden="1">
      <c r="A1167" s="518"/>
      <c r="B1167" s="507" t="s">
        <v>1454</v>
      </c>
      <c r="C1167" s="534" t="s">
        <v>1483</v>
      </c>
      <c r="D1167" s="534" t="s">
        <v>4140</v>
      </c>
      <c r="E1167" s="509" t="str">
        <f>IF('GPS Anthro Tool'!$B$4=1,"North America FMVSS","")</f>
        <v>North America FMVSS</v>
      </c>
      <c r="F1167" s="507" t="s">
        <v>4242</v>
      </c>
      <c r="G1167" s="520"/>
      <c r="H1167" s="509" t="s">
        <v>1575</v>
      </c>
      <c r="I1167" s="509"/>
      <c r="J1167" s="519" t="s">
        <v>3960</v>
      </c>
      <c r="K1167" s="527" t="s">
        <v>605</v>
      </c>
      <c r="L1167" s="526" t="s">
        <v>315</v>
      </c>
      <c r="M1167" s="527" t="s">
        <v>315</v>
      </c>
      <c r="N1167" s="528" t="s">
        <v>315</v>
      </c>
      <c r="O1167" s="663"/>
      <c r="P1167" s="666"/>
      <c r="Q1167" s="566"/>
      <c r="R1167" s="530"/>
      <c r="S1167" s="530" t="s">
        <v>315</v>
      </c>
      <c r="T1167" s="657" t="s">
        <v>315</v>
      </c>
    </row>
    <row r="1168" spans="1:20" s="508" customFormat="1" ht="45" hidden="1">
      <c r="A1168" s="518"/>
      <c r="B1168" s="507" t="s">
        <v>1454</v>
      </c>
      <c r="C1168" s="534" t="s">
        <v>1483</v>
      </c>
      <c r="D1168" s="534" t="s">
        <v>4141</v>
      </c>
      <c r="E1168" s="509" t="str">
        <f>IF('GPS Anthro Tool'!$B$4=1,"North America FMVSS","")</f>
        <v>North America FMVSS</v>
      </c>
      <c r="F1168" s="507" t="s">
        <v>4242</v>
      </c>
      <c r="G1168" s="520"/>
      <c r="H1168" s="509" t="s">
        <v>1576</v>
      </c>
      <c r="I1168" s="509"/>
      <c r="J1168" s="519" t="s">
        <v>3960</v>
      </c>
      <c r="K1168" s="527" t="s">
        <v>605</v>
      </c>
      <c r="L1168" s="526" t="s">
        <v>315</v>
      </c>
      <c r="M1168" s="527" t="s">
        <v>315</v>
      </c>
      <c r="N1168" s="528" t="s">
        <v>315</v>
      </c>
      <c r="O1168" s="663"/>
      <c r="P1168" s="666"/>
      <c r="Q1168" s="566"/>
      <c r="R1168" s="530"/>
      <c r="S1168" s="530" t="s">
        <v>315</v>
      </c>
      <c r="T1168" s="657" t="s">
        <v>315</v>
      </c>
    </row>
    <row r="1169" spans="1:20" s="508" customFormat="1" ht="90" hidden="1">
      <c r="A1169" s="518"/>
      <c r="B1169" s="507" t="s">
        <v>1454</v>
      </c>
      <c r="C1169" s="534" t="s">
        <v>1483</v>
      </c>
      <c r="D1169" s="534" t="s">
        <v>4142</v>
      </c>
      <c r="E1169" s="509" t="str">
        <f>IF('GPS Anthro Tool'!$B$4=1,"North America FMVSS","")</f>
        <v>North America FMVSS</v>
      </c>
      <c r="F1169" s="507" t="s">
        <v>4242</v>
      </c>
      <c r="G1169" s="520"/>
      <c r="H1169" s="509" t="s">
        <v>1577</v>
      </c>
      <c r="I1169" s="509"/>
      <c r="J1169" s="519" t="s">
        <v>3960</v>
      </c>
      <c r="K1169" s="527" t="s">
        <v>605</v>
      </c>
      <c r="L1169" s="526" t="s">
        <v>315</v>
      </c>
      <c r="M1169" s="527" t="s">
        <v>315</v>
      </c>
      <c r="N1169" s="528" t="s">
        <v>315</v>
      </c>
      <c r="O1169" s="663"/>
      <c r="P1169" s="666"/>
      <c r="Q1169" s="566"/>
      <c r="R1169" s="530"/>
      <c r="S1169" s="530" t="s">
        <v>315</v>
      </c>
      <c r="T1169" s="657" t="s">
        <v>315</v>
      </c>
    </row>
    <row r="1170" spans="1:20" s="508" customFormat="1" ht="300" hidden="1">
      <c r="A1170" s="518"/>
      <c r="B1170" s="507" t="s">
        <v>1454</v>
      </c>
      <c r="C1170" s="534" t="s">
        <v>1483</v>
      </c>
      <c r="D1170" s="534" t="s">
        <v>4143</v>
      </c>
      <c r="E1170" s="509" t="str">
        <f>IF('GPS Anthro Tool'!$B$4=1,"North America FMVSS","")</f>
        <v>North America FMVSS</v>
      </c>
      <c r="F1170" s="507" t="s">
        <v>4242</v>
      </c>
      <c r="G1170" s="520"/>
      <c r="H1170" s="509" t="s">
        <v>1578</v>
      </c>
      <c r="I1170" s="509"/>
      <c r="J1170" s="519" t="s">
        <v>3960</v>
      </c>
      <c r="K1170" s="527" t="s">
        <v>605</v>
      </c>
      <c r="L1170" s="526" t="s">
        <v>315</v>
      </c>
      <c r="M1170" s="527" t="s">
        <v>315</v>
      </c>
      <c r="N1170" s="528" t="s">
        <v>315</v>
      </c>
      <c r="O1170" s="663"/>
      <c r="P1170" s="666"/>
      <c r="Q1170" s="566"/>
      <c r="R1170" s="530"/>
      <c r="S1170" s="530" t="s">
        <v>315</v>
      </c>
      <c r="T1170" s="657" t="s">
        <v>315</v>
      </c>
    </row>
    <row r="1171" spans="1:20" s="508" customFormat="1" ht="60" hidden="1">
      <c r="A1171" s="518"/>
      <c r="B1171" s="507" t="s">
        <v>1454</v>
      </c>
      <c r="C1171" s="534" t="s">
        <v>1483</v>
      </c>
      <c r="D1171" s="534" t="s">
        <v>4144</v>
      </c>
      <c r="E1171" s="509" t="str">
        <f>IF('GPS Anthro Tool'!$B$4=1,"North America FMVSS","")</f>
        <v>North America FMVSS</v>
      </c>
      <c r="F1171" s="507" t="s">
        <v>4242</v>
      </c>
      <c r="G1171" s="520"/>
      <c r="H1171" s="509" t="s">
        <v>1579</v>
      </c>
      <c r="I1171" s="509"/>
      <c r="J1171" s="519" t="s">
        <v>3960</v>
      </c>
      <c r="K1171" s="527" t="s">
        <v>605</v>
      </c>
      <c r="L1171" s="526" t="s">
        <v>315</v>
      </c>
      <c r="M1171" s="527" t="s">
        <v>315</v>
      </c>
      <c r="N1171" s="528" t="s">
        <v>315</v>
      </c>
      <c r="O1171" s="663"/>
      <c r="P1171" s="666"/>
      <c r="Q1171" s="566"/>
      <c r="R1171" s="530"/>
      <c r="S1171" s="530" t="s">
        <v>315</v>
      </c>
      <c r="T1171" s="657" t="s">
        <v>315</v>
      </c>
    </row>
    <row r="1172" spans="1:20" s="508" customFormat="1" ht="75" hidden="1">
      <c r="A1172" s="518"/>
      <c r="B1172" s="507" t="s">
        <v>1454</v>
      </c>
      <c r="C1172" s="534" t="s">
        <v>1483</v>
      </c>
      <c r="D1172" s="534" t="s">
        <v>4145</v>
      </c>
      <c r="E1172" s="509" t="str">
        <f>IF('GPS Anthro Tool'!$B$4=1,"North America FMVSS","")</f>
        <v>North America FMVSS</v>
      </c>
      <c r="F1172" s="507" t="s">
        <v>4242</v>
      </c>
      <c r="G1172" s="520"/>
      <c r="H1172" s="509" t="s">
        <v>1580</v>
      </c>
      <c r="I1172" s="509"/>
      <c r="J1172" s="519" t="s">
        <v>3960</v>
      </c>
      <c r="K1172" s="527" t="s">
        <v>605</v>
      </c>
      <c r="L1172" s="526" t="s">
        <v>315</v>
      </c>
      <c r="M1172" s="527" t="s">
        <v>315</v>
      </c>
      <c r="N1172" s="528" t="s">
        <v>315</v>
      </c>
      <c r="O1172" s="663"/>
      <c r="P1172" s="666"/>
      <c r="Q1172" s="566"/>
      <c r="R1172" s="530"/>
      <c r="S1172" s="530" t="s">
        <v>315</v>
      </c>
      <c r="T1172" s="657" t="s">
        <v>315</v>
      </c>
    </row>
    <row r="1173" spans="1:20" s="508" customFormat="1" ht="90" hidden="1">
      <c r="A1173" s="518"/>
      <c r="B1173" s="507" t="s">
        <v>1454</v>
      </c>
      <c r="C1173" s="534" t="s">
        <v>1483</v>
      </c>
      <c r="D1173" s="534" t="s">
        <v>4146</v>
      </c>
      <c r="E1173" s="509" t="str">
        <f>IF('GPS Anthro Tool'!$B$4=1,"North America FMVSS","")</f>
        <v>North America FMVSS</v>
      </c>
      <c r="F1173" s="507" t="s">
        <v>4242</v>
      </c>
      <c r="G1173" s="520"/>
      <c r="H1173" s="509" t="s">
        <v>1581</v>
      </c>
      <c r="I1173" s="509"/>
      <c r="J1173" s="519" t="s">
        <v>3960</v>
      </c>
      <c r="K1173" s="527" t="s">
        <v>605</v>
      </c>
      <c r="L1173" s="526" t="s">
        <v>315</v>
      </c>
      <c r="M1173" s="527" t="s">
        <v>315</v>
      </c>
      <c r="N1173" s="528" t="s">
        <v>315</v>
      </c>
      <c r="O1173" s="663"/>
      <c r="P1173" s="666"/>
      <c r="Q1173" s="566"/>
      <c r="R1173" s="530"/>
      <c r="S1173" s="530" t="s">
        <v>315</v>
      </c>
      <c r="T1173" s="657" t="s">
        <v>315</v>
      </c>
    </row>
    <row r="1174" spans="1:20" s="508" customFormat="1" ht="75" hidden="1">
      <c r="A1174" s="518"/>
      <c r="B1174" s="507" t="s">
        <v>1454</v>
      </c>
      <c r="C1174" s="534" t="s">
        <v>1483</v>
      </c>
      <c r="D1174" s="534" t="s">
        <v>4147</v>
      </c>
      <c r="E1174" s="509" t="str">
        <f>IF('GPS Anthro Tool'!$B$4=1,"North America FMVSS","")</f>
        <v>North America FMVSS</v>
      </c>
      <c r="F1174" s="507" t="s">
        <v>4242</v>
      </c>
      <c r="G1174" s="520"/>
      <c r="H1174" s="509" t="s">
        <v>1582</v>
      </c>
      <c r="I1174" s="509"/>
      <c r="J1174" s="519" t="s">
        <v>3960</v>
      </c>
      <c r="K1174" s="527" t="s">
        <v>605</v>
      </c>
      <c r="L1174" s="526" t="s">
        <v>315</v>
      </c>
      <c r="M1174" s="527" t="s">
        <v>315</v>
      </c>
      <c r="N1174" s="528" t="s">
        <v>315</v>
      </c>
      <c r="O1174" s="663"/>
      <c r="P1174" s="666"/>
      <c r="Q1174" s="566"/>
      <c r="R1174" s="530"/>
      <c r="S1174" s="530" t="s">
        <v>315</v>
      </c>
      <c r="T1174" s="657" t="s">
        <v>315</v>
      </c>
    </row>
    <row r="1175" spans="1:20" s="508" customFormat="1" ht="135" hidden="1">
      <c r="A1175" s="518"/>
      <c r="B1175" s="507" t="s">
        <v>1454</v>
      </c>
      <c r="C1175" s="534" t="s">
        <v>1483</v>
      </c>
      <c r="D1175" s="534" t="s">
        <v>4148</v>
      </c>
      <c r="E1175" s="509" t="str">
        <f>IF('GPS Anthro Tool'!$B$4=1,"North America FMVSS","")</f>
        <v>North America FMVSS</v>
      </c>
      <c r="F1175" s="507" t="s">
        <v>4242</v>
      </c>
      <c r="G1175" s="520"/>
      <c r="H1175" s="509" t="s">
        <v>1583</v>
      </c>
      <c r="I1175" s="509"/>
      <c r="J1175" s="519" t="s">
        <v>3960</v>
      </c>
      <c r="K1175" s="527" t="s">
        <v>605</v>
      </c>
      <c r="L1175" s="526" t="s">
        <v>315</v>
      </c>
      <c r="M1175" s="527" t="s">
        <v>315</v>
      </c>
      <c r="N1175" s="528" t="s">
        <v>315</v>
      </c>
      <c r="O1175" s="663"/>
      <c r="P1175" s="666"/>
      <c r="Q1175" s="566"/>
      <c r="R1175" s="530"/>
      <c r="S1175" s="530" t="s">
        <v>315</v>
      </c>
      <c r="T1175" s="657" t="s">
        <v>315</v>
      </c>
    </row>
    <row r="1176" spans="1:20" s="508" customFormat="1" ht="135" hidden="1">
      <c r="A1176" s="518"/>
      <c r="B1176" s="507" t="s">
        <v>1454</v>
      </c>
      <c r="C1176" s="534" t="s">
        <v>1483</v>
      </c>
      <c r="D1176" s="534" t="s">
        <v>4149</v>
      </c>
      <c r="E1176" s="509" t="str">
        <f>IF('GPS Anthro Tool'!$B$4=1,"North America FMVSS","")</f>
        <v>North America FMVSS</v>
      </c>
      <c r="F1176" s="507" t="s">
        <v>4242</v>
      </c>
      <c r="G1176" s="520"/>
      <c r="H1176" s="507" t="s">
        <v>1584</v>
      </c>
      <c r="I1176" s="507"/>
      <c r="J1176" s="519" t="s">
        <v>3960</v>
      </c>
      <c r="K1176" s="527" t="s">
        <v>605</v>
      </c>
      <c r="L1176" s="526" t="s">
        <v>315</v>
      </c>
      <c r="M1176" s="527" t="s">
        <v>315</v>
      </c>
      <c r="N1176" s="528" t="s">
        <v>315</v>
      </c>
      <c r="O1176" s="663"/>
      <c r="P1176" s="666"/>
      <c r="Q1176" s="566"/>
      <c r="R1176" s="530"/>
      <c r="S1176" s="530" t="s">
        <v>315</v>
      </c>
      <c r="T1176" s="657" t="s">
        <v>315</v>
      </c>
    </row>
    <row r="1177" spans="1:20" s="508" customFormat="1" ht="105" hidden="1">
      <c r="A1177" s="518"/>
      <c r="B1177" s="507" t="s">
        <v>1454</v>
      </c>
      <c r="C1177" s="534" t="s">
        <v>1483</v>
      </c>
      <c r="D1177" s="534" t="s">
        <v>4150</v>
      </c>
      <c r="E1177" s="509" t="str">
        <f>IF('GPS Anthro Tool'!$B$4=1,"North America FMVSS","")</f>
        <v>North America FMVSS</v>
      </c>
      <c r="F1177" s="507" t="s">
        <v>4242</v>
      </c>
      <c r="G1177" s="520"/>
      <c r="H1177" s="507" t="s">
        <v>1585</v>
      </c>
      <c r="I1177" s="507"/>
      <c r="J1177" s="519" t="s">
        <v>3960</v>
      </c>
      <c r="K1177" s="527" t="s">
        <v>605</v>
      </c>
      <c r="L1177" s="526" t="s">
        <v>315</v>
      </c>
      <c r="M1177" s="527" t="s">
        <v>315</v>
      </c>
      <c r="N1177" s="528" t="s">
        <v>315</v>
      </c>
      <c r="O1177" s="663"/>
      <c r="P1177" s="666"/>
      <c r="Q1177" s="566"/>
      <c r="R1177" s="530"/>
      <c r="S1177" s="530" t="s">
        <v>315</v>
      </c>
      <c r="T1177" s="657" t="s">
        <v>315</v>
      </c>
    </row>
    <row r="1178" spans="1:20" s="508" customFormat="1" ht="195" hidden="1">
      <c r="A1178" s="518"/>
      <c r="B1178" s="507" t="s">
        <v>1454</v>
      </c>
      <c r="C1178" s="534" t="s">
        <v>1483</v>
      </c>
      <c r="D1178" s="534" t="s">
        <v>4151</v>
      </c>
      <c r="E1178" s="509" t="str">
        <f>IF('GPS Anthro Tool'!$B$4=1,"North America FMVSS","")</f>
        <v>North America FMVSS</v>
      </c>
      <c r="F1178" s="507" t="s">
        <v>4242</v>
      </c>
      <c r="G1178" s="520"/>
      <c r="H1178" s="507" t="s">
        <v>1586</v>
      </c>
      <c r="I1178" s="507"/>
      <c r="J1178" s="519" t="s">
        <v>3960</v>
      </c>
      <c r="K1178" s="527" t="s">
        <v>605</v>
      </c>
      <c r="L1178" s="526" t="s">
        <v>315</v>
      </c>
      <c r="M1178" s="527" t="s">
        <v>315</v>
      </c>
      <c r="N1178" s="528" t="s">
        <v>315</v>
      </c>
      <c r="O1178" s="663"/>
      <c r="P1178" s="666"/>
      <c r="Q1178" s="566"/>
      <c r="R1178" s="530"/>
      <c r="S1178" s="530" t="s">
        <v>315</v>
      </c>
      <c r="T1178" s="657" t="s">
        <v>315</v>
      </c>
    </row>
    <row r="1179" spans="1:20" s="508" customFormat="1" ht="225" hidden="1">
      <c r="A1179" s="518"/>
      <c r="B1179" s="507" t="s">
        <v>1454</v>
      </c>
      <c r="C1179" s="534" t="s">
        <v>1483</v>
      </c>
      <c r="D1179" s="534" t="s">
        <v>4152</v>
      </c>
      <c r="E1179" s="509" t="str">
        <f>IF('GPS Anthro Tool'!$B$4=1,"North America FMVSS","")</f>
        <v>North America FMVSS</v>
      </c>
      <c r="F1179" s="507" t="s">
        <v>4242</v>
      </c>
      <c r="G1179" s="520"/>
      <c r="H1179" s="507" t="s">
        <v>1587</v>
      </c>
      <c r="I1179" s="507"/>
      <c r="J1179" s="519" t="s">
        <v>3960</v>
      </c>
      <c r="K1179" s="527" t="s">
        <v>605</v>
      </c>
      <c r="L1179" s="526" t="s">
        <v>315</v>
      </c>
      <c r="M1179" s="527" t="s">
        <v>315</v>
      </c>
      <c r="N1179" s="528" t="s">
        <v>315</v>
      </c>
      <c r="O1179" s="663"/>
      <c r="P1179" s="666"/>
      <c r="Q1179" s="566"/>
      <c r="R1179" s="530"/>
      <c r="S1179" s="530" t="s">
        <v>315</v>
      </c>
      <c r="T1179" s="657" t="s">
        <v>315</v>
      </c>
    </row>
    <row r="1180" spans="1:20" s="508" customFormat="1" ht="240" hidden="1">
      <c r="A1180" s="518"/>
      <c r="B1180" s="507" t="s">
        <v>1454</v>
      </c>
      <c r="C1180" s="534" t="s">
        <v>1483</v>
      </c>
      <c r="D1180" s="534" t="s">
        <v>4153</v>
      </c>
      <c r="E1180" s="509" t="str">
        <f>IF('GPS Anthro Tool'!$B$4=1,"North America FMVSS","")</f>
        <v>North America FMVSS</v>
      </c>
      <c r="F1180" s="507" t="s">
        <v>4242</v>
      </c>
      <c r="G1180" s="520"/>
      <c r="H1180" s="507" t="s">
        <v>1588</v>
      </c>
      <c r="I1180" s="507"/>
      <c r="J1180" s="519" t="s">
        <v>3960</v>
      </c>
      <c r="K1180" s="527" t="s">
        <v>605</v>
      </c>
      <c r="L1180" s="526" t="s">
        <v>315</v>
      </c>
      <c r="M1180" s="527" t="s">
        <v>315</v>
      </c>
      <c r="N1180" s="528" t="s">
        <v>315</v>
      </c>
      <c r="O1180" s="663"/>
      <c r="P1180" s="666"/>
      <c r="Q1180" s="566"/>
      <c r="R1180" s="530"/>
      <c r="S1180" s="530" t="s">
        <v>315</v>
      </c>
      <c r="T1180" s="657" t="s">
        <v>315</v>
      </c>
    </row>
    <row r="1181" spans="1:20" s="508" customFormat="1" ht="135" hidden="1">
      <c r="A1181" s="518"/>
      <c r="B1181" s="507" t="s">
        <v>1454</v>
      </c>
      <c r="C1181" s="534" t="s">
        <v>1483</v>
      </c>
      <c r="D1181" s="534" t="s">
        <v>4154</v>
      </c>
      <c r="E1181" s="509" t="str">
        <f>IF('GPS Anthro Tool'!$B$4=1,"North America FMVSS","")</f>
        <v>North America FMVSS</v>
      </c>
      <c r="F1181" s="507" t="s">
        <v>4242</v>
      </c>
      <c r="G1181" s="520"/>
      <c r="H1181" s="507" t="s">
        <v>1589</v>
      </c>
      <c r="I1181" s="507"/>
      <c r="J1181" s="519" t="s">
        <v>3960</v>
      </c>
      <c r="K1181" s="527" t="s">
        <v>605</v>
      </c>
      <c r="L1181" s="526" t="s">
        <v>315</v>
      </c>
      <c r="M1181" s="527" t="s">
        <v>315</v>
      </c>
      <c r="N1181" s="528" t="s">
        <v>315</v>
      </c>
      <c r="O1181" s="663"/>
      <c r="P1181" s="666"/>
      <c r="Q1181" s="566"/>
      <c r="R1181" s="530"/>
      <c r="S1181" s="530" t="s">
        <v>315</v>
      </c>
      <c r="T1181" s="657" t="s">
        <v>315</v>
      </c>
    </row>
    <row r="1182" spans="1:20" s="508" customFormat="1" ht="120" hidden="1">
      <c r="A1182" s="518"/>
      <c r="B1182" s="507" t="s">
        <v>1454</v>
      </c>
      <c r="C1182" s="534" t="s">
        <v>1483</v>
      </c>
      <c r="D1182" s="534" t="s">
        <v>4155</v>
      </c>
      <c r="E1182" s="509" t="str">
        <f>IF('GPS Anthro Tool'!$B$4=1,"North America FMVSS","")</f>
        <v>North America FMVSS</v>
      </c>
      <c r="F1182" s="507" t="s">
        <v>4242</v>
      </c>
      <c r="G1182" s="520"/>
      <c r="H1182" s="507" t="s">
        <v>1590</v>
      </c>
      <c r="I1182" s="507"/>
      <c r="J1182" s="519" t="s">
        <v>3960</v>
      </c>
      <c r="K1182" s="527" t="s">
        <v>605</v>
      </c>
      <c r="L1182" s="526" t="s">
        <v>315</v>
      </c>
      <c r="M1182" s="527" t="s">
        <v>315</v>
      </c>
      <c r="N1182" s="528" t="s">
        <v>315</v>
      </c>
      <c r="O1182" s="663"/>
      <c r="P1182" s="666"/>
      <c r="Q1182" s="566"/>
      <c r="R1182" s="530"/>
      <c r="S1182" s="530" t="s">
        <v>315</v>
      </c>
      <c r="T1182" s="657" t="s">
        <v>315</v>
      </c>
    </row>
    <row r="1183" spans="1:20" s="508" customFormat="1" ht="120" hidden="1">
      <c r="A1183" s="518"/>
      <c r="B1183" s="507" t="s">
        <v>1454</v>
      </c>
      <c r="C1183" s="534" t="s">
        <v>1483</v>
      </c>
      <c r="D1183" s="534" t="s">
        <v>4156</v>
      </c>
      <c r="E1183" s="509" t="str">
        <f>IF('GPS Anthro Tool'!$B$4=1,"North America FMVSS","")</f>
        <v>North America FMVSS</v>
      </c>
      <c r="F1183" s="507" t="s">
        <v>4242</v>
      </c>
      <c r="G1183" s="520"/>
      <c r="H1183" s="507" t="s">
        <v>1591</v>
      </c>
      <c r="I1183" s="507"/>
      <c r="J1183" s="519" t="s">
        <v>3960</v>
      </c>
      <c r="K1183" s="527" t="s">
        <v>605</v>
      </c>
      <c r="L1183" s="526" t="s">
        <v>315</v>
      </c>
      <c r="M1183" s="527" t="s">
        <v>315</v>
      </c>
      <c r="N1183" s="528" t="s">
        <v>315</v>
      </c>
      <c r="O1183" s="663"/>
      <c r="P1183" s="666"/>
      <c r="Q1183" s="566"/>
      <c r="R1183" s="530"/>
      <c r="S1183" s="530" t="s">
        <v>315</v>
      </c>
      <c r="T1183" s="657" t="s">
        <v>315</v>
      </c>
    </row>
    <row r="1184" spans="1:20" s="508" customFormat="1" ht="150" hidden="1">
      <c r="A1184" s="518"/>
      <c r="B1184" s="507" t="s">
        <v>1454</v>
      </c>
      <c r="C1184" s="534" t="s">
        <v>1483</v>
      </c>
      <c r="D1184" s="534" t="s">
        <v>4157</v>
      </c>
      <c r="E1184" s="509" t="str">
        <f>IF('GPS Anthro Tool'!$B$4=1,"North America FMVSS","")</f>
        <v>North America FMVSS</v>
      </c>
      <c r="F1184" s="507" t="s">
        <v>4242</v>
      </c>
      <c r="G1184" s="520"/>
      <c r="H1184" s="507" t="s">
        <v>1592</v>
      </c>
      <c r="I1184" s="507"/>
      <c r="J1184" s="519" t="s">
        <v>3960</v>
      </c>
      <c r="K1184" s="527" t="s">
        <v>605</v>
      </c>
      <c r="L1184" s="526" t="s">
        <v>315</v>
      </c>
      <c r="M1184" s="527" t="s">
        <v>315</v>
      </c>
      <c r="N1184" s="528" t="s">
        <v>315</v>
      </c>
      <c r="O1184" s="663"/>
      <c r="P1184" s="666"/>
      <c r="Q1184" s="566"/>
      <c r="R1184" s="530"/>
      <c r="S1184" s="530" t="s">
        <v>315</v>
      </c>
      <c r="T1184" s="657" t="s">
        <v>315</v>
      </c>
    </row>
    <row r="1185" spans="1:20" s="508" customFormat="1" ht="30" hidden="1">
      <c r="A1185" s="518"/>
      <c r="B1185" s="507" t="s">
        <v>1454</v>
      </c>
      <c r="C1185" s="534" t="s">
        <v>1483</v>
      </c>
      <c r="D1185" s="534" t="s">
        <v>4158</v>
      </c>
      <c r="E1185" s="509" t="str">
        <f>IF('GPS Anthro Tool'!$B$4=1,"North America FMVSS","")</f>
        <v>North America FMVSS</v>
      </c>
      <c r="F1185" s="507" t="s">
        <v>4242</v>
      </c>
      <c r="G1185" s="520"/>
      <c r="H1185" s="507" t="s">
        <v>1593</v>
      </c>
      <c r="I1185" s="507"/>
      <c r="J1185" s="519" t="s">
        <v>3960</v>
      </c>
      <c r="K1185" s="527" t="s">
        <v>605</v>
      </c>
      <c r="L1185" s="526" t="s">
        <v>315</v>
      </c>
      <c r="M1185" s="527" t="s">
        <v>315</v>
      </c>
      <c r="N1185" s="528" t="s">
        <v>315</v>
      </c>
      <c r="O1185" s="663"/>
      <c r="P1185" s="666"/>
      <c r="Q1185" s="566"/>
      <c r="R1185" s="530"/>
      <c r="S1185" s="530" t="s">
        <v>315</v>
      </c>
      <c r="T1185" s="657" t="s">
        <v>315</v>
      </c>
    </row>
    <row r="1186" spans="1:20" s="508" customFormat="1" ht="105" hidden="1">
      <c r="A1186" s="518"/>
      <c r="B1186" s="507" t="s">
        <v>1454</v>
      </c>
      <c r="C1186" s="534" t="s">
        <v>1483</v>
      </c>
      <c r="D1186" s="534" t="s">
        <v>4159</v>
      </c>
      <c r="E1186" s="509" t="str">
        <f>IF('GPS Anthro Tool'!$B$4=1,"North America FMVSS","")</f>
        <v>North America FMVSS</v>
      </c>
      <c r="F1186" s="507" t="s">
        <v>4242</v>
      </c>
      <c r="G1186" s="520"/>
      <c r="H1186" s="507" t="s">
        <v>1594</v>
      </c>
      <c r="I1186" s="507"/>
      <c r="J1186" s="519" t="s">
        <v>3960</v>
      </c>
      <c r="K1186" s="527" t="s">
        <v>605</v>
      </c>
      <c r="L1186" s="526" t="s">
        <v>315</v>
      </c>
      <c r="M1186" s="527" t="s">
        <v>315</v>
      </c>
      <c r="N1186" s="528" t="s">
        <v>315</v>
      </c>
      <c r="O1186" s="663"/>
      <c r="P1186" s="666"/>
      <c r="Q1186" s="566"/>
      <c r="R1186" s="530"/>
      <c r="S1186" s="530" t="s">
        <v>315</v>
      </c>
      <c r="T1186" s="657" t="s">
        <v>315</v>
      </c>
    </row>
    <row r="1187" spans="1:20" s="508" customFormat="1" ht="45" hidden="1">
      <c r="A1187" s="518"/>
      <c r="B1187" s="507" t="s">
        <v>1454</v>
      </c>
      <c r="C1187" s="534" t="s">
        <v>1483</v>
      </c>
      <c r="D1187" s="534" t="s">
        <v>4160</v>
      </c>
      <c r="E1187" s="509" t="str">
        <f>IF('GPS Anthro Tool'!$B$4=1,"North America FMVSS","")</f>
        <v>North America FMVSS</v>
      </c>
      <c r="F1187" s="507" t="s">
        <v>4242</v>
      </c>
      <c r="G1187" s="520"/>
      <c r="H1187" s="507" t="s">
        <v>1595</v>
      </c>
      <c r="I1187" s="507"/>
      <c r="J1187" s="519" t="s">
        <v>3960</v>
      </c>
      <c r="K1187" s="527" t="s">
        <v>605</v>
      </c>
      <c r="L1187" s="526" t="s">
        <v>315</v>
      </c>
      <c r="M1187" s="527" t="s">
        <v>315</v>
      </c>
      <c r="N1187" s="528" t="s">
        <v>315</v>
      </c>
      <c r="O1187" s="663"/>
      <c r="P1187" s="666"/>
      <c r="Q1187" s="566"/>
      <c r="R1187" s="530"/>
      <c r="S1187" s="530" t="s">
        <v>315</v>
      </c>
      <c r="T1187" s="657" t="s">
        <v>315</v>
      </c>
    </row>
    <row r="1188" spans="1:20" s="508" customFormat="1" ht="105" hidden="1">
      <c r="A1188" s="518"/>
      <c r="B1188" s="507" t="s">
        <v>1454</v>
      </c>
      <c r="C1188" s="534" t="s">
        <v>1483</v>
      </c>
      <c r="D1188" s="534" t="s">
        <v>4161</v>
      </c>
      <c r="E1188" s="509" t="str">
        <f>IF('GPS Anthro Tool'!$B$4=1,"North America FMVSS","")</f>
        <v>North America FMVSS</v>
      </c>
      <c r="F1188" s="507" t="s">
        <v>4242</v>
      </c>
      <c r="G1188" s="520"/>
      <c r="H1188" s="507" t="s">
        <v>1596</v>
      </c>
      <c r="I1188" s="507"/>
      <c r="J1188" s="519" t="s">
        <v>3960</v>
      </c>
      <c r="K1188" s="527" t="s">
        <v>605</v>
      </c>
      <c r="L1188" s="526" t="s">
        <v>315</v>
      </c>
      <c r="M1188" s="527" t="s">
        <v>315</v>
      </c>
      <c r="N1188" s="528" t="s">
        <v>315</v>
      </c>
      <c r="O1188" s="663"/>
      <c r="P1188" s="666"/>
      <c r="Q1188" s="566"/>
      <c r="R1188" s="530"/>
      <c r="S1188" s="530" t="s">
        <v>315</v>
      </c>
      <c r="T1188" s="657" t="s">
        <v>315</v>
      </c>
    </row>
    <row r="1189" spans="1:20" s="508" customFormat="1" ht="45" hidden="1">
      <c r="A1189" s="518"/>
      <c r="B1189" s="507" t="s">
        <v>1454</v>
      </c>
      <c r="C1189" s="534" t="s">
        <v>1483</v>
      </c>
      <c r="D1189" s="534" t="s">
        <v>4162</v>
      </c>
      <c r="E1189" s="509" t="str">
        <f>IF('GPS Anthro Tool'!$B$4=1,"North America FMVSS","")</f>
        <v>North America FMVSS</v>
      </c>
      <c r="F1189" s="507" t="s">
        <v>4242</v>
      </c>
      <c r="G1189" s="520"/>
      <c r="H1189" s="507" t="s">
        <v>1597</v>
      </c>
      <c r="I1189" s="507"/>
      <c r="J1189" s="519" t="s">
        <v>3960</v>
      </c>
      <c r="K1189" s="527" t="s">
        <v>605</v>
      </c>
      <c r="L1189" s="526" t="s">
        <v>315</v>
      </c>
      <c r="M1189" s="527" t="s">
        <v>315</v>
      </c>
      <c r="N1189" s="528" t="s">
        <v>315</v>
      </c>
      <c r="O1189" s="663"/>
      <c r="P1189" s="666"/>
      <c r="Q1189" s="566"/>
      <c r="R1189" s="530"/>
      <c r="S1189" s="530" t="s">
        <v>315</v>
      </c>
      <c r="T1189" s="657" t="s">
        <v>315</v>
      </c>
    </row>
    <row r="1190" spans="1:20" s="508" customFormat="1" ht="180" hidden="1">
      <c r="A1190" s="518"/>
      <c r="B1190" s="507" t="s">
        <v>1454</v>
      </c>
      <c r="C1190" s="534" t="s">
        <v>1483</v>
      </c>
      <c r="D1190" s="534" t="s">
        <v>4163</v>
      </c>
      <c r="E1190" s="509" t="str">
        <f>IF('GPS Anthro Tool'!$B$4=1,"North America FMVSS","")</f>
        <v>North America FMVSS</v>
      </c>
      <c r="F1190" s="507" t="s">
        <v>4242</v>
      </c>
      <c r="G1190" s="520"/>
      <c r="H1190" s="507" t="s">
        <v>1598</v>
      </c>
      <c r="I1190" s="507"/>
      <c r="J1190" s="519" t="s">
        <v>3960</v>
      </c>
      <c r="K1190" s="527" t="s">
        <v>605</v>
      </c>
      <c r="L1190" s="526" t="s">
        <v>315</v>
      </c>
      <c r="M1190" s="527" t="s">
        <v>315</v>
      </c>
      <c r="N1190" s="528" t="s">
        <v>315</v>
      </c>
      <c r="O1190" s="663"/>
      <c r="P1190" s="666"/>
      <c r="Q1190" s="566"/>
      <c r="R1190" s="530"/>
      <c r="S1190" s="530" t="s">
        <v>315</v>
      </c>
      <c r="T1190" s="657" t="s">
        <v>315</v>
      </c>
    </row>
    <row r="1191" spans="1:20" s="508" customFormat="1" ht="75" hidden="1">
      <c r="A1191" s="518"/>
      <c r="B1191" s="507" t="s">
        <v>1454</v>
      </c>
      <c r="C1191" s="534" t="s">
        <v>1483</v>
      </c>
      <c r="D1191" s="534" t="s">
        <v>4164</v>
      </c>
      <c r="E1191" s="509" t="str">
        <f>IF('GPS Anthro Tool'!$B$4=1,"North America FMVSS","")</f>
        <v>North America FMVSS</v>
      </c>
      <c r="F1191" s="507" t="s">
        <v>4242</v>
      </c>
      <c r="G1191" s="520"/>
      <c r="H1191" s="507" t="s">
        <v>1599</v>
      </c>
      <c r="I1191" s="507"/>
      <c r="J1191" s="519" t="s">
        <v>3960</v>
      </c>
      <c r="K1191" s="527" t="s">
        <v>605</v>
      </c>
      <c r="L1191" s="526" t="s">
        <v>315</v>
      </c>
      <c r="M1191" s="527" t="s">
        <v>315</v>
      </c>
      <c r="N1191" s="528" t="s">
        <v>315</v>
      </c>
      <c r="O1191" s="663"/>
      <c r="P1191" s="666"/>
      <c r="Q1191" s="566"/>
      <c r="R1191" s="530"/>
      <c r="S1191" s="530" t="s">
        <v>315</v>
      </c>
      <c r="T1191" s="657" t="s">
        <v>315</v>
      </c>
    </row>
    <row r="1192" spans="1:20" s="508" customFormat="1" ht="105" hidden="1">
      <c r="A1192" s="518"/>
      <c r="B1192" s="507" t="s">
        <v>1454</v>
      </c>
      <c r="C1192" s="534" t="s">
        <v>1483</v>
      </c>
      <c r="D1192" s="534" t="s">
        <v>4165</v>
      </c>
      <c r="E1192" s="509" t="str">
        <f>IF('GPS Anthro Tool'!$B$4=1,"North America FMVSS","")</f>
        <v>North America FMVSS</v>
      </c>
      <c r="F1192" s="507" t="s">
        <v>4242</v>
      </c>
      <c r="G1192" s="520"/>
      <c r="H1192" s="507" t="s">
        <v>1600</v>
      </c>
      <c r="I1192" s="507"/>
      <c r="J1192" s="519" t="s">
        <v>3960</v>
      </c>
      <c r="K1192" s="527" t="s">
        <v>605</v>
      </c>
      <c r="L1192" s="526" t="s">
        <v>315</v>
      </c>
      <c r="M1192" s="527" t="s">
        <v>315</v>
      </c>
      <c r="N1192" s="528" t="s">
        <v>315</v>
      </c>
      <c r="O1192" s="663"/>
      <c r="P1192" s="666"/>
      <c r="Q1192" s="566"/>
      <c r="R1192" s="530"/>
      <c r="S1192" s="530" t="s">
        <v>315</v>
      </c>
      <c r="T1192" s="657" t="s">
        <v>315</v>
      </c>
    </row>
    <row r="1193" spans="1:20" s="508" customFormat="1" ht="90" hidden="1">
      <c r="A1193" s="518"/>
      <c r="B1193" s="507" t="s">
        <v>1454</v>
      </c>
      <c r="C1193" s="534" t="s">
        <v>1483</v>
      </c>
      <c r="D1193" s="534" t="s">
        <v>4166</v>
      </c>
      <c r="E1193" s="509" t="str">
        <f>IF('GPS Anthro Tool'!$B$4=1,"North America FMVSS","")</f>
        <v>North America FMVSS</v>
      </c>
      <c r="F1193" s="507" t="s">
        <v>4242</v>
      </c>
      <c r="G1193" s="520"/>
      <c r="H1193" s="507" t="s">
        <v>1601</v>
      </c>
      <c r="I1193" s="507"/>
      <c r="J1193" s="519" t="s">
        <v>3960</v>
      </c>
      <c r="K1193" s="527" t="s">
        <v>605</v>
      </c>
      <c r="L1193" s="526" t="s">
        <v>315</v>
      </c>
      <c r="M1193" s="527" t="s">
        <v>315</v>
      </c>
      <c r="N1193" s="528" t="s">
        <v>315</v>
      </c>
      <c r="O1193" s="663"/>
      <c r="P1193" s="666"/>
      <c r="Q1193" s="566"/>
      <c r="R1193" s="530"/>
      <c r="S1193" s="530" t="s">
        <v>315</v>
      </c>
      <c r="T1193" s="657" t="s">
        <v>315</v>
      </c>
    </row>
    <row r="1194" spans="1:20" s="508" customFormat="1" ht="105" hidden="1">
      <c r="A1194" s="518"/>
      <c r="B1194" s="507" t="s">
        <v>1454</v>
      </c>
      <c r="C1194" s="534" t="s">
        <v>1483</v>
      </c>
      <c r="D1194" s="534" t="s">
        <v>4167</v>
      </c>
      <c r="E1194" s="509" t="str">
        <f>IF('GPS Anthro Tool'!$B$4=1,"North America FMVSS","")</f>
        <v>North America FMVSS</v>
      </c>
      <c r="F1194" s="507" t="s">
        <v>4242</v>
      </c>
      <c r="G1194" s="520"/>
      <c r="H1194" s="507" t="s">
        <v>1602</v>
      </c>
      <c r="I1194" s="507"/>
      <c r="J1194" s="519" t="s">
        <v>3960</v>
      </c>
      <c r="K1194" s="527" t="s">
        <v>605</v>
      </c>
      <c r="L1194" s="526" t="s">
        <v>315</v>
      </c>
      <c r="M1194" s="527" t="s">
        <v>315</v>
      </c>
      <c r="N1194" s="528" t="s">
        <v>315</v>
      </c>
      <c r="O1194" s="663"/>
      <c r="P1194" s="666"/>
      <c r="Q1194" s="566"/>
      <c r="R1194" s="530"/>
      <c r="S1194" s="530" t="s">
        <v>315</v>
      </c>
      <c r="T1194" s="657" t="s">
        <v>315</v>
      </c>
    </row>
    <row r="1195" spans="1:20" s="508" customFormat="1" ht="120" hidden="1">
      <c r="A1195" s="518"/>
      <c r="B1195" s="507" t="s">
        <v>1454</v>
      </c>
      <c r="C1195" s="534" t="s">
        <v>1483</v>
      </c>
      <c r="D1195" s="534" t="s">
        <v>4168</v>
      </c>
      <c r="E1195" s="509" t="str">
        <f>IF('GPS Anthro Tool'!$B$4=1,"North America FMVSS","")</f>
        <v>North America FMVSS</v>
      </c>
      <c r="F1195" s="507" t="s">
        <v>4242</v>
      </c>
      <c r="G1195" s="520"/>
      <c r="H1195" s="507" t="s">
        <v>1603</v>
      </c>
      <c r="I1195" s="507"/>
      <c r="J1195" s="519" t="s">
        <v>3960</v>
      </c>
      <c r="K1195" s="527" t="s">
        <v>605</v>
      </c>
      <c r="L1195" s="526" t="s">
        <v>315</v>
      </c>
      <c r="M1195" s="527" t="s">
        <v>315</v>
      </c>
      <c r="N1195" s="528" t="s">
        <v>315</v>
      </c>
      <c r="O1195" s="663"/>
      <c r="P1195" s="666"/>
      <c r="Q1195" s="566"/>
      <c r="R1195" s="530"/>
      <c r="S1195" s="530" t="s">
        <v>315</v>
      </c>
      <c r="T1195" s="657" t="s">
        <v>315</v>
      </c>
    </row>
    <row r="1196" spans="1:20" s="508" customFormat="1" ht="165" hidden="1">
      <c r="A1196" s="518"/>
      <c r="B1196" s="507" t="s">
        <v>1454</v>
      </c>
      <c r="C1196" s="534" t="s">
        <v>1483</v>
      </c>
      <c r="D1196" s="534" t="s">
        <v>4169</v>
      </c>
      <c r="E1196" s="509" t="str">
        <f>IF('GPS Anthro Tool'!$B$4=1,"North America FMVSS","")</f>
        <v>North America FMVSS</v>
      </c>
      <c r="F1196" s="507" t="s">
        <v>4242</v>
      </c>
      <c r="G1196" s="520"/>
      <c r="H1196" s="507" t="s">
        <v>1604</v>
      </c>
      <c r="I1196" s="507"/>
      <c r="J1196" s="519" t="s">
        <v>3960</v>
      </c>
      <c r="K1196" s="527" t="s">
        <v>605</v>
      </c>
      <c r="L1196" s="526" t="s">
        <v>315</v>
      </c>
      <c r="M1196" s="527" t="s">
        <v>315</v>
      </c>
      <c r="N1196" s="528" t="s">
        <v>315</v>
      </c>
      <c r="O1196" s="663"/>
      <c r="P1196" s="666"/>
      <c r="Q1196" s="566"/>
      <c r="R1196" s="530"/>
      <c r="S1196" s="530" t="s">
        <v>315</v>
      </c>
      <c r="T1196" s="657" t="s">
        <v>315</v>
      </c>
    </row>
    <row r="1197" spans="1:20" s="508" customFormat="1" ht="105" hidden="1">
      <c r="A1197" s="518"/>
      <c r="B1197" s="507" t="s">
        <v>1454</v>
      </c>
      <c r="C1197" s="534" t="s">
        <v>1483</v>
      </c>
      <c r="D1197" s="534" t="s">
        <v>4170</v>
      </c>
      <c r="E1197" s="509" t="str">
        <f>IF('GPS Anthro Tool'!$B$4=1,"North America FMVSS","")</f>
        <v>North America FMVSS</v>
      </c>
      <c r="F1197" s="507" t="s">
        <v>4242</v>
      </c>
      <c r="G1197" s="520"/>
      <c r="H1197" s="507" t="s">
        <v>1605</v>
      </c>
      <c r="I1197" s="507"/>
      <c r="J1197" s="519" t="s">
        <v>3960</v>
      </c>
      <c r="K1197" s="527" t="s">
        <v>605</v>
      </c>
      <c r="L1197" s="526" t="s">
        <v>315</v>
      </c>
      <c r="M1197" s="527" t="s">
        <v>315</v>
      </c>
      <c r="N1197" s="528" t="s">
        <v>315</v>
      </c>
      <c r="O1197" s="663"/>
      <c r="P1197" s="666"/>
      <c r="Q1197" s="566"/>
      <c r="R1197" s="530"/>
      <c r="S1197" s="530" t="s">
        <v>315</v>
      </c>
      <c r="T1197" s="657" t="s">
        <v>315</v>
      </c>
    </row>
    <row r="1198" spans="1:20" s="508" customFormat="1" ht="90" hidden="1">
      <c r="A1198" s="518"/>
      <c r="B1198" s="507" t="s">
        <v>1454</v>
      </c>
      <c r="C1198" s="534" t="s">
        <v>1483</v>
      </c>
      <c r="D1198" s="534" t="s">
        <v>4171</v>
      </c>
      <c r="E1198" s="509" t="str">
        <f>IF('GPS Anthro Tool'!$B$4=1,"North America FMVSS","")</f>
        <v>North America FMVSS</v>
      </c>
      <c r="F1198" s="507" t="s">
        <v>4242</v>
      </c>
      <c r="G1198" s="520"/>
      <c r="H1198" s="507" t="s">
        <v>1606</v>
      </c>
      <c r="I1198" s="507"/>
      <c r="J1198" s="519" t="s">
        <v>3960</v>
      </c>
      <c r="K1198" s="527" t="s">
        <v>605</v>
      </c>
      <c r="L1198" s="526" t="s">
        <v>315</v>
      </c>
      <c r="M1198" s="527" t="s">
        <v>315</v>
      </c>
      <c r="N1198" s="528" t="s">
        <v>315</v>
      </c>
      <c r="O1198" s="663"/>
      <c r="P1198" s="666"/>
      <c r="Q1198" s="566"/>
      <c r="R1198" s="530"/>
      <c r="S1198" s="530" t="s">
        <v>315</v>
      </c>
      <c r="T1198" s="657" t="s">
        <v>315</v>
      </c>
    </row>
    <row r="1199" spans="1:20" s="508" customFormat="1" ht="90" hidden="1">
      <c r="A1199" s="518"/>
      <c r="B1199" s="507" t="s">
        <v>1454</v>
      </c>
      <c r="C1199" s="534" t="s">
        <v>1483</v>
      </c>
      <c r="D1199" s="534" t="s">
        <v>4172</v>
      </c>
      <c r="E1199" s="509" t="str">
        <f>IF('GPS Anthro Tool'!$B$4=1,"North America FMVSS","")</f>
        <v>North America FMVSS</v>
      </c>
      <c r="F1199" s="507" t="s">
        <v>4242</v>
      </c>
      <c r="G1199" s="520"/>
      <c r="H1199" s="507" t="s">
        <v>1607</v>
      </c>
      <c r="I1199" s="507"/>
      <c r="J1199" s="519" t="s">
        <v>3960</v>
      </c>
      <c r="K1199" s="527" t="s">
        <v>605</v>
      </c>
      <c r="L1199" s="526" t="s">
        <v>315</v>
      </c>
      <c r="M1199" s="527" t="s">
        <v>315</v>
      </c>
      <c r="N1199" s="528" t="s">
        <v>315</v>
      </c>
      <c r="O1199" s="663"/>
      <c r="P1199" s="666"/>
      <c r="Q1199" s="566"/>
      <c r="R1199" s="530"/>
      <c r="S1199" s="530" t="s">
        <v>315</v>
      </c>
      <c r="T1199" s="657" t="s">
        <v>315</v>
      </c>
    </row>
    <row r="1200" spans="1:20" s="508" customFormat="1" ht="75" hidden="1">
      <c r="A1200" s="518"/>
      <c r="B1200" s="507" t="s">
        <v>1454</v>
      </c>
      <c r="C1200" s="534" t="s">
        <v>1483</v>
      </c>
      <c r="D1200" s="534" t="s">
        <v>4173</v>
      </c>
      <c r="E1200" s="509" t="str">
        <f>IF('GPS Anthro Tool'!$B$4=1,"North America FMVSS","")</f>
        <v>North America FMVSS</v>
      </c>
      <c r="F1200" s="507" t="s">
        <v>4242</v>
      </c>
      <c r="G1200" s="520"/>
      <c r="H1200" s="507" t="s">
        <v>1608</v>
      </c>
      <c r="I1200" s="507"/>
      <c r="J1200" s="519" t="s">
        <v>3960</v>
      </c>
      <c r="K1200" s="527" t="s">
        <v>605</v>
      </c>
      <c r="L1200" s="526" t="s">
        <v>315</v>
      </c>
      <c r="M1200" s="527" t="s">
        <v>315</v>
      </c>
      <c r="N1200" s="528" t="s">
        <v>315</v>
      </c>
      <c r="O1200" s="663"/>
      <c r="P1200" s="666"/>
      <c r="Q1200" s="566"/>
      <c r="R1200" s="530"/>
      <c r="S1200" s="530" t="s">
        <v>315</v>
      </c>
      <c r="T1200" s="657" t="s">
        <v>315</v>
      </c>
    </row>
    <row r="1201" spans="1:20" s="508" customFormat="1" ht="45" hidden="1">
      <c r="A1201" s="518"/>
      <c r="B1201" s="507" t="s">
        <v>1454</v>
      </c>
      <c r="C1201" s="534" t="s">
        <v>1483</v>
      </c>
      <c r="D1201" s="534" t="s">
        <v>4174</v>
      </c>
      <c r="E1201" s="509" t="str">
        <f>IF('GPS Anthro Tool'!$B$4=1,"North America FMVSS","")</f>
        <v>North America FMVSS</v>
      </c>
      <c r="F1201" s="507" t="s">
        <v>4242</v>
      </c>
      <c r="G1201" s="520"/>
      <c r="H1201" s="507" t="s">
        <v>1609</v>
      </c>
      <c r="I1201" s="507"/>
      <c r="J1201" s="519" t="s">
        <v>3960</v>
      </c>
      <c r="K1201" s="527" t="s">
        <v>605</v>
      </c>
      <c r="L1201" s="526" t="s">
        <v>315</v>
      </c>
      <c r="M1201" s="527" t="s">
        <v>315</v>
      </c>
      <c r="N1201" s="528" t="s">
        <v>315</v>
      </c>
      <c r="O1201" s="663"/>
      <c r="P1201" s="666"/>
      <c r="Q1201" s="566"/>
      <c r="R1201" s="530"/>
      <c r="S1201" s="530" t="s">
        <v>315</v>
      </c>
      <c r="T1201" s="657" t="s">
        <v>315</v>
      </c>
    </row>
    <row r="1202" spans="1:20" s="508" customFormat="1" ht="105" hidden="1">
      <c r="A1202" s="518"/>
      <c r="B1202" s="507" t="s">
        <v>1454</v>
      </c>
      <c r="C1202" s="534" t="s">
        <v>1483</v>
      </c>
      <c r="D1202" s="534" t="s">
        <v>4175</v>
      </c>
      <c r="E1202" s="509" t="str">
        <f>IF('GPS Anthro Tool'!$B$4=1,"North America FMVSS","")</f>
        <v>North America FMVSS</v>
      </c>
      <c r="F1202" s="507" t="s">
        <v>4242</v>
      </c>
      <c r="G1202" s="520"/>
      <c r="H1202" s="507" t="s">
        <v>1610</v>
      </c>
      <c r="I1202" s="507"/>
      <c r="J1202" s="519" t="s">
        <v>3960</v>
      </c>
      <c r="K1202" s="527" t="s">
        <v>605</v>
      </c>
      <c r="L1202" s="526" t="s">
        <v>315</v>
      </c>
      <c r="M1202" s="527" t="s">
        <v>315</v>
      </c>
      <c r="N1202" s="528" t="s">
        <v>315</v>
      </c>
      <c r="O1202" s="663"/>
      <c r="P1202" s="666"/>
      <c r="Q1202" s="566"/>
      <c r="R1202" s="530"/>
      <c r="S1202" s="530" t="s">
        <v>315</v>
      </c>
      <c r="T1202" s="657" t="s">
        <v>315</v>
      </c>
    </row>
    <row r="1203" spans="1:20" s="508" customFormat="1" ht="195" hidden="1">
      <c r="A1203" s="518"/>
      <c r="B1203" s="507" t="s">
        <v>1454</v>
      </c>
      <c r="C1203" s="534" t="s">
        <v>1483</v>
      </c>
      <c r="D1203" s="534" t="s">
        <v>4176</v>
      </c>
      <c r="E1203" s="509" t="str">
        <f>IF('GPS Anthro Tool'!$B$4=1,"North America FMVSS","")</f>
        <v>North America FMVSS</v>
      </c>
      <c r="F1203" s="507" t="s">
        <v>4242</v>
      </c>
      <c r="G1203" s="520"/>
      <c r="H1203" s="507" t="s">
        <v>1611</v>
      </c>
      <c r="I1203" s="507"/>
      <c r="J1203" s="519" t="s">
        <v>3960</v>
      </c>
      <c r="K1203" s="527" t="s">
        <v>605</v>
      </c>
      <c r="L1203" s="526" t="s">
        <v>315</v>
      </c>
      <c r="M1203" s="527" t="s">
        <v>315</v>
      </c>
      <c r="N1203" s="528" t="s">
        <v>315</v>
      </c>
      <c r="O1203" s="663"/>
      <c r="P1203" s="666"/>
      <c r="Q1203" s="566"/>
      <c r="R1203" s="530"/>
      <c r="S1203" s="530" t="s">
        <v>315</v>
      </c>
      <c r="T1203" s="657" t="s">
        <v>315</v>
      </c>
    </row>
    <row r="1204" spans="1:20" s="508" customFormat="1" ht="225" hidden="1">
      <c r="A1204" s="518"/>
      <c r="B1204" s="507" t="s">
        <v>1454</v>
      </c>
      <c r="C1204" s="534" t="s">
        <v>1483</v>
      </c>
      <c r="D1204" s="534" t="s">
        <v>4177</v>
      </c>
      <c r="E1204" s="509" t="str">
        <f>IF('GPS Anthro Tool'!$B$4=1,"North America FMVSS","")</f>
        <v>North America FMVSS</v>
      </c>
      <c r="F1204" s="507" t="s">
        <v>4242</v>
      </c>
      <c r="G1204" s="520"/>
      <c r="H1204" s="507" t="s">
        <v>1612</v>
      </c>
      <c r="I1204" s="507"/>
      <c r="J1204" s="519" t="s">
        <v>3960</v>
      </c>
      <c r="K1204" s="527" t="s">
        <v>605</v>
      </c>
      <c r="L1204" s="526" t="s">
        <v>315</v>
      </c>
      <c r="M1204" s="527" t="s">
        <v>315</v>
      </c>
      <c r="N1204" s="528" t="s">
        <v>315</v>
      </c>
      <c r="O1204" s="663"/>
      <c r="P1204" s="666"/>
      <c r="Q1204" s="566"/>
      <c r="R1204" s="530"/>
      <c r="S1204" s="530" t="s">
        <v>315</v>
      </c>
      <c r="T1204" s="657" t="s">
        <v>315</v>
      </c>
    </row>
    <row r="1205" spans="1:20" s="508" customFormat="1" ht="150" hidden="1">
      <c r="A1205" s="518"/>
      <c r="B1205" s="507" t="s">
        <v>1454</v>
      </c>
      <c r="C1205" s="534" t="s">
        <v>1483</v>
      </c>
      <c r="D1205" s="534" t="s">
        <v>4178</v>
      </c>
      <c r="E1205" s="509" t="str">
        <f>IF('GPS Anthro Tool'!$B$4=1,"North America FMVSS","")</f>
        <v>North America FMVSS</v>
      </c>
      <c r="F1205" s="507" t="s">
        <v>4242</v>
      </c>
      <c r="G1205" s="520"/>
      <c r="H1205" s="507" t="s">
        <v>1613</v>
      </c>
      <c r="I1205" s="507"/>
      <c r="J1205" s="519" t="s">
        <v>3960</v>
      </c>
      <c r="K1205" s="527" t="s">
        <v>605</v>
      </c>
      <c r="L1205" s="526" t="s">
        <v>315</v>
      </c>
      <c r="M1205" s="527" t="s">
        <v>315</v>
      </c>
      <c r="N1205" s="528" t="s">
        <v>315</v>
      </c>
      <c r="O1205" s="663"/>
      <c r="P1205" s="666"/>
      <c r="Q1205" s="566"/>
      <c r="R1205" s="530"/>
      <c r="S1205" s="530" t="s">
        <v>315</v>
      </c>
      <c r="T1205" s="657" t="s">
        <v>315</v>
      </c>
    </row>
    <row r="1206" spans="1:20" s="508" customFormat="1" ht="195" hidden="1">
      <c r="A1206" s="518"/>
      <c r="B1206" s="507" t="s">
        <v>1614</v>
      </c>
      <c r="C1206" s="534" t="s">
        <v>1615</v>
      </c>
      <c r="D1206" s="534" t="s">
        <v>4179</v>
      </c>
      <c r="E1206" s="509" t="str">
        <f>IF('GPS Anthro Tool'!$B$4=1,"North America FMVSS","")</f>
        <v>North America FMVSS</v>
      </c>
      <c r="F1206" s="507" t="s">
        <v>4242</v>
      </c>
      <c r="G1206" s="520"/>
      <c r="H1206" s="509" t="s">
        <v>1751</v>
      </c>
      <c r="I1206" s="509"/>
      <c r="J1206" s="519" t="s">
        <v>3960</v>
      </c>
      <c r="K1206" s="527" t="s">
        <v>605</v>
      </c>
      <c r="L1206" s="526" t="s">
        <v>315</v>
      </c>
      <c r="M1206" s="527" t="s">
        <v>315</v>
      </c>
      <c r="N1206" s="528" t="s">
        <v>315</v>
      </c>
      <c r="O1206" s="663"/>
      <c r="P1206" s="666"/>
      <c r="Q1206" s="566"/>
      <c r="R1206" s="530"/>
      <c r="S1206" s="530" t="s">
        <v>315</v>
      </c>
      <c r="T1206" s="657" t="s">
        <v>315</v>
      </c>
    </row>
    <row r="1207" spans="1:20" s="508" customFormat="1" ht="240" hidden="1">
      <c r="A1207" s="518"/>
      <c r="B1207" s="507" t="s">
        <v>1614</v>
      </c>
      <c r="C1207" s="534" t="s">
        <v>1615</v>
      </c>
      <c r="D1207" s="534" t="s">
        <v>4180</v>
      </c>
      <c r="E1207" s="509" t="str">
        <f>IF('GPS Anthro Tool'!$B$4=1,"North America FMVSS","")</f>
        <v>North America FMVSS</v>
      </c>
      <c r="F1207" s="507" t="s">
        <v>4242</v>
      </c>
      <c r="G1207" s="520"/>
      <c r="H1207" s="509" t="s">
        <v>1752</v>
      </c>
      <c r="I1207" s="509"/>
      <c r="J1207" s="519" t="s">
        <v>3960</v>
      </c>
      <c r="K1207" s="527" t="s">
        <v>605</v>
      </c>
      <c r="L1207" s="526" t="s">
        <v>315</v>
      </c>
      <c r="M1207" s="527" t="s">
        <v>315</v>
      </c>
      <c r="N1207" s="528" t="s">
        <v>315</v>
      </c>
      <c r="O1207" s="663"/>
      <c r="P1207" s="666"/>
      <c r="Q1207" s="566"/>
      <c r="R1207" s="530"/>
      <c r="S1207" s="530" t="s">
        <v>315</v>
      </c>
      <c r="T1207" s="657" t="s">
        <v>315</v>
      </c>
    </row>
    <row r="1208" spans="1:20" s="508" customFormat="1" ht="105" hidden="1">
      <c r="A1208" s="518"/>
      <c r="B1208" s="507" t="s">
        <v>1614</v>
      </c>
      <c r="C1208" s="534" t="s">
        <v>1615</v>
      </c>
      <c r="D1208" s="534" t="s">
        <v>4181</v>
      </c>
      <c r="E1208" s="509" t="str">
        <f>IF('GPS Anthro Tool'!$B$4=1,"North America FMVSS","")</f>
        <v>North America FMVSS</v>
      </c>
      <c r="F1208" s="507" t="s">
        <v>4242</v>
      </c>
      <c r="G1208" s="520"/>
      <c r="H1208" s="509" t="s">
        <v>1753</v>
      </c>
      <c r="I1208" s="509"/>
      <c r="J1208" s="519" t="s">
        <v>3960</v>
      </c>
      <c r="K1208" s="527" t="s">
        <v>605</v>
      </c>
      <c r="L1208" s="526" t="s">
        <v>315</v>
      </c>
      <c r="M1208" s="527" t="s">
        <v>315</v>
      </c>
      <c r="N1208" s="528" t="s">
        <v>315</v>
      </c>
      <c r="O1208" s="663"/>
      <c r="P1208" s="666"/>
      <c r="Q1208" s="566"/>
      <c r="R1208" s="530"/>
      <c r="S1208" s="530" t="s">
        <v>315</v>
      </c>
      <c r="T1208" s="657" t="s">
        <v>315</v>
      </c>
    </row>
    <row r="1209" spans="1:20" s="508" customFormat="1" ht="90" hidden="1">
      <c r="A1209" s="518"/>
      <c r="B1209" s="507" t="s">
        <v>1614</v>
      </c>
      <c r="C1209" s="534" t="s">
        <v>1615</v>
      </c>
      <c r="D1209" s="534" t="s">
        <v>4192</v>
      </c>
      <c r="E1209" s="509" t="str">
        <f>IF('GPS Anthro Tool'!$B$4=1,"North America FMVSS","")</f>
        <v>North America FMVSS</v>
      </c>
      <c r="F1209" s="507" t="s">
        <v>4242</v>
      </c>
      <c r="G1209" s="520"/>
      <c r="H1209" s="509" t="s">
        <v>1765</v>
      </c>
      <c r="I1209" s="509"/>
      <c r="J1209" s="519" t="s">
        <v>3960</v>
      </c>
      <c r="K1209" s="527" t="s">
        <v>605</v>
      </c>
      <c r="L1209" s="526" t="s">
        <v>315</v>
      </c>
      <c r="M1209" s="527" t="s">
        <v>315</v>
      </c>
      <c r="N1209" s="528" t="s">
        <v>315</v>
      </c>
      <c r="O1209" s="663"/>
      <c r="P1209" s="666"/>
      <c r="Q1209" s="566"/>
      <c r="R1209" s="530"/>
      <c r="S1209" s="535" t="s">
        <v>1757</v>
      </c>
      <c r="T1209" s="657" t="s">
        <v>315</v>
      </c>
    </row>
    <row r="1210" spans="1:20" s="508" customFormat="1" ht="60" hidden="1">
      <c r="A1210" s="518"/>
      <c r="B1210" s="507" t="s">
        <v>1614</v>
      </c>
      <c r="C1210" s="534" t="s">
        <v>1615</v>
      </c>
      <c r="D1210" s="534" t="s">
        <v>4193</v>
      </c>
      <c r="E1210" s="509" t="str">
        <f>IF('GPS Anthro Tool'!$B$4=1,"North America FMVSS","")</f>
        <v>North America FMVSS</v>
      </c>
      <c r="F1210" s="507" t="s">
        <v>4242</v>
      </c>
      <c r="G1210" s="520"/>
      <c r="H1210" s="509" t="s">
        <v>1766</v>
      </c>
      <c r="I1210" s="509"/>
      <c r="J1210" s="519" t="s">
        <v>3960</v>
      </c>
      <c r="K1210" s="527" t="s">
        <v>605</v>
      </c>
      <c r="L1210" s="526" t="s">
        <v>315</v>
      </c>
      <c r="M1210" s="527" t="s">
        <v>315</v>
      </c>
      <c r="N1210" s="528" t="s">
        <v>315</v>
      </c>
      <c r="O1210" s="663"/>
      <c r="P1210" s="666"/>
      <c r="Q1210" s="566"/>
      <c r="R1210" s="530"/>
      <c r="S1210" s="535" t="s">
        <v>1757</v>
      </c>
      <c r="T1210" s="657" t="s">
        <v>315</v>
      </c>
    </row>
    <row r="1211" spans="1:20" s="508" customFormat="1" ht="75" hidden="1">
      <c r="A1211" s="518"/>
      <c r="B1211" s="507" t="s">
        <v>1614</v>
      </c>
      <c r="C1211" s="534" t="s">
        <v>1615</v>
      </c>
      <c r="D1211" s="534" t="s">
        <v>4194</v>
      </c>
      <c r="E1211" s="509" t="str">
        <f>IF('GPS Anthro Tool'!$B$4=1,"North America FMVSS","")</f>
        <v>North America FMVSS</v>
      </c>
      <c r="F1211" s="507" t="s">
        <v>4242</v>
      </c>
      <c r="G1211" s="520"/>
      <c r="H1211" s="509" t="s">
        <v>1767</v>
      </c>
      <c r="I1211" s="509"/>
      <c r="J1211" s="519" t="s">
        <v>3960</v>
      </c>
      <c r="K1211" s="527" t="s">
        <v>605</v>
      </c>
      <c r="L1211" s="526" t="s">
        <v>315</v>
      </c>
      <c r="M1211" s="527" t="s">
        <v>315</v>
      </c>
      <c r="N1211" s="528" t="s">
        <v>315</v>
      </c>
      <c r="O1211" s="663"/>
      <c r="P1211" s="666"/>
      <c r="Q1211" s="566"/>
      <c r="R1211" s="530"/>
      <c r="S1211" s="535" t="s">
        <v>1757</v>
      </c>
      <c r="T1211" s="657" t="s">
        <v>315</v>
      </c>
    </row>
    <row r="1212" spans="1:20" s="508" customFormat="1" ht="270" hidden="1">
      <c r="A1212" s="518"/>
      <c r="B1212" s="507" t="s">
        <v>1614</v>
      </c>
      <c r="C1212" s="534" t="s">
        <v>1615</v>
      </c>
      <c r="D1212" s="534" t="s">
        <v>4195</v>
      </c>
      <c r="E1212" s="509" t="str">
        <f>IF('GPS Anthro Tool'!$B$4=1,"North America FMVSS","")</f>
        <v>North America FMVSS</v>
      </c>
      <c r="F1212" s="507" t="s">
        <v>4242</v>
      </c>
      <c r="G1212" s="520"/>
      <c r="H1212" s="509" t="s">
        <v>1768</v>
      </c>
      <c r="I1212" s="509"/>
      <c r="J1212" s="519" t="s">
        <v>3960</v>
      </c>
      <c r="K1212" s="527" t="s">
        <v>605</v>
      </c>
      <c r="L1212" s="526" t="s">
        <v>315</v>
      </c>
      <c r="M1212" s="527" t="s">
        <v>315</v>
      </c>
      <c r="N1212" s="528" t="s">
        <v>315</v>
      </c>
      <c r="O1212" s="663"/>
      <c r="P1212" s="666"/>
      <c r="Q1212" s="566"/>
      <c r="R1212" s="530"/>
      <c r="S1212" s="535" t="s">
        <v>1757</v>
      </c>
      <c r="T1212" s="657" t="s">
        <v>315</v>
      </c>
    </row>
    <row r="1213" spans="1:20" s="508" customFormat="1" ht="195" hidden="1">
      <c r="A1213" s="518"/>
      <c r="B1213" s="507" t="s">
        <v>1614</v>
      </c>
      <c r="C1213" s="534" t="s">
        <v>1615</v>
      </c>
      <c r="D1213" s="534" t="s">
        <v>4196</v>
      </c>
      <c r="E1213" s="509" t="str">
        <f>IF('GPS Anthro Tool'!$B$4=1,"North America FMVSS","")</f>
        <v>North America FMVSS</v>
      </c>
      <c r="F1213" s="507" t="s">
        <v>4242</v>
      </c>
      <c r="G1213" s="520"/>
      <c r="H1213" s="509" t="s">
        <v>1769</v>
      </c>
      <c r="I1213" s="509"/>
      <c r="J1213" s="519" t="s">
        <v>3960</v>
      </c>
      <c r="K1213" s="527" t="s">
        <v>605</v>
      </c>
      <c r="L1213" s="526" t="s">
        <v>315</v>
      </c>
      <c r="M1213" s="527" t="s">
        <v>315</v>
      </c>
      <c r="N1213" s="528" t="s">
        <v>315</v>
      </c>
      <c r="O1213" s="663"/>
      <c r="P1213" s="666"/>
      <c r="Q1213" s="566"/>
      <c r="R1213" s="530"/>
      <c r="S1213" s="535" t="s">
        <v>1757</v>
      </c>
      <c r="T1213" s="657" t="s">
        <v>315</v>
      </c>
    </row>
    <row r="1214" spans="1:20" s="508" customFormat="1" ht="75" hidden="1">
      <c r="A1214" s="518"/>
      <c r="B1214" s="507" t="s">
        <v>1614</v>
      </c>
      <c r="C1214" s="534" t="s">
        <v>1615</v>
      </c>
      <c r="D1214" s="534" t="s">
        <v>4197</v>
      </c>
      <c r="E1214" s="509" t="str">
        <f>IF('GPS Anthro Tool'!$B$4=1,"North America FMVSS","")</f>
        <v>North America FMVSS</v>
      </c>
      <c r="F1214" s="507" t="s">
        <v>4242</v>
      </c>
      <c r="G1214" s="520"/>
      <c r="H1214" s="509" t="s">
        <v>1770</v>
      </c>
      <c r="I1214" s="509"/>
      <c r="J1214" s="519" t="s">
        <v>3960</v>
      </c>
      <c r="K1214" s="527" t="s">
        <v>605</v>
      </c>
      <c r="L1214" s="526" t="s">
        <v>315</v>
      </c>
      <c r="M1214" s="527" t="s">
        <v>315</v>
      </c>
      <c r="N1214" s="528" t="s">
        <v>315</v>
      </c>
      <c r="O1214" s="663"/>
      <c r="P1214" s="666"/>
      <c r="Q1214" s="566"/>
      <c r="R1214" s="530"/>
      <c r="S1214" s="535" t="s">
        <v>1757</v>
      </c>
      <c r="T1214" s="657" t="s">
        <v>315</v>
      </c>
    </row>
    <row r="1215" spans="1:20" s="508" customFormat="1" ht="210" hidden="1">
      <c r="A1215" s="518"/>
      <c r="B1215" s="507" t="s">
        <v>1614</v>
      </c>
      <c r="C1215" s="534" t="s">
        <v>1615</v>
      </c>
      <c r="D1215" s="534" t="s">
        <v>4198</v>
      </c>
      <c r="E1215" s="509" t="str">
        <f>IF('GPS Anthro Tool'!$B$4=1,"North America FMVSS","")</f>
        <v>North America FMVSS</v>
      </c>
      <c r="F1215" s="507" t="s">
        <v>4242</v>
      </c>
      <c r="G1215" s="520"/>
      <c r="H1215" s="509" t="s">
        <v>1771</v>
      </c>
      <c r="I1215" s="509"/>
      <c r="J1215" s="519" t="s">
        <v>3960</v>
      </c>
      <c r="K1215" s="527" t="s">
        <v>605</v>
      </c>
      <c r="L1215" s="526" t="s">
        <v>315</v>
      </c>
      <c r="M1215" s="527" t="s">
        <v>315</v>
      </c>
      <c r="N1215" s="528" t="s">
        <v>315</v>
      </c>
      <c r="O1215" s="663"/>
      <c r="P1215" s="666"/>
      <c r="Q1215" s="566"/>
      <c r="R1215" s="530"/>
      <c r="S1215" s="535" t="s">
        <v>1757</v>
      </c>
      <c r="T1215" s="657" t="s">
        <v>315</v>
      </c>
    </row>
    <row r="1216" spans="1:20" s="508" customFormat="1" ht="45" hidden="1">
      <c r="A1216" s="518"/>
      <c r="B1216" s="507" t="s">
        <v>1614</v>
      </c>
      <c r="C1216" s="534" t="s">
        <v>1615</v>
      </c>
      <c r="D1216" s="534" t="s">
        <v>4199</v>
      </c>
      <c r="E1216" s="509" t="str">
        <f>IF('GPS Anthro Tool'!$B$4=1,"North America FMVSS","")</f>
        <v>North America FMVSS</v>
      </c>
      <c r="F1216" s="507" t="s">
        <v>4242</v>
      </c>
      <c r="G1216" s="520"/>
      <c r="H1216" s="509" t="s">
        <v>1772</v>
      </c>
      <c r="I1216" s="509"/>
      <c r="J1216" s="519" t="s">
        <v>3960</v>
      </c>
      <c r="K1216" s="527" t="s">
        <v>605</v>
      </c>
      <c r="L1216" s="526" t="s">
        <v>315</v>
      </c>
      <c r="M1216" s="527" t="s">
        <v>315</v>
      </c>
      <c r="N1216" s="528" t="s">
        <v>315</v>
      </c>
      <c r="O1216" s="663"/>
      <c r="P1216" s="666"/>
      <c r="Q1216" s="566"/>
      <c r="R1216" s="530"/>
      <c r="S1216" s="535" t="s">
        <v>1757</v>
      </c>
      <c r="T1216" s="657" t="s">
        <v>315</v>
      </c>
    </row>
    <row r="1217" spans="1:20" s="508" customFormat="1" ht="300" hidden="1">
      <c r="A1217" s="518"/>
      <c r="B1217" s="507" t="s">
        <v>1614</v>
      </c>
      <c r="C1217" s="534" t="s">
        <v>1615</v>
      </c>
      <c r="D1217" s="534" t="s">
        <v>4199</v>
      </c>
      <c r="E1217" s="509" t="str">
        <f>IF('GPS Anthro Tool'!$B$4=1,"North America FMVSS","")</f>
        <v>North America FMVSS</v>
      </c>
      <c r="F1217" s="507" t="s">
        <v>4242</v>
      </c>
      <c r="G1217" s="520"/>
      <c r="H1217" s="509" t="s">
        <v>1773</v>
      </c>
      <c r="I1217" s="509"/>
      <c r="J1217" s="519" t="s">
        <v>3960</v>
      </c>
      <c r="K1217" s="527" t="s">
        <v>605</v>
      </c>
      <c r="L1217" s="526" t="s">
        <v>315</v>
      </c>
      <c r="M1217" s="527" t="s">
        <v>315</v>
      </c>
      <c r="N1217" s="528" t="s">
        <v>315</v>
      </c>
      <c r="O1217" s="663"/>
      <c r="P1217" s="666"/>
      <c r="Q1217" s="566"/>
      <c r="R1217" s="530"/>
      <c r="S1217" s="535" t="s">
        <v>1757</v>
      </c>
      <c r="T1217" s="657" t="s">
        <v>315</v>
      </c>
    </row>
    <row r="1218" spans="1:20" s="508" customFormat="1" ht="150" hidden="1">
      <c r="A1218" s="518"/>
      <c r="B1218" s="507" t="s">
        <v>1614</v>
      </c>
      <c r="C1218" s="534" t="s">
        <v>1615</v>
      </c>
      <c r="D1218" s="534" t="s">
        <v>4200</v>
      </c>
      <c r="E1218" s="509" t="str">
        <f>IF('GPS Anthro Tool'!$B$4=1,"North America FMVSS","")</f>
        <v>North America FMVSS</v>
      </c>
      <c r="F1218" s="507" t="s">
        <v>4242</v>
      </c>
      <c r="G1218" s="520"/>
      <c r="H1218" s="509" t="s">
        <v>1774</v>
      </c>
      <c r="I1218" s="509"/>
      <c r="J1218" s="519" t="s">
        <v>3960</v>
      </c>
      <c r="K1218" s="527" t="s">
        <v>605</v>
      </c>
      <c r="L1218" s="526" t="s">
        <v>315</v>
      </c>
      <c r="M1218" s="527" t="s">
        <v>315</v>
      </c>
      <c r="N1218" s="528" t="s">
        <v>315</v>
      </c>
      <c r="O1218" s="663"/>
      <c r="P1218" s="666"/>
      <c r="Q1218" s="566"/>
      <c r="R1218" s="530"/>
      <c r="S1218" s="535" t="s">
        <v>1757</v>
      </c>
      <c r="T1218" s="657" t="s">
        <v>315</v>
      </c>
    </row>
    <row r="1219" spans="1:20" s="508" customFormat="1" ht="90" hidden="1">
      <c r="A1219" s="518"/>
      <c r="B1219" s="507" t="s">
        <v>1614</v>
      </c>
      <c r="C1219" s="534" t="s">
        <v>1615</v>
      </c>
      <c r="D1219" s="534" t="s">
        <v>4182</v>
      </c>
      <c r="E1219" s="509" t="str">
        <f>IF('GPS Anthro Tool'!$B$4=1,"North America FMVSS","")</f>
        <v>North America FMVSS</v>
      </c>
      <c r="F1219" s="507" t="s">
        <v>4242</v>
      </c>
      <c r="G1219" s="520"/>
      <c r="H1219" s="509" t="s">
        <v>1754</v>
      </c>
      <c r="I1219" s="509"/>
      <c r="J1219" s="519" t="s">
        <v>3960</v>
      </c>
      <c r="K1219" s="527" t="s">
        <v>605</v>
      </c>
      <c r="L1219" s="526" t="s">
        <v>315</v>
      </c>
      <c r="M1219" s="527" t="s">
        <v>315</v>
      </c>
      <c r="N1219" s="528" t="s">
        <v>315</v>
      </c>
      <c r="O1219" s="663"/>
      <c r="P1219" s="666"/>
      <c r="Q1219" s="566"/>
      <c r="R1219" s="530"/>
      <c r="S1219" s="530" t="s">
        <v>315</v>
      </c>
      <c r="T1219" s="657" t="s">
        <v>315</v>
      </c>
    </row>
    <row r="1220" spans="1:20" s="508" customFormat="1" ht="75" hidden="1">
      <c r="A1220" s="518"/>
      <c r="B1220" s="507" t="s">
        <v>1614</v>
      </c>
      <c r="C1220" s="534" t="s">
        <v>1615</v>
      </c>
      <c r="D1220" s="534" t="s">
        <v>4183</v>
      </c>
      <c r="E1220" s="509" t="str">
        <f>IF('GPS Anthro Tool'!$B$4=1,"North America FMVSS","")</f>
        <v>North America FMVSS</v>
      </c>
      <c r="F1220" s="507" t="s">
        <v>4242</v>
      </c>
      <c r="G1220" s="520"/>
      <c r="H1220" s="509" t="s">
        <v>1755</v>
      </c>
      <c r="I1220" s="509"/>
      <c r="J1220" s="519" t="s">
        <v>3960</v>
      </c>
      <c r="K1220" s="527" t="s">
        <v>605</v>
      </c>
      <c r="L1220" s="526" t="s">
        <v>315</v>
      </c>
      <c r="M1220" s="527" t="s">
        <v>315</v>
      </c>
      <c r="N1220" s="528" t="s">
        <v>315</v>
      </c>
      <c r="O1220" s="663"/>
      <c r="P1220" s="666"/>
      <c r="Q1220" s="566"/>
      <c r="R1220" s="530"/>
      <c r="S1220" s="530" t="s">
        <v>315</v>
      </c>
      <c r="T1220" s="657" t="s">
        <v>315</v>
      </c>
    </row>
    <row r="1221" spans="1:20" s="508" customFormat="1" ht="60" hidden="1">
      <c r="A1221" s="518"/>
      <c r="B1221" s="507" t="s">
        <v>1614</v>
      </c>
      <c r="C1221" s="534" t="s">
        <v>1615</v>
      </c>
      <c r="D1221" s="534" t="s">
        <v>4184</v>
      </c>
      <c r="E1221" s="509" t="str">
        <f>IF('GPS Anthro Tool'!$B$4=1,"North America FMVSS","")</f>
        <v>North America FMVSS</v>
      </c>
      <c r="F1221" s="507" t="s">
        <v>4242</v>
      </c>
      <c r="G1221" s="520"/>
      <c r="H1221" s="509" t="s">
        <v>1756</v>
      </c>
      <c r="I1221" s="509"/>
      <c r="J1221" s="519" t="s">
        <v>3960</v>
      </c>
      <c r="K1221" s="527" t="s">
        <v>605</v>
      </c>
      <c r="L1221" s="526" t="s">
        <v>315</v>
      </c>
      <c r="M1221" s="527" t="s">
        <v>315</v>
      </c>
      <c r="N1221" s="528" t="s">
        <v>315</v>
      </c>
      <c r="O1221" s="663"/>
      <c r="P1221" s="666"/>
      <c r="Q1221" s="566"/>
      <c r="R1221" s="530"/>
      <c r="S1221" s="535" t="s">
        <v>1757</v>
      </c>
      <c r="T1221" s="657" t="s">
        <v>315</v>
      </c>
    </row>
    <row r="1222" spans="1:20" s="508" customFormat="1" ht="90" hidden="1">
      <c r="A1222" s="518"/>
      <c r="B1222" s="507" t="s">
        <v>1614</v>
      </c>
      <c r="C1222" s="534" t="s">
        <v>1615</v>
      </c>
      <c r="D1222" s="534" t="s">
        <v>4185</v>
      </c>
      <c r="E1222" s="509" t="str">
        <f>IF('GPS Anthro Tool'!$B$4=1,"North America FMVSS","")</f>
        <v>North America FMVSS</v>
      </c>
      <c r="F1222" s="507" t="s">
        <v>4242</v>
      </c>
      <c r="G1222" s="520"/>
      <c r="H1222" s="509" t="s">
        <v>1758</v>
      </c>
      <c r="I1222" s="509"/>
      <c r="J1222" s="519" t="s">
        <v>3960</v>
      </c>
      <c r="K1222" s="527" t="s">
        <v>605</v>
      </c>
      <c r="L1222" s="526" t="s">
        <v>315</v>
      </c>
      <c r="M1222" s="527" t="s">
        <v>315</v>
      </c>
      <c r="N1222" s="528" t="s">
        <v>315</v>
      </c>
      <c r="O1222" s="663"/>
      <c r="P1222" s="666"/>
      <c r="Q1222" s="566"/>
      <c r="R1222" s="530"/>
      <c r="S1222" s="535" t="s">
        <v>1757</v>
      </c>
      <c r="T1222" s="657" t="s">
        <v>315</v>
      </c>
    </row>
    <row r="1223" spans="1:20" s="508" customFormat="1" ht="60" hidden="1">
      <c r="A1223" s="518"/>
      <c r="B1223" s="507" t="s">
        <v>1614</v>
      </c>
      <c r="C1223" s="534" t="s">
        <v>1615</v>
      </c>
      <c r="D1223" s="534" t="s">
        <v>4186</v>
      </c>
      <c r="E1223" s="509" t="str">
        <f>IF('GPS Anthro Tool'!$B$4=1,"North America FMVSS","")</f>
        <v>North America FMVSS</v>
      </c>
      <c r="F1223" s="507" t="s">
        <v>4242</v>
      </c>
      <c r="G1223" s="520"/>
      <c r="H1223" s="509" t="s">
        <v>1759</v>
      </c>
      <c r="I1223" s="509"/>
      <c r="J1223" s="519" t="s">
        <v>3960</v>
      </c>
      <c r="K1223" s="527" t="s">
        <v>605</v>
      </c>
      <c r="L1223" s="526" t="s">
        <v>315</v>
      </c>
      <c r="M1223" s="527" t="s">
        <v>315</v>
      </c>
      <c r="N1223" s="528" t="s">
        <v>315</v>
      </c>
      <c r="O1223" s="663"/>
      <c r="P1223" s="666"/>
      <c r="Q1223" s="566"/>
      <c r="R1223" s="530"/>
      <c r="S1223" s="535" t="s">
        <v>1757</v>
      </c>
      <c r="T1223" s="657" t="s">
        <v>315</v>
      </c>
    </row>
    <row r="1224" spans="1:20" s="508" customFormat="1" ht="105" hidden="1">
      <c r="A1224" s="518"/>
      <c r="B1224" s="507" t="s">
        <v>1614</v>
      </c>
      <c r="C1224" s="534" t="s">
        <v>1615</v>
      </c>
      <c r="D1224" s="534" t="s">
        <v>4187</v>
      </c>
      <c r="E1224" s="509" t="str">
        <f>IF('GPS Anthro Tool'!$B$4=1,"North America FMVSS","")</f>
        <v>North America FMVSS</v>
      </c>
      <c r="F1224" s="507" t="s">
        <v>4242</v>
      </c>
      <c r="G1224" s="520"/>
      <c r="H1224" s="509" t="s">
        <v>1760</v>
      </c>
      <c r="I1224" s="509"/>
      <c r="J1224" s="519" t="s">
        <v>3960</v>
      </c>
      <c r="K1224" s="527" t="s">
        <v>605</v>
      </c>
      <c r="L1224" s="526" t="s">
        <v>315</v>
      </c>
      <c r="M1224" s="527" t="s">
        <v>315</v>
      </c>
      <c r="N1224" s="528" t="s">
        <v>315</v>
      </c>
      <c r="O1224" s="663"/>
      <c r="P1224" s="666"/>
      <c r="Q1224" s="566"/>
      <c r="R1224" s="530"/>
      <c r="S1224" s="535" t="s">
        <v>1757</v>
      </c>
      <c r="T1224" s="657" t="s">
        <v>315</v>
      </c>
    </row>
    <row r="1225" spans="1:20" s="508" customFormat="1" ht="195" hidden="1">
      <c r="A1225" s="518"/>
      <c r="B1225" s="507" t="s">
        <v>1614</v>
      </c>
      <c r="C1225" s="534" t="s">
        <v>1615</v>
      </c>
      <c r="D1225" s="534" t="s">
        <v>4188</v>
      </c>
      <c r="E1225" s="509" t="str">
        <f>IF('GPS Anthro Tool'!$B$4=1,"North America FMVSS","")</f>
        <v>North America FMVSS</v>
      </c>
      <c r="F1225" s="507" t="s">
        <v>4242</v>
      </c>
      <c r="G1225" s="520"/>
      <c r="H1225" s="509" t="s">
        <v>1761</v>
      </c>
      <c r="I1225" s="509"/>
      <c r="J1225" s="519" t="s">
        <v>3960</v>
      </c>
      <c r="K1225" s="527" t="s">
        <v>605</v>
      </c>
      <c r="L1225" s="526" t="s">
        <v>315</v>
      </c>
      <c r="M1225" s="527" t="s">
        <v>315</v>
      </c>
      <c r="N1225" s="528" t="s">
        <v>315</v>
      </c>
      <c r="O1225" s="663"/>
      <c r="P1225" s="666"/>
      <c r="Q1225" s="566"/>
      <c r="R1225" s="530"/>
      <c r="S1225" s="535" t="s">
        <v>1757</v>
      </c>
      <c r="T1225" s="657" t="s">
        <v>315</v>
      </c>
    </row>
    <row r="1226" spans="1:20" s="508" customFormat="1" ht="225" hidden="1">
      <c r="A1226" s="518"/>
      <c r="B1226" s="507" t="s">
        <v>1614</v>
      </c>
      <c r="C1226" s="534" t="s">
        <v>1615</v>
      </c>
      <c r="D1226" s="534" t="s">
        <v>4189</v>
      </c>
      <c r="E1226" s="509" t="str">
        <f>IF('GPS Anthro Tool'!$B$4=1,"North America FMVSS","")</f>
        <v>North America FMVSS</v>
      </c>
      <c r="F1226" s="507" t="s">
        <v>4242</v>
      </c>
      <c r="G1226" s="520"/>
      <c r="H1226" s="509" t="s">
        <v>1762</v>
      </c>
      <c r="I1226" s="509"/>
      <c r="J1226" s="519" t="s">
        <v>3960</v>
      </c>
      <c r="K1226" s="527" t="s">
        <v>605</v>
      </c>
      <c r="L1226" s="526" t="s">
        <v>315</v>
      </c>
      <c r="M1226" s="527" t="s">
        <v>315</v>
      </c>
      <c r="N1226" s="528" t="s">
        <v>315</v>
      </c>
      <c r="O1226" s="663"/>
      <c r="P1226" s="666"/>
      <c r="Q1226" s="566"/>
      <c r="R1226" s="530"/>
      <c r="S1226" s="535" t="s">
        <v>1757</v>
      </c>
      <c r="T1226" s="657" t="s">
        <v>315</v>
      </c>
    </row>
    <row r="1227" spans="1:20" s="508" customFormat="1" ht="195" hidden="1">
      <c r="A1227" s="518"/>
      <c r="B1227" s="507" t="s">
        <v>1614</v>
      </c>
      <c r="C1227" s="534" t="s">
        <v>1615</v>
      </c>
      <c r="D1227" s="534" t="s">
        <v>4190</v>
      </c>
      <c r="E1227" s="509" t="str">
        <f>IF('GPS Anthro Tool'!$B$4=1,"North America FMVSS","")</f>
        <v>North America FMVSS</v>
      </c>
      <c r="F1227" s="507" t="s">
        <v>4242</v>
      </c>
      <c r="G1227" s="520"/>
      <c r="H1227" s="509" t="s">
        <v>1763</v>
      </c>
      <c r="I1227" s="509"/>
      <c r="J1227" s="519" t="s">
        <v>3960</v>
      </c>
      <c r="K1227" s="527" t="s">
        <v>605</v>
      </c>
      <c r="L1227" s="526" t="s">
        <v>315</v>
      </c>
      <c r="M1227" s="527" t="s">
        <v>315</v>
      </c>
      <c r="N1227" s="528" t="s">
        <v>315</v>
      </c>
      <c r="O1227" s="663"/>
      <c r="P1227" s="666"/>
      <c r="Q1227" s="566"/>
      <c r="R1227" s="530"/>
      <c r="S1227" s="535" t="s">
        <v>1757</v>
      </c>
      <c r="T1227" s="657" t="s">
        <v>315</v>
      </c>
    </row>
    <row r="1228" spans="1:20" s="508" customFormat="1" ht="135" hidden="1">
      <c r="A1228" s="518"/>
      <c r="B1228" s="507" t="s">
        <v>1614</v>
      </c>
      <c r="C1228" s="534" t="s">
        <v>1615</v>
      </c>
      <c r="D1228" s="534" t="s">
        <v>4191</v>
      </c>
      <c r="E1228" s="509" t="str">
        <f>IF('GPS Anthro Tool'!$B$4=1,"North America FMVSS","")</f>
        <v>North America FMVSS</v>
      </c>
      <c r="F1228" s="507" t="s">
        <v>4242</v>
      </c>
      <c r="G1228" s="520"/>
      <c r="H1228" s="509" t="s">
        <v>1764</v>
      </c>
      <c r="I1228" s="509"/>
      <c r="J1228" s="519" t="s">
        <v>3960</v>
      </c>
      <c r="K1228" s="527" t="s">
        <v>605</v>
      </c>
      <c r="L1228" s="526" t="s">
        <v>315</v>
      </c>
      <c r="M1228" s="527" t="s">
        <v>315</v>
      </c>
      <c r="N1228" s="528" t="s">
        <v>315</v>
      </c>
      <c r="O1228" s="663"/>
      <c r="P1228" s="666"/>
      <c r="Q1228" s="566"/>
      <c r="R1228" s="530"/>
      <c r="S1228" s="535" t="s">
        <v>1757</v>
      </c>
      <c r="T1228" s="657" t="s">
        <v>315</v>
      </c>
    </row>
    <row r="1229" spans="1:20" s="508" customFormat="1" ht="30" hidden="1">
      <c r="A1229" s="518"/>
      <c r="B1229" s="507" t="s">
        <v>1614</v>
      </c>
      <c r="C1229" s="534" t="s">
        <v>1615</v>
      </c>
      <c r="D1229" s="534" t="s">
        <v>4201</v>
      </c>
      <c r="E1229" s="509" t="str">
        <f>IF('GPS Anthro Tool'!$B$4=1,"North America FMVSS","")</f>
        <v>North America FMVSS</v>
      </c>
      <c r="F1229" s="507" t="s">
        <v>4242</v>
      </c>
      <c r="G1229" s="520"/>
      <c r="H1229" s="509" t="s">
        <v>1775</v>
      </c>
      <c r="I1229" s="509"/>
      <c r="J1229" s="519" t="s">
        <v>3960</v>
      </c>
      <c r="K1229" s="527" t="s">
        <v>605</v>
      </c>
      <c r="L1229" s="526" t="s">
        <v>315</v>
      </c>
      <c r="M1229" s="527" t="s">
        <v>315</v>
      </c>
      <c r="N1229" s="528" t="s">
        <v>315</v>
      </c>
      <c r="O1229" s="663"/>
      <c r="P1229" s="666"/>
      <c r="Q1229" s="566"/>
      <c r="R1229" s="530"/>
      <c r="S1229" s="535" t="s">
        <v>1757</v>
      </c>
      <c r="T1229" s="657" t="s">
        <v>315</v>
      </c>
    </row>
    <row r="1230" spans="1:20" s="508" customFormat="1" ht="180" hidden="1">
      <c r="A1230" s="518"/>
      <c r="B1230" s="507" t="s">
        <v>1614</v>
      </c>
      <c r="C1230" s="534" t="s">
        <v>1615</v>
      </c>
      <c r="D1230" s="534" t="s">
        <v>4202</v>
      </c>
      <c r="E1230" s="509" t="str">
        <f>IF('GPS Anthro Tool'!$B$4=1,"North America FMVSS","")</f>
        <v>North America FMVSS</v>
      </c>
      <c r="F1230" s="507" t="s">
        <v>4242</v>
      </c>
      <c r="G1230" s="520"/>
      <c r="H1230" s="509" t="s">
        <v>1776</v>
      </c>
      <c r="I1230" s="509"/>
      <c r="J1230" s="519" t="s">
        <v>3960</v>
      </c>
      <c r="K1230" s="527" t="s">
        <v>605</v>
      </c>
      <c r="L1230" s="526" t="s">
        <v>315</v>
      </c>
      <c r="M1230" s="527" t="s">
        <v>315</v>
      </c>
      <c r="N1230" s="528" t="s">
        <v>315</v>
      </c>
      <c r="O1230" s="663"/>
      <c r="P1230" s="666"/>
      <c r="Q1230" s="566"/>
      <c r="R1230" s="530"/>
      <c r="S1230" s="535" t="s">
        <v>1757</v>
      </c>
      <c r="T1230" s="657" t="s">
        <v>315</v>
      </c>
    </row>
    <row r="1231" spans="1:20" s="508" customFormat="1" ht="75" hidden="1">
      <c r="A1231" s="518"/>
      <c r="B1231" s="507" t="s">
        <v>1614</v>
      </c>
      <c r="C1231" s="534" t="s">
        <v>1615</v>
      </c>
      <c r="D1231" s="534" t="s">
        <v>4203</v>
      </c>
      <c r="E1231" s="509" t="str">
        <f>IF('GPS Anthro Tool'!$B$4=1,"North America FMVSS","")</f>
        <v>North America FMVSS</v>
      </c>
      <c r="F1231" s="507" t="s">
        <v>4242</v>
      </c>
      <c r="G1231" s="520"/>
      <c r="H1231" s="509" t="s">
        <v>1777</v>
      </c>
      <c r="I1231" s="509"/>
      <c r="J1231" s="519" t="s">
        <v>3960</v>
      </c>
      <c r="K1231" s="527" t="s">
        <v>605</v>
      </c>
      <c r="L1231" s="526" t="s">
        <v>315</v>
      </c>
      <c r="M1231" s="527" t="s">
        <v>315</v>
      </c>
      <c r="N1231" s="528" t="s">
        <v>315</v>
      </c>
      <c r="O1231" s="663"/>
      <c r="P1231" s="666"/>
      <c r="Q1231" s="566"/>
      <c r="R1231" s="530"/>
      <c r="S1231" s="535" t="s">
        <v>1757</v>
      </c>
      <c r="T1231" s="657" t="s">
        <v>315</v>
      </c>
    </row>
    <row r="1232" spans="1:20" s="508" customFormat="1" ht="75" hidden="1">
      <c r="A1232" s="518"/>
      <c r="B1232" s="507" t="s">
        <v>1614</v>
      </c>
      <c r="C1232" s="534" t="s">
        <v>1615</v>
      </c>
      <c r="D1232" s="534" t="s">
        <v>4204</v>
      </c>
      <c r="E1232" s="509" t="str">
        <f>IF('GPS Anthro Tool'!$B$4=1,"North America FMVSS","")</f>
        <v>North America FMVSS</v>
      </c>
      <c r="F1232" s="507" t="s">
        <v>4242</v>
      </c>
      <c r="G1232" s="520"/>
      <c r="H1232" s="509" t="s">
        <v>1778</v>
      </c>
      <c r="I1232" s="509"/>
      <c r="J1232" s="519" t="s">
        <v>3960</v>
      </c>
      <c r="K1232" s="527" t="s">
        <v>605</v>
      </c>
      <c r="L1232" s="526" t="s">
        <v>315</v>
      </c>
      <c r="M1232" s="527" t="s">
        <v>315</v>
      </c>
      <c r="N1232" s="528" t="s">
        <v>315</v>
      </c>
      <c r="O1232" s="663"/>
      <c r="P1232" s="666"/>
      <c r="Q1232" s="566"/>
      <c r="R1232" s="530"/>
      <c r="S1232" s="535" t="s">
        <v>1757</v>
      </c>
      <c r="T1232" s="657" t="s">
        <v>315</v>
      </c>
    </row>
    <row r="1233" spans="1:20" s="508" customFormat="1" ht="135" hidden="1">
      <c r="A1233" s="518"/>
      <c r="B1233" s="507" t="s">
        <v>1614</v>
      </c>
      <c r="C1233" s="534" t="s">
        <v>1615</v>
      </c>
      <c r="D1233" s="534" t="s">
        <v>4205</v>
      </c>
      <c r="E1233" s="509" t="str">
        <f>IF('GPS Anthro Tool'!$B$4=1,"North America FMVSS","")</f>
        <v>North America FMVSS</v>
      </c>
      <c r="F1233" s="507" t="s">
        <v>4242</v>
      </c>
      <c r="G1233" s="520"/>
      <c r="H1233" s="509" t="s">
        <v>1779</v>
      </c>
      <c r="I1233" s="509"/>
      <c r="J1233" s="519" t="s">
        <v>3960</v>
      </c>
      <c r="K1233" s="527" t="s">
        <v>605</v>
      </c>
      <c r="L1233" s="526" t="s">
        <v>315</v>
      </c>
      <c r="M1233" s="527" t="s">
        <v>315</v>
      </c>
      <c r="N1233" s="528" t="s">
        <v>315</v>
      </c>
      <c r="O1233" s="663"/>
      <c r="P1233" s="666"/>
      <c r="Q1233" s="566"/>
      <c r="R1233" s="530"/>
      <c r="S1233" s="535" t="s">
        <v>1757</v>
      </c>
      <c r="T1233" s="657" t="s">
        <v>315</v>
      </c>
    </row>
    <row r="1234" spans="1:20" s="508" customFormat="1" ht="195" hidden="1">
      <c r="A1234" s="518"/>
      <c r="B1234" s="507" t="s">
        <v>1614</v>
      </c>
      <c r="C1234" s="534" t="s">
        <v>1615</v>
      </c>
      <c r="D1234" s="534" t="s">
        <v>4206</v>
      </c>
      <c r="E1234" s="509" t="str">
        <f>IF('GPS Anthro Tool'!$B$4=1,"North America FMVSS","")</f>
        <v>North America FMVSS</v>
      </c>
      <c r="F1234" s="507" t="s">
        <v>4242</v>
      </c>
      <c r="G1234" s="520"/>
      <c r="H1234" s="509" t="s">
        <v>1780</v>
      </c>
      <c r="I1234" s="509"/>
      <c r="J1234" s="519" t="s">
        <v>3960</v>
      </c>
      <c r="K1234" s="527" t="s">
        <v>605</v>
      </c>
      <c r="L1234" s="526" t="s">
        <v>315</v>
      </c>
      <c r="M1234" s="527" t="s">
        <v>315</v>
      </c>
      <c r="N1234" s="528" t="s">
        <v>315</v>
      </c>
      <c r="O1234" s="663"/>
      <c r="P1234" s="666"/>
      <c r="Q1234" s="566"/>
      <c r="R1234" s="530"/>
      <c r="S1234" s="535" t="s">
        <v>1757</v>
      </c>
      <c r="T1234" s="657" t="s">
        <v>315</v>
      </c>
    </row>
    <row r="1235" spans="1:20" s="508" customFormat="1" ht="225" hidden="1">
      <c r="A1235" s="518"/>
      <c r="B1235" s="507" t="s">
        <v>1614</v>
      </c>
      <c r="C1235" s="534" t="s">
        <v>1615</v>
      </c>
      <c r="D1235" s="534" t="s">
        <v>4207</v>
      </c>
      <c r="E1235" s="509" t="str">
        <f>IF('GPS Anthro Tool'!$B$4=1,"North America FMVSS","")</f>
        <v>North America FMVSS</v>
      </c>
      <c r="F1235" s="507" t="s">
        <v>4242</v>
      </c>
      <c r="G1235" s="520"/>
      <c r="H1235" s="509" t="s">
        <v>1781</v>
      </c>
      <c r="I1235" s="509"/>
      <c r="J1235" s="519" t="s">
        <v>3960</v>
      </c>
      <c r="K1235" s="527" t="s">
        <v>605</v>
      </c>
      <c r="L1235" s="526" t="s">
        <v>315</v>
      </c>
      <c r="M1235" s="527" t="s">
        <v>315</v>
      </c>
      <c r="N1235" s="528" t="s">
        <v>315</v>
      </c>
      <c r="O1235" s="663"/>
      <c r="P1235" s="666"/>
      <c r="Q1235" s="566"/>
      <c r="R1235" s="530"/>
      <c r="S1235" s="535" t="s">
        <v>1757</v>
      </c>
      <c r="T1235" s="657" t="s">
        <v>315</v>
      </c>
    </row>
    <row r="1236" spans="1:20" s="508" customFormat="1" ht="60" hidden="1">
      <c r="A1236" s="518"/>
      <c r="B1236" s="507" t="s">
        <v>1614</v>
      </c>
      <c r="C1236" s="534" t="s">
        <v>1615</v>
      </c>
      <c r="D1236" s="534" t="s">
        <v>4208</v>
      </c>
      <c r="E1236" s="509" t="str">
        <f>IF('GPS Anthro Tool'!$B$4=1,"North America FMVSS","")</f>
        <v>North America FMVSS</v>
      </c>
      <c r="F1236" s="507" t="s">
        <v>4242</v>
      </c>
      <c r="G1236" s="520"/>
      <c r="H1236" s="509" t="s">
        <v>1782</v>
      </c>
      <c r="I1236" s="509"/>
      <c r="J1236" s="519" t="s">
        <v>3960</v>
      </c>
      <c r="K1236" s="527" t="s">
        <v>605</v>
      </c>
      <c r="L1236" s="526" t="s">
        <v>315</v>
      </c>
      <c r="M1236" s="527" t="s">
        <v>315</v>
      </c>
      <c r="N1236" s="528" t="s">
        <v>315</v>
      </c>
      <c r="O1236" s="663"/>
      <c r="P1236" s="666"/>
      <c r="Q1236" s="566"/>
      <c r="R1236" s="530"/>
      <c r="S1236" s="535" t="s">
        <v>1757</v>
      </c>
      <c r="T1236" s="657" t="s">
        <v>315</v>
      </c>
    </row>
    <row r="1237" spans="1:20" s="508" customFormat="1" ht="225" hidden="1">
      <c r="A1237" s="518"/>
      <c r="B1237" s="507" t="s">
        <v>1614</v>
      </c>
      <c r="C1237" s="534" t="s">
        <v>1615</v>
      </c>
      <c r="D1237" s="534" t="s">
        <v>4209</v>
      </c>
      <c r="E1237" s="509" t="str">
        <f>IF('GPS Anthro Tool'!$B$4=1,"North America FMVSS","")</f>
        <v>North America FMVSS</v>
      </c>
      <c r="F1237" s="507" t="s">
        <v>4242</v>
      </c>
      <c r="G1237" s="520"/>
      <c r="H1237" s="509" t="s">
        <v>1783</v>
      </c>
      <c r="I1237" s="509"/>
      <c r="J1237" s="519" t="s">
        <v>3960</v>
      </c>
      <c r="K1237" s="527" t="s">
        <v>605</v>
      </c>
      <c r="L1237" s="526" t="s">
        <v>315</v>
      </c>
      <c r="M1237" s="527" t="s">
        <v>315</v>
      </c>
      <c r="N1237" s="528" t="s">
        <v>315</v>
      </c>
      <c r="O1237" s="663"/>
      <c r="P1237" s="666"/>
      <c r="Q1237" s="566"/>
      <c r="R1237" s="530"/>
      <c r="S1237" s="535" t="s">
        <v>1757</v>
      </c>
      <c r="T1237" s="657" t="s">
        <v>315</v>
      </c>
    </row>
    <row r="1238" spans="1:20" s="508" customFormat="1" ht="255" hidden="1">
      <c r="A1238" s="518"/>
      <c r="B1238" s="507" t="s">
        <v>1614</v>
      </c>
      <c r="C1238" s="534" t="s">
        <v>1615</v>
      </c>
      <c r="D1238" s="534" t="s">
        <v>4210</v>
      </c>
      <c r="E1238" s="509" t="str">
        <f>IF('GPS Anthro Tool'!$B$4=1,"North America FMVSS","")</f>
        <v>North America FMVSS</v>
      </c>
      <c r="F1238" s="507" t="s">
        <v>4242</v>
      </c>
      <c r="G1238" s="520"/>
      <c r="H1238" s="509" t="s">
        <v>1784</v>
      </c>
      <c r="I1238" s="509"/>
      <c r="J1238" s="519" t="s">
        <v>3960</v>
      </c>
      <c r="K1238" s="527" t="s">
        <v>605</v>
      </c>
      <c r="L1238" s="526" t="s">
        <v>315</v>
      </c>
      <c r="M1238" s="527" t="s">
        <v>315</v>
      </c>
      <c r="N1238" s="528" t="s">
        <v>315</v>
      </c>
      <c r="O1238" s="663"/>
      <c r="P1238" s="666"/>
      <c r="Q1238" s="566"/>
      <c r="R1238" s="530"/>
      <c r="S1238" s="535" t="s">
        <v>1757</v>
      </c>
      <c r="T1238" s="657" t="s">
        <v>315</v>
      </c>
    </row>
    <row r="1239" spans="1:20" s="508" customFormat="1" ht="165" hidden="1">
      <c r="A1239" s="518"/>
      <c r="B1239" s="507" t="s">
        <v>1614</v>
      </c>
      <c r="C1239" s="534" t="s">
        <v>1615</v>
      </c>
      <c r="D1239" s="534" t="s">
        <v>4211</v>
      </c>
      <c r="E1239" s="509" t="str">
        <f>IF('GPS Anthro Tool'!$B$4=1,"North America FMVSS","")</f>
        <v>North America FMVSS</v>
      </c>
      <c r="F1239" s="507" t="s">
        <v>4242</v>
      </c>
      <c r="G1239" s="520"/>
      <c r="H1239" s="509" t="s">
        <v>1785</v>
      </c>
      <c r="I1239" s="509"/>
      <c r="J1239" s="519" t="s">
        <v>3960</v>
      </c>
      <c r="K1239" s="527" t="s">
        <v>605</v>
      </c>
      <c r="L1239" s="526" t="s">
        <v>315</v>
      </c>
      <c r="M1239" s="527" t="s">
        <v>315</v>
      </c>
      <c r="N1239" s="528" t="s">
        <v>315</v>
      </c>
      <c r="O1239" s="663"/>
      <c r="P1239" s="666"/>
      <c r="Q1239" s="566"/>
      <c r="R1239" s="530"/>
      <c r="S1239" s="535" t="s">
        <v>1757</v>
      </c>
      <c r="T1239" s="657" t="s">
        <v>315</v>
      </c>
    </row>
    <row r="1240" spans="1:20" s="508" customFormat="1" ht="105" hidden="1">
      <c r="A1240" s="518"/>
      <c r="B1240" s="507" t="s">
        <v>699</v>
      </c>
      <c r="C1240" s="534" t="s">
        <v>753</v>
      </c>
      <c r="D1240" s="509" t="s">
        <v>4004</v>
      </c>
      <c r="E1240" s="509" t="str">
        <f>IF('GPS Anthro Tool'!$B$4=1,"North America FMVSS","")</f>
        <v>North America FMVSS</v>
      </c>
      <c r="F1240" s="507" t="s">
        <v>4242</v>
      </c>
      <c r="G1240" s="520" t="s">
        <v>3533</v>
      </c>
      <c r="H1240" s="509" t="s">
        <v>769</v>
      </c>
      <c r="I1240" s="509"/>
      <c r="J1240" s="519" t="s">
        <v>3960</v>
      </c>
      <c r="K1240" s="527" t="s">
        <v>605</v>
      </c>
      <c r="L1240" s="526" t="s">
        <v>315</v>
      </c>
      <c r="M1240" s="527" t="s">
        <v>315</v>
      </c>
      <c r="N1240" s="528" t="s">
        <v>315</v>
      </c>
      <c r="O1240" s="663"/>
      <c r="P1240" s="666"/>
      <c r="Q1240" s="566"/>
      <c r="R1240" s="535"/>
      <c r="S1240" s="530" t="s">
        <v>315</v>
      </c>
      <c r="T1240" s="657" t="s">
        <v>315</v>
      </c>
    </row>
    <row r="1241" spans="1:20" s="508" customFormat="1" ht="150" hidden="1">
      <c r="A1241" s="518"/>
      <c r="B1241" s="507" t="s">
        <v>699</v>
      </c>
      <c r="C1241" s="534" t="s">
        <v>753</v>
      </c>
      <c r="D1241" s="509" t="s">
        <v>4004</v>
      </c>
      <c r="E1241" s="509" t="str">
        <f>IF('GPS Anthro Tool'!$B$4=1,"North America FMVSS","")</f>
        <v>North America FMVSS</v>
      </c>
      <c r="F1241" s="507" t="s">
        <v>4242</v>
      </c>
      <c r="G1241" s="520" t="s">
        <v>3533</v>
      </c>
      <c r="H1241" s="509" t="s">
        <v>770</v>
      </c>
      <c r="I1241" s="509"/>
      <c r="J1241" s="519" t="s">
        <v>3960</v>
      </c>
      <c r="K1241" s="527" t="s">
        <v>605</v>
      </c>
      <c r="L1241" s="526" t="s">
        <v>315</v>
      </c>
      <c r="M1241" s="527" t="s">
        <v>315</v>
      </c>
      <c r="N1241" s="528" t="s">
        <v>315</v>
      </c>
      <c r="O1241" s="663"/>
      <c r="P1241" s="666"/>
      <c r="Q1241" s="566"/>
      <c r="R1241" s="535"/>
      <c r="S1241" s="530" t="s">
        <v>315</v>
      </c>
      <c r="T1241" s="657" t="s">
        <v>315</v>
      </c>
    </row>
    <row r="1242" spans="1:20" s="508" customFormat="1" ht="105" hidden="1">
      <c r="A1242" s="518"/>
      <c r="B1242" s="507" t="s">
        <v>699</v>
      </c>
      <c r="C1242" s="534" t="s">
        <v>753</v>
      </c>
      <c r="D1242" s="509" t="s">
        <v>4004</v>
      </c>
      <c r="E1242" s="509" t="str">
        <f>IF('GPS Anthro Tool'!$B$4=1,"North America FMVSS","")</f>
        <v>North America FMVSS</v>
      </c>
      <c r="F1242" s="507" t="s">
        <v>4242</v>
      </c>
      <c r="G1242" s="520" t="s">
        <v>3533</v>
      </c>
      <c r="H1242" s="509" t="s">
        <v>771</v>
      </c>
      <c r="I1242" s="509"/>
      <c r="J1242" s="519" t="s">
        <v>3960</v>
      </c>
      <c r="K1242" s="527" t="s">
        <v>605</v>
      </c>
      <c r="L1242" s="526" t="s">
        <v>315</v>
      </c>
      <c r="M1242" s="527" t="s">
        <v>315</v>
      </c>
      <c r="N1242" s="528" t="s">
        <v>315</v>
      </c>
      <c r="O1242" s="663"/>
      <c r="P1242" s="666"/>
      <c r="Q1242" s="566"/>
      <c r="R1242" s="535"/>
      <c r="S1242" s="530" t="s">
        <v>315</v>
      </c>
      <c r="T1242" s="657" t="s">
        <v>315</v>
      </c>
    </row>
    <row r="1243" spans="1:20" s="508" customFormat="1" ht="45" hidden="1">
      <c r="A1243" s="518"/>
      <c r="B1243" s="507" t="s">
        <v>1614</v>
      </c>
      <c r="C1243" s="534" t="s">
        <v>1615</v>
      </c>
      <c r="D1243" s="534" t="s">
        <v>4212</v>
      </c>
      <c r="E1243" s="509" t="str">
        <f>IF('GPS Anthro Tool'!$B$4=1,"North America FMVSS","")</f>
        <v>North America FMVSS</v>
      </c>
      <c r="F1243" s="507" t="s">
        <v>4242</v>
      </c>
      <c r="G1243" s="520"/>
      <c r="H1243" s="509" t="s">
        <v>1786</v>
      </c>
      <c r="I1243" s="509"/>
      <c r="J1243" s="519" t="s">
        <v>3960</v>
      </c>
      <c r="K1243" s="527" t="s">
        <v>605</v>
      </c>
      <c r="L1243" s="526" t="s">
        <v>315</v>
      </c>
      <c r="M1243" s="527" t="s">
        <v>315</v>
      </c>
      <c r="N1243" s="528" t="s">
        <v>315</v>
      </c>
      <c r="O1243" s="663"/>
      <c r="P1243" s="666"/>
      <c r="Q1243" s="566"/>
      <c r="R1243" s="535"/>
      <c r="S1243" s="530" t="s">
        <v>315</v>
      </c>
      <c r="T1243" s="657" t="s">
        <v>315</v>
      </c>
    </row>
    <row r="1244" spans="1:20" s="508" customFormat="1" ht="30" hidden="1">
      <c r="A1244" s="518"/>
      <c r="B1244" s="507" t="s">
        <v>1614</v>
      </c>
      <c r="C1244" s="534" t="s">
        <v>1615</v>
      </c>
      <c r="D1244" s="534" t="s">
        <v>4213</v>
      </c>
      <c r="E1244" s="509" t="str">
        <f>IF('GPS Anthro Tool'!$B$4=1,"North America FMVSS","")</f>
        <v>North America FMVSS</v>
      </c>
      <c r="F1244" s="507" t="s">
        <v>4242</v>
      </c>
      <c r="G1244" s="520"/>
      <c r="H1244" s="509" t="s">
        <v>1787</v>
      </c>
      <c r="I1244" s="509"/>
      <c r="J1244" s="519" t="s">
        <v>3960</v>
      </c>
      <c r="K1244" s="527" t="s">
        <v>605</v>
      </c>
      <c r="L1244" s="526" t="s">
        <v>315</v>
      </c>
      <c r="M1244" s="527" t="s">
        <v>315</v>
      </c>
      <c r="N1244" s="528" t="s">
        <v>315</v>
      </c>
      <c r="O1244" s="663"/>
      <c r="P1244" s="666"/>
      <c r="Q1244" s="566"/>
      <c r="R1244" s="535"/>
      <c r="S1244" s="530" t="s">
        <v>315</v>
      </c>
      <c r="T1244" s="657" t="s">
        <v>315</v>
      </c>
    </row>
    <row r="1245" spans="1:20" s="508" customFormat="1" ht="105" hidden="1">
      <c r="A1245" s="518"/>
      <c r="B1245" s="507" t="s">
        <v>1614</v>
      </c>
      <c r="C1245" s="534" t="s">
        <v>1615</v>
      </c>
      <c r="D1245" s="534" t="s">
        <v>4214</v>
      </c>
      <c r="E1245" s="509" t="str">
        <f>IF('GPS Anthro Tool'!$B$4=1,"North America FMVSS","")</f>
        <v>North America FMVSS</v>
      </c>
      <c r="F1245" s="507" t="s">
        <v>4242</v>
      </c>
      <c r="G1245" s="520"/>
      <c r="H1245" s="509" t="s">
        <v>1788</v>
      </c>
      <c r="I1245" s="509"/>
      <c r="J1245" s="519" t="s">
        <v>3960</v>
      </c>
      <c r="K1245" s="527" t="s">
        <v>605</v>
      </c>
      <c r="L1245" s="526" t="s">
        <v>315</v>
      </c>
      <c r="M1245" s="527" t="s">
        <v>315</v>
      </c>
      <c r="N1245" s="528" t="s">
        <v>315</v>
      </c>
      <c r="O1245" s="663"/>
      <c r="P1245" s="666"/>
      <c r="Q1245" s="566"/>
      <c r="R1245" s="535"/>
      <c r="S1245" s="530" t="s">
        <v>315</v>
      </c>
      <c r="T1245" s="657" t="s">
        <v>315</v>
      </c>
    </row>
    <row r="1246" spans="1:20" s="508" customFormat="1" ht="30" hidden="1">
      <c r="A1246" s="518"/>
      <c r="B1246" s="507" t="s">
        <v>1614</v>
      </c>
      <c r="C1246" s="534" t="s">
        <v>1615</v>
      </c>
      <c r="D1246" s="534" t="s">
        <v>4215</v>
      </c>
      <c r="E1246" s="509" t="str">
        <f>IF('GPS Anthro Tool'!$B$4=1,"North America FMVSS","")</f>
        <v>North America FMVSS</v>
      </c>
      <c r="F1246" s="507" t="s">
        <v>4242</v>
      </c>
      <c r="G1246" s="520"/>
      <c r="H1246" s="509" t="s">
        <v>1789</v>
      </c>
      <c r="I1246" s="509"/>
      <c r="J1246" s="519" t="s">
        <v>3960</v>
      </c>
      <c r="K1246" s="527" t="s">
        <v>605</v>
      </c>
      <c r="L1246" s="526" t="s">
        <v>315</v>
      </c>
      <c r="M1246" s="527" t="s">
        <v>315</v>
      </c>
      <c r="N1246" s="528" t="s">
        <v>315</v>
      </c>
      <c r="O1246" s="663"/>
      <c r="P1246" s="666"/>
      <c r="Q1246" s="566"/>
      <c r="R1246" s="535"/>
      <c r="S1246" s="530" t="s">
        <v>315</v>
      </c>
      <c r="T1246" s="657" t="s">
        <v>315</v>
      </c>
    </row>
    <row r="1247" spans="1:20" s="508" customFormat="1" ht="45" hidden="1">
      <c r="A1247" s="518"/>
      <c r="B1247" s="507" t="s">
        <v>1614</v>
      </c>
      <c r="C1247" s="534" t="s">
        <v>1615</v>
      </c>
      <c r="D1247" s="534" t="s">
        <v>4216</v>
      </c>
      <c r="E1247" s="509" t="str">
        <f>IF('GPS Anthro Tool'!$B$4=1,"North America FMVSS","")</f>
        <v>North America FMVSS</v>
      </c>
      <c r="F1247" s="507" t="s">
        <v>4242</v>
      </c>
      <c r="G1247" s="520"/>
      <c r="H1247" s="509" t="s">
        <v>1790</v>
      </c>
      <c r="I1247" s="509"/>
      <c r="J1247" s="519" t="s">
        <v>3960</v>
      </c>
      <c r="K1247" s="527" t="s">
        <v>605</v>
      </c>
      <c r="L1247" s="526" t="s">
        <v>315</v>
      </c>
      <c r="M1247" s="527" t="s">
        <v>315</v>
      </c>
      <c r="N1247" s="528" t="s">
        <v>315</v>
      </c>
      <c r="O1247" s="663"/>
      <c r="P1247" s="666"/>
      <c r="Q1247" s="566"/>
      <c r="R1247" s="535"/>
      <c r="S1247" s="530" t="s">
        <v>315</v>
      </c>
      <c r="T1247" s="657" t="s">
        <v>315</v>
      </c>
    </row>
    <row r="1248" spans="1:20" s="508" customFormat="1" ht="30" hidden="1">
      <c r="A1248" s="518"/>
      <c r="B1248" s="507" t="s">
        <v>1614</v>
      </c>
      <c r="C1248" s="534" t="s">
        <v>1615</v>
      </c>
      <c r="D1248" s="534" t="s">
        <v>4217</v>
      </c>
      <c r="E1248" s="509" t="str">
        <f>IF('GPS Anthro Tool'!$B$4=1,"North America FMVSS","")</f>
        <v>North America FMVSS</v>
      </c>
      <c r="F1248" s="507" t="s">
        <v>4242</v>
      </c>
      <c r="G1248" s="520"/>
      <c r="H1248" s="509" t="s">
        <v>1791</v>
      </c>
      <c r="I1248" s="509"/>
      <c r="J1248" s="519" t="s">
        <v>3960</v>
      </c>
      <c r="K1248" s="527" t="s">
        <v>605</v>
      </c>
      <c r="L1248" s="526" t="s">
        <v>315</v>
      </c>
      <c r="M1248" s="527" t="s">
        <v>315</v>
      </c>
      <c r="N1248" s="528" t="s">
        <v>315</v>
      </c>
      <c r="O1248" s="663"/>
      <c r="P1248" s="666"/>
      <c r="Q1248" s="566"/>
      <c r="R1248" s="535"/>
      <c r="S1248" s="530" t="s">
        <v>315</v>
      </c>
      <c r="T1248" s="657" t="s">
        <v>315</v>
      </c>
    </row>
    <row r="1249" spans="1:20" s="508" customFormat="1" ht="45" hidden="1">
      <c r="A1249" s="518"/>
      <c r="B1249" s="507" t="s">
        <v>1614</v>
      </c>
      <c r="C1249" s="534" t="s">
        <v>1615</v>
      </c>
      <c r="D1249" s="534" t="s">
        <v>4218</v>
      </c>
      <c r="E1249" s="509" t="str">
        <f>IF('GPS Anthro Tool'!$B$4=1,"North America FMVSS","")</f>
        <v>North America FMVSS</v>
      </c>
      <c r="F1249" s="507" t="s">
        <v>4242</v>
      </c>
      <c r="G1249" s="520"/>
      <c r="H1249" s="509" t="s">
        <v>1792</v>
      </c>
      <c r="I1249" s="509"/>
      <c r="J1249" s="519" t="s">
        <v>3960</v>
      </c>
      <c r="K1249" s="527" t="s">
        <v>605</v>
      </c>
      <c r="L1249" s="526" t="s">
        <v>315</v>
      </c>
      <c r="M1249" s="527" t="s">
        <v>315</v>
      </c>
      <c r="N1249" s="528" t="s">
        <v>315</v>
      </c>
      <c r="O1249" s="663"/>
      <c r="P1249" s="666"/>
      <c r="Q1249" s="566"/>
      <c r="R1249" s="535"/>
      <c r="S1249" s="530" t="s">
        <v>315</v>
      </c>
      <c r="T1249" s="657" t="s">
        <v>315</v>
      </c>
    </row>
    <row r="1250" spans="1:20" s="508" customFormat="1" ht="240" hidden="1">
      <c r="A1250" s="518"/>
      <c r="B1250" s="507" t="s">
        <v>1614</v>
      </c>
      <c r="C1250" s="534" t="s">
        <v>1615</v>
      </c>
      <c r="D1250" s="534" t="s">
        <v>4219</v>
      </c>
      <c r="E1250" s="509" t="str">
        <f>IF('GPS Anthro Tool'!$B$4=1,"North America FMVSS","")</f>
        <v>North America FMVSS</v>
      </c>
      <c r="F1250" s="507" t="s">
        <v>4242</v>
      </c>
      <c r="G1250" s="520"/>
      <c r="H1250" s="509" t="s">
        <v>1793</v>
      </c>
      <c r="I1250" s="509"/>
      <c r="J1250" s="519" t="s">
        <v>3960</v>
      </c>
      <c r="K1250" s="527" t="s">
        <v>605</v>
      </c>
      <c r="L1250" s="526" t="s">
        <v>315</v>
      </c>
      <c r="M1250" s="527" t="s">
        <v>315</v>
      </c>
      <c r="N1250" s="528" t="s">
        <v>315</v>
      </c>
      <c r="O1250" s="663"/>
      <c r="P1250" s="666"/>
      <c r="Q1250" s="566"/>
      <c r="R1250" s="535"/>
      <c r="S1250" s="530" t="s">
        <v>315</v>
      </c>
      <c r="T1250" s="657" t="s">
        <v>315</v>
      </c>
    </row>
    <row r="1251" spans="1:20" s="508" customFormat="1" ht="105" hidden="1">
      <c r="A1251" s="518"/>
      <c r="B1251" s="507" t="s">
        <v>1614</v>
      </c>
      <c r="C1251" s="534" t="s">
        <v>1615</v>
      </c>
      <c r="D1251" s="534" t="s">
        <v>4220</v>
      </c>
      <c r="E1251" s="509" t="str">
        <f>IF('GPS Anthro Tool'!$B$4=1,"North America FMVSS","")</f>
        <v>North America FMVSS</v>
      </c>
      <c r="F1251" s="507" t="s">
        <v>4242</v>
      </c>
      <c r="G1251" s="520"/>
      <c r="H1251" s="509" t="s">
        <v>1794</v>
      </c>
      <c r="I1251" s="509"/>
      <c r="J1251" s="519" t="s">
        <v>3960</v>
      </c>
      <c r="K1251" s="527" t="s">
        <v>605</v>
      </c>
      <c r="L1251" s="526" t="s">
        <v>315</v>
      </c>
      <c r="M1251" s="527" t="s">
        <v>315</v>
      </c>
      <c r="N1251" s="528" t="s">
        <v>315</v>
      </c>
      <c r="O1251" s="663"/>
      <c r="P1251" s="666"/>
      <c r="Q1251" s="566"/>
      <c r="R1251" s="535"/>
      <c r="S1251" s="530" t="s">
        <v>315</v>
      </c>
      <c r="T1251" s="657" t="s">
        <v>315</v>
      </c>
    </row>
    <row r="1252" spans="1:20" s="508" customFormat="1" ht="30" hidden="1">
      <c r="A1252" s="518"/>
      <c r="B1252" s="507" t="s">
        <v>1614</v>
      </c>
      <c r="C1252" s="534" t="s">
        <v>1615</v>
      </c>
      <c r="D1252" s="534" t="s">
        <v>4221</v>
      </c>
      <c r="E1252" s="509" t="str">
        <f>IF('GPS Anthro Tool'!$B$4=1,"North America FMVSS","")</f>
        <v>North America FMVSS</v>
      </c>
      <c r="F1252" s="507" t="s">
        <v>4242</v>
      </c>
      <c r="G1252" s="520"/>
      <c r="H1252" s="533" t="s">
        <v>1795</v>
      </c>
      <c r="I1252" s="533"/>
      <c r="J1252" s="519" t="s">
        <v>3960</v>
      </c>
      <c r="K1252" s="527" t="s">
        <v>605</v>
      </c>
      <c r="L1252" s="526" t="s">
        <v>315</v>
      </c>
      <c r="M1252" s="527" t="s">
        <v>315</v>
      </c>
      <c r="N1252" s="528" t="s">
        <v>315</v>
      </c>
      <c r="O1252" s="663"/>
      <c r="P1252" s="666"/>
      <c r="Q1252" s="566"/>
      <c r="R1252" s="535"/>
      <c r="S1252" s="530" t="s">
        <v>315</v>
      </c>
      <c r="T1252" s="657" t="s">
        <v>315</v>
      </c>
    </row>
    <row r="1253" spans="1:20" s="508" customFormat="1" ht="45" hidden="1">
      <c r="A1253" s="518"/>
      <c r="B1253" s="507" t="s">
        <v>1614</v>
      </c>
      <c r="C1253" s="534" t="s">
        <v>1615</v>
      </c>
      <c r="D1253" s="534" t="s">
        <v>4222</v>
      </c>
      <c r="E1253" s="509" t="str">
        <f>IF('GPS Anthro Tool'!$B$4=1,"North America FMVSS","")</f>
        <v>North America FMVSS</v>
      </c>
      <c r="F1253" s="507" t="s">
        <v>4242</v>
      </c>
      <c r="G1253" s="520"/>
      <c r="H1253" s="509" t="s">
        <v>1796</v>
      </c>
      <c r="I1253" s="509"/>
      <c r="J1253" s="519" t="s">
        <v>3960</v>
      </c>
      <c r="K1253" s="527" t="s">
        <v>605</v>
      </c>
      <c r="L1253" s="526" t="s">
        <v>315</v>
      </c>
      <c r="M1253" s="527" t="s">
        <v>315</v>
      </c>
      <c r="N1253" s="528" t="s">
        <v>315</v>
      </c>
      <c r="O1253" s="663"/>
      <c r="P1253" s="666"/>
      <c r="Q1253" s="566"/>
      <c r="R1253" s="535"/>
      <c r="S1253" s="530" t="s">
        <v>315</v>
      </c>
      <c r="T1253" s="657" t="s">
        <v>315</v>
      </c>
    </row>
    <row r="1254" spans="1:20" s="508" customFormat="1" ht="30" hidden="1">
      <c r="A1254" s="518"/>
      <c r="B1254" s="507" t="s">
        <v>1614</v>
      </c>
      <c r="C1254" s="534" t="s">
        <v>1615</v>
      </c>
      <c r="D1254" s="534" t="s">
        <v>4223</v>
      </c>
      <c r="E1254" s="509" t="str">
        <f>IF('GPS Anthro Tool'!$B$4=1,"North America FMVSS","")</f>
        <v>North America FMVSS</v>
      </c>
      <c r="F1254" s="507" t="s">
        <v>4242</v>
      </c>
      <c r="G1254" s="520"/>
      <c r="H1254" s="509" t="s">
        <v>1797</v>
      </c>
      <c r="I1254" s="509"/>
      <c r="J1254" s="519" t="s">
        <v>3960</v>
      </c>
      <c r="K1254" s="527" t="s">
        <v>605</v>
      </c>
      <c r="L1254" s="526" t="s">
        <v>315</v>
      </c>
      <c r="M1254" s="527" t="s">
        <v>315</v>
      </c>
      <c r="N1254" s="528" t="s">
        <v>315</v>
      </c>
      <c r="O1254" s="663"/>
      <c r="P1254" s="666"/>
      <c r="Q1254" s="566"/>
      <c r="R1254" s="535"/>
      <c r="S1254" s="530" t="s">
        <v>315</v>
      </c>
      <c r="T1254" s="657" t="s">
        <v>315</v>
      </c>
    </row>
    <row r="1255" spans="1:20" s="508" customFormat="1" ht="60" hidden="1">
      <c r="A1255" s="518"/>
      <c r="B1255" s="507" t="s">
        <v>1614</v>
      </c>
      <c r="C1255" s="534" t="s">
        <v>1615</v>
      </c>
      <c r="D1255" s="534" t="s">
        <v>4224</v>
      </c>
      <c r="E1255" s="509" t="str">
        <f>IF('GPS Anthro Tool'!$B$4=1,"North America FMVSS","")</f>
        <v>North America FMVSS</v>
      </c>
      <c r="F1255" s="507" t="s">
        <v>4242</v>
      </c>
      <c r="G1255" s="520"/>
      <c r="H1255" s="509" t="s">
        <v>1798</v>
      </c>
      <c r="I1255" s="509"/>
      <c r="J1255" s="519" t="s">
        <v>3960</v>
      </c>
      <c r="K1255" s="527" t="s">
        <v>605</v>
      </c>
      <c r="L1255" s="526" t="s">
        <v>315</v>
      </c>
      <c r="M1255" s="527" t="s">
        <v>315</v>
      </c>
      <c r="N1255" s="528" t="s">
        <v>315</v>
      </c>
      <c r="O1255" s="663"/>
      <c r="P1255" s="666"/>
      <c r="Q1255" s="566"/>
      <c r="R1255" s="535"/>
      <c r="S1255" s="530" t="s">
        <v>315</v>
      </c>
      <c r="T1255" s="657" t="s">
        <v>315</v>
      </c>
    </row>
    <row r="1256" spans="1:20" s="508" customFormat="1" ht="90" hidden="1">
      <c r="A1256" s="518"/>
      <c r="B1256" s="507" t="s">
        <v>1614</v>
      </c>
      <c r="C1256" s="534" t="s">
        <v>1615</v>
      </c>
      <c r="D1256" s="534" t="s">
        <v>4225</v>
      </c>
      <c r="E1256" s="509" t="str">
        <f>IF('GPS Anthro Tool'!$B$4=1,"North America FMVSS","")</f>
        <v>North America FMVSS</v>
      </c>
      <c r="F1256" s="507" t="s">
        <v>4242</v>
      </c>
      <c r="G1256" s="520"/>
      <c r="H1256" s="509" t="s">
        <v>1799</v>
      </c>
      <c r="I1256" s="509"/>
      <c r="J1256" s="519" t="s">
        <v>3960</v>
      </c>
      <c r="K1256" s="527" t="s">
        <v>605</v>
      </c>
      <c r="L1256" s="526" t="s">
        <v>315</v>
      </c>
      <c r="M1256" s="527" t="s">
        <v>315</v>
      </c>
      <c r="N1256" s="528" t="s">
        <v>315</v>
      </c>
      <c r="O1256" s="663"/>
      <c r="P1256" s="666"/>
      <c r="Q1256" s="566"/>
      <c r="R1256" s="535"/>
      <c r="S1256" s="530" t="s">
        <v>315</v>
      </c>
      <c r="T1256" s="657" t="s">
        <v>315</v>
      </c>
    </row>
    <row r="1257" spans="1:20" s="508" customFormat="1" ht="90" hidden="1">
      <c r="A1257" s="518"/>
      <c r="B1257" s="507" t="s">
        <v>1614</v>
      </c>
      <c r="C1257" s="534" t="s">
        <v>1615</v>
      </c>
      <c r="D1257" s="534" t="s">
        <v>4226</v>
      </c>
      <c r="E1257" s="509" t="str">
        <f>IF('GPS Anthro Tool'!$B$4=1,"North America FMVSS","")</f>
        <v>North America FMVSS</v>
      </c>
      <c r="F1257" s="507" t="s">
        <v>4242</v>
      </c>
      <c r="G1257" s="520"/>
      <c r="H1257" s="509" t="s">
        <v>1800</v>
      </c>
      <c r="I1257" s="509"/>
      <c r="J1257" s="519" t="s">
        <v>3960</v>
      </c>
      <c r="K1257" s="527" t="s">
        <v>605</v>
      </c>
      <c r="L1257" s="526" t="s">
        <v>315</v>
      </c>
      <c r="M1257" s="527" t="s">
        <v>315</v>
      </c>
      <c r="N1257" s="528" t="s">
        <v>315</v>
      </c>
      <c r="O1257" s="663"/>
      <c r="P1257" s="666"/>
      <c r="Q1257" s="566"/>
      <c r="R1257" s="535"/>
      <c r="S1257" s="530" t="s">
        <v>315</v>
      </c>
      <c r="T1257" s="657" t="s">
        <v>315</v>
      </c>
    </row>
    <row r="1258" spans="1:20" s="508" customFormat="1" ht="150" hidden="1">
      <c r="A1258" s="518"/>
      <c r="B1258" s="507" t="s">
        <v>1614</v>
      </c>
      <c r="C1258" s="534" t="s">
        <v>1615</v>
      </c>
      <c r="D1258" s="534" t="s">
        <v>4227</v>
      </c>
      <c r="E1258" s="509" t="str">
        <f>IF('GPS Anthro Tool'!$B$4=1,"North America FMVSS","")</f>
        <v>North America FMVSS</v>
      </c>
      <c r="F1258" s="507" t="s">
        <v>4242</v>
      </c>
      <c r="G1258" s="520"/>
      <c r="H1258" s="509" t="s">
        <v>1801</v>
      </c>
      <c r="I1258" s="509"/>
      <c r="J1258" s="519" t="s">
        <v>3960</v>
      </c>
      <c r="K1258" s="527" t="s">
        <v>605</v>
      </c>
      <c r="L1258" s="526" t="s">
        <v>315</v>
      </c>
      <c r="M1258" s="527" t="s">
        <v>315</v>
      </c>
      <c r="N1258" s="528" t="s">
        <v>315</v>
      </c>
      <c r="O1258" s="663"/>
      <c r="P1258" s="666"/>
      <c r="Q1258" s="566"/>
      <c r="R1258" s="535"/>
      <c r="S1258" s="530" t="s">
        <v>315</v>
      </c>
      <c r="T1258" s="657" t="s">
        <v>315</v>
      </c>
    </row>
    <row r="1259" spans="1:20" s="508" customFormat="1" ht="75" hidden="1">
      <c r="A1259" s="518"/>
      <c r="B1259" s="507" t="s">
        <v>1614</v>
      </c>
      <c r="C1259" s="534" t="s">
        <v>1615</v>
      </c>
      <c r="D1259" s="534" t="s">
        <v>4228</v>
      </c>
      <c r="E1259" s="509" t="str">
        <f>IF('GPS Anthro Tool'!$B$4=1,"North America FMVSS","")</f>
        <v>North America FMVSS</v>
      </c>
      <c r="F1259" s="507" t="s">
        <v>4242</v>
      </c>
      <c r="G1259" s="520"/>
      <c r="H1259" s="509" t="s">
        <v>4311</v>
      </c>
      <c r="I1259" s="509"/>
      <c r="J1259" s="519" t="s">
        <v>3960</v>
      </c>
      <c r="K1259" s="527" t="s">
        <v>605</v>
      </c>
      <c r="L1259" s="526" t="s">
        <v>315</v>
      </c>
      <c r="M1259" s="527" t="s">
        <v>315</v>
      </c>
      <c r="N1259" s="528" t="s">
        <v>315</v>
      </c>
      <c r="O1259" s="663"/>
      <c r="P1259" s="666"/>
      <c r="Q1259" s="566"/>
      <c r="R1259" s="535"/>
      <c r="S1259" s="530" t="s">
        <v>315</v>
      </c>
      <c r="T1259" s="657" t="s">
        <v>315</v>
      </c>
    </row>
    <row r="1260" spans="1:20" s="508" customFormat="1" ht="150" hidden="1">
      <c r="A1260" s="518"/>
      <c r="B1260" s="507" t="s">
        <v>1614</v>
      </c>
      <c r="C1260" s="534" t="s">
        <v>1615</v>
      </c>
      <c r="D1260" s="534" t="s">
        <v>4229</v>
      </c>
      <c r="E1260" s="509" t="str">
        <f>IF('GPS Anthro Tool'!$B$4=1,"North America FMVSS","")</f>
        <v>North America FMVSS</v>
      </c>
      <c r="F1260" s="507" t="s">
        <v>4242</v>
      </c>
      <c r="G1260" s="520"/>
      <c r="H1260" s="509" t="s">
        <v>1802</v>
      </c>
      <c r="I1260" s="509"/>
      <c r="J1260" s="519" t="s">
        <v>3960</v>
      </c>
      <c r="K1260" s="527" t="s">
        <v>605</v>
      </c>
      <c r="L1260" s="526" t="s">
        <v>315</v>
      </c>
      <c r="M1260" s="527" t="s">
        <v>315</v>
      </c>
      <c r="N1260" s="528" t="s">
        <v>315</v>
      </c>
      <c r="O1260" s="663"/>
      <c r="P1260" s="666"/>
      <c r="Q1260" s="566"/>
      <c r="R1260" s="535"/>
      <c r="S1260" s="530" t="s">
        <v>315</v>
      </c>
      <c r="T1260" s="657" t="s">
        <v>315</v>
      </c>
    </row>
    <row r="1261" spans="1:20" s="508" customFormat="1" ht="30" hidden="1">
      <c r="A1261" s="518"/>
      <c r="B1261" s="507" t="s">
        <v>699</v>
      </c>
      <c r="C1261" s="509" t="s">
        <v>1056</v>
      </c>
      <c r="D1261" s="507" t="s">
        <v>4044</v>
      </c>
      <c r="E1261" s="509" t="str">
        <f>IF('GPS Anthro Tool'!$B$4=1,"North America FMVSS","")</f>
        <v>North America FMVSS</v>
      </c>
      <c r="F1261" s="507" t="s">
        <v>4242</v>
      </c>
      <c r="G1261" s="520"/>
      <c r="H1261" s="509" t="s">
        <v>1057</v>
      </c>
      <c r="I1261" s="509"/>
      <c r="J1261" s="519" t="s">
        <v>3960</v>
      </c>
      <c r="K1261" s="527" t="s">
        <v>605</v>
      </c>
      <c r="L1261" s="526" t="s">
        <v>315</v>
      </c>
      <c r="M1261" s="527" t="s">
        <v>315</v>
      </c>
      <c r="N1261" s="528" t="s">
        <v>315</v>
      </c>
      <c r="O1261" s="663"/>
      <c r="P1261" s="666"/>
      <c r="Q1261" s="566"/>
      <c r="R1261" s="530"/>
      <c r="S1261" s="530" t="s">
        <v>315</v>
      </c>
      <c r="T1261" s="657" t="s">
        <v>315</v>
      </c>
    </row>
    <row r="1262" spans="1:20" s="508" customFormat="1" ht="180" hidden="1">
      <c r="A1262" s="518" t="s">
        <v>3528</v>
      </c>
      <c r="B1262" s="507" t="s">
        <v>699</v>
      </c>
      <c r="C1262" s="509" t="s">
        <v>1058</v>
      </c>
      <c r="D1262" s="507" t="s">
        <v>4045</v>
      </c>
      <c r="E1262" s="509" t="str">
        <f>IF('GPS Anthro Tool'!$B$4=1,"North America FMVSS","")</f>
        <v>North America FMVSS</v>
      </c>
      <c r="F1262" s="507" t="s">
        <v>4242</v>
      </c>
      <c r="G1262" s="520"/>
      <c r="H1262" s="509" t="s">
        <v>1059</v>
      </c>
      <c r="I1262" s="509"/>
      <c r="J1262" s="519" t="s">
        <v>3960</v>
      </c>
      <c r="K1262" s="527" t="s">
        <v>605</v>
      </c>
      <c r="L1262" s="526" t="s">
        <v>315</v>
      </c>
      <c r="M1262" s="527" t="s">
        <v>315</v>
      </c>
      <c r="N1262" s="528" t="s">
        <v>315</v>
      </c>
      <c r="O1262" s="663"/>
      <c r="P1262" s="666"/>
      <c r="Q1262" s="566"/>
      <c r="R1262" s="530"/>
      <c r="S1262" s="530" t="s">
        <v>315</v>
      </c>
      <c r="T1262" s="657" t="s">
        <v>315</v>
      </c>
    </row>
    <row r="1263" spans="1:20" s="508" customFormat="1" ht="90" hidden="1">
      <c r="A1263" s="518" t="s">
        <v>3528</v>
      </c>
      <c r="B1263" s="507" t="s">
        <v>699</v>
      </c>
      <c r="C1263" s="509" t="s">
        <v>1058</v>
      </c>
      <c r="D1263" s="507" t="s">
        <v>4046</v>
      </c>
      <c r="E1263" s="509" t="str">
        <f>IF('GPS Anthro Tool'!$B$4=1,"North America FMVSS","")</f>
        <v>North America FMVSS</v>
      </c>
      <c r="F1263" s="507" t="s">
        <v>4242</v>
      </c>
      <c r="G1263" s="520"/>
      <c r="H1263" s="509" t="s">
        <v>1060</v>
      </c>
      <c r="I1263" s="509"/>
      <c r="J1263" s="519" t="s">
        <v>3960</v>
      </c>
      <c r="K1263" s="527" t="s">
        <v>605</v>
      </c>
      <c r="L1263" s="526" t="s">
        <v>315</v>
      </c>
      <c r="M1263" s="527" t="s">
        <v>315</v>
      </c>
      <c r="N1263" s="528" t="s">
        <v>315</v>
      </c>
      <c r="O1263" s="663"/>
      <c r="P1263" s="666"/>
      <c r="Q1263" s="566"/>
      <c r="R1263" s="530"/>
      <c r="S1263" s="530" t="s">
        <v>315</v>
      </c>
      <c r="T1263" s="657" t="s">
        <v>315</v>
      </c>
    </row>
    <row r="1264" spans="1:20" s="508" customFormat="1" ht="75" hidden="1">
      <c r="A1264" s="518" t="s">
        <v>3528</v>
      </c>
      <c r="B1264" s="507" t="s">
        <v>699</v>
      </c>
      <c r="C1264" s="509" t="s">
        <v>1058</v>
      </c>
      <c r="D1264" s="507" t="s">
        <v>4047</v>
      </c>
      <c r="E1264" s="509" t="str">
        <f>IF('GPS Anthro Tool'!$B$4=1,"North America FMVSS","")</f>
        <v>North America FMVSS</v>
      </c>
      <c r="F1264" s="507" t="s">
        <v>4242</v>
      </c>
      <c r="G1264" s="520"/>
      <c r="H1264" s="509" t="s">
        <v>1061</v>
      </c>
      <c r="I1264" s="509"/>
      <c r="J1264" s="519" t="s">
        <v>3960</v>
      </c>
      <c r="K1264" s="527" t="s">
        <v>605</v>
      </c>
      <c r="L1264" s="526" t="s">
        <v>315</v>
      </c>
      <c r="M1264" s="527" t="s">
        <v>315</v>
      </c>
      <c r="N1264" s="528" t="s">
        <v>315</v>
      </c>
      <c r="O1264" s="663"/>
      <c r="P1264" s="666"/>
      <c r="Q1264" s="566"/>
      <c r="R1264" s="530"/>
      <c r="S1264" s="530" t="s">
        <v>315</v>
      </c>
      <c r="T1264" s="657" t="s">
        <v>315</v>
      </c>
    </row>
    <row r="1265" spans="1:20" s="508" customFormat="1" ht="180" hidden="1">
      <c r="A1265" s="518" t="s">
        <v>3528</v>
      </c>
      <c r="B1265" s="507" t="s">
        <v>699</v>
      </c>
      <c r="C1265" s="509" t="s">
        <v>1058</v>
      </c>
      <c r="D1265" s="507" t="s">
        <v>4048</v>
      </c>
      <c r="E1265" s="509" t="str">
        <f>IF('GPS Anthro Tool'!$B$4=1,"North America FMVSS","")</f>
        <v>North America FMVSS</v>
      </c>
      <c r="F1265" s="507" t="s">
        <v>4242</v>
      </c>
      <c r="G1265" s="520"/>
      <c r="H1265" s="509" t="s">
        <v>1062</v>
      </c>
      <c r="I1265" s="509"/>
      <c r="J1265" s="519" t="s">
        <v>3960</v>
      </c>
      <c r="K1265" s="527" t="s">
        <v>605</v>
      </c>
      <c r="L1265" s="526" t="s">
        <v>315</v>
      </c>
      <c r="M1265" s="527" t="s">
        <v>315</v>
      </c>
      <c r="N1265" s="528" t="s">
        <v>315</v>
      </c>
      <c r="O1265" s="663"/>
      <c r="P1265" s="666"/>
      <c r="Q1265" s="566"/>
      <c r="R1265" s="535"/>
      <c r="S1265" s="530" t="s">
        <v>315</v>
      </c>
      <c r="T1265" s="657" t="s">
        <v>315</v>
      </c>
    </row>
    <row r="1266" spans="1:20" s="508" customFormat="1" ht="165" hidden="1">
      <c r="A1266" s="518" t="s">
        <v>3528</v>
      </c>
      <c r="B1266" s="509" t="s">
        <v>4297</v>
      </c>
      <c r="C1266" s="659" t="s">
        <v>3971</v>
      </c>
      <c r="D1266" s="509" t="s">
        <v>4241</v>
      </c>
      <c r="E1266" s="509" t="str">
        <f>IF('GPS Anthro Tool'!$B$4=1,"North America FMVSS","")</f>
        <v>North America FMVSS</v>
      </c>
      <c r="F1266" s="506" t="s">
        <v>4242</v>
      </c>
      <c r="G1266" s="507" t="s">
        <v>2168</v>
      </c>
      <c r="H1266" s="509" t="s">
        <v>2169</v>
      </c>
      <c r="I1266" s="506"/>
      <c r="J1266" s="506"/>
      <c r="K1266" s="535"/>
      <c r="L1266" s="662"/>
      <c r="M1266" s="535"/>
      <c r="N1266" s="658"/>
      <c r="O1266" s="663"/>
      <c r="P1266" s="666"/>
      <c r="Q1266" s="566"/>
      <c r="R1266" s="535"/>
      <c r="S1266" s="535" t="s">
        <v>1819</v>
      </c>
      <c r="T1266" s="658" t="s">
        <v>1819</v>
      </c>
    </row>
    <row r="1267" spans="1:20" s="508" customFormat="1" ht="150" hidden="1">
      <c r="A1267" s="518" t="s">
        <v>3528</v>
      </c>
      <c r="B1267" s="509" t="s">
        <v>4297</v>
      </c>
      <c r="C1267" s="659" t="s">
        <v>3971</v>
      </c>
      <c r="D1267" s="660" t="s">
        <v>4241</v>
      </c>
      <c r="E1267" s="509" t="str">
        <f>IF('GPS Anthro Tool'!$B$4=1,"North America FMVSS","")</f>
        <v>North America FMVSS</v>
      </c>
      <c r="F1267" s="506" t="s">
        <v>4242</v>
      </c>
      <c r="G1267" s="506"/>
      <c r="H1267" s="659" t="s">
        <v>3990</v>
      </c>
      <c r="I1267" s="639"/>
      <c r="J1267" s="513"/>
      <c r="K1267" s="647"/>
      <c r="L1267" s="526" t="s">
        <v>315</v>
      </c>
      <c r="M1267" s="527" t="s">
        <v>315</v>
      </c>
      <c r="N1267" s="528" t="s">
        <v>315</v>
      </c>
      <c r="O1267" s="663"/>
      <c r="P1267" s="529"/>
      <c r="Q1267" s="531"/>
      <c r="R1267" s="530"/>
      <c r="S1267" s="530" t="s">
        <v>315</v>
      </c>
      <c r="T1267" s="667"/>
    </row>
    <row r="1268" spans="1:20" s="508" customFormat="1" ht="180" hidden="1">
      <c r="A1268" s="518"/>
      <c r="B1268" s="507" t="s">
        <v>606</v>
      </c>
      <c r="C1268" s="509" t="s">
        <v>658</v>
      </c>
      <c r="D1268" s="534" t="s">
        <v>4001</v>
      </c>
      <c r="E1268" s="509" t="str">
        <f>IF('GPS Anthro Tool'!$B$4=1,"North America FMVSS","")</f>
        <v>North America FMVSS</v>
      </c>
      <c r="F1268" s="507" t="s">
        <v>4242</v>
      </c>
      <c r="G1268" s="520" t="s">
        <v>3959</v>
      </c>
      <c r="H1268" s="509" t="s">
        <v>698</v>
      </c>
      <c r="I1268" s="509"/>
      <c r="J1268" s="519" t="s">
        <v>3960</v>
      </c>
      <c r="K1268" s="527" t="s">
        <v>605</v>
      </c>
      <c r="L1268" s="526" t="s">
        <v>315</v>
      </c>
      <c r="M1268" s="527" t="s">
        <v>315</v>
      </c>
      <c r="N1268" s="528" t="s">
        <v>315</v>
      </c>
      <c r="O1268" s="663"/>
      <c r="P1268" s="666"/>
      <c r="Q1268" s="566"/>
      <c r="R1268" s="535"/>
      <c r="S1268" s="530" t="s">
        <v>315</v>
      </c>
      <c r="T1268" s="657" t="s">
        <v>315</v>
      </c>
    </row>
    <row r="1269" spans="1:20" s="508" customFormat="1" ht="60" hidden="1">
      <c r="A1269" s="518"/>
      <c r="B1269" s="507" t="s">
        <v>606</v>
      </c>
      <c r="C1269" s="509" t="s">
        <v>658</v>
      </c>
      <c r="D1269" s="534" t="s">
        <v>4002</v>
      </c>
      <c r="E1269" s="509" t="str">
        <f>IF('GPS Anthro Tool'!$B$4=1,"North America FMVSS","")</f>
        <v>North America FMVSS</v>
      </c>
      <c r="F1269" s="507" t="s">
        <v>4242</v>
      </c>
      <c r="G1269" s="520" t="s">
        <v>3959</v>
      </c>
      <c r="H1269" s="509" t="s">
        <v>2783</v>
      </c>
      <c r="I1269" s="509"/>
      <c r="J1269" s="519" t="s">
        <v>3960</v>
      </c>
      <c r="K1269" s="527" t="s">
        <v>605</v>
      </c>
      <c r="L1269" s="526" t="s">
        <v>315</v>
      </c>
      <c r="M1269" s="527" t="s">
        <v>315</v>
      </c>
      <c r="N1269" s="528" t="s">
        <v>315</v>
      </c>
      <c r="O1269" s="663"/>
      <c r="P1269" s="666"/>
      <c r="Q1269" s="566"/>
      <c r="R1269" s="535"/>
      <c r="S1269" s="530" t="s">
        <v>315</v>
      </c>
      <c r="T1269" s="657" t="s">
        <v>315</v>
      </c>
    </row>
    <row r="1270" spans="1:20" s="508" customFormat="1" ht="150" hidden="1">
      <c r="A1270" s="518"/>
      <c r="B1270" s="507" t="s">
        <v>606</v>
      </c>
      <c r="C1270" s="509" t="s">
        <v>658</v>
      </c>
      <c r="D1270" s="534" t="s">
        <v>15</v>
      </c>
      <c r="E1270" s="509" t="str">
        <f>IF('GPS Anthro Tool'!$B$4=1,"North America FMVSS","")</f>
        <v>North America FMVSS</v>
      </c>
      <c r="F1270" s="507" t="s">
        <v>4242</v>
      </c>
      <c r="G1270" s="520" t="s">
        <v>3959</v>
      </c>
      <c r="H1270" s="509" t="s">
        <v>2784</v>
      </c>
      <c r="I1270" s="509"/>
      <c r="J1270" s="519" t="s">
        <v>3960</v>
      </c>
      <c r="K1270" s="527" t="s">
        <v>605</v>
      </c>
      <c r="L1270" s="526" t="s">
        <v>315</v>
      </c>
      <c r="M1270" s="527" t="s">
        <v>315</v>
      </c>
      <c r="N1270" s="528" t="s">
        <v>315</v>
      </c>
      <c r="O1270" s="663"/>
      <c r="P1270" s="666"/>
      <c r="Q1270" s="566"/>
      <c r="R1270" s="535"/>
      <c r="S1270" s="530" t="s">
        <v>315</v>
      </c>
      <c r="T1270" s="657" t="s">
        <v>315</v>
      </c>
    </row>
    <row r="1271" spans="1:20" s="508" customFormat="1" ht="195" hidden="1">
      <c r="A1271" s="518"/>
      <c r="B1271" s="507" t="s">
        <v>606</v>
      </c>
      <c r="C1271" s="509" t="s">
        <v>658</v>
      </c>
      <c r="D1271" s="534" t="s">
        <v>19</v>
      </c>
      <c r="E1271" s="509" t="str">
        <f>IF('GPS Anthro Tool'!$B$4=1,"North America FMVSS","")</f>
        <v>North America FMVSS</v>
      </c>
      <c r="F1271" s="507" t="s">
        <v>4242</v>
      </c>
      <c r="G1271" s="520" t="s">
        <v>3959</v>
      </c>
      <c r="H1271" s="509" t="s">
        <v>2785</v>
      </c>
      <c r="I1271" s="509"/>
      <c r="J1271" s="519" t="s">
        <v>3960</v>
      </c>
      <c r="K1271" s="527" t="s">
        <v>605</v>
      </c>
      <c r="L1271" s="526" t="s">
        <v>315</v>
      </c>
      <c r="M1271" s="527" t="s">
        <v>315</v>
      </c>
      <c r="N1271" s="528" t="s">
        <v>315</v>
      </c>
      <c r="O1271" s="663"/>
      <c r="P1271" s="666"/>
      <c r="Q1271" s="566"/>
      <c r="R1271" s="535"/>
      <c r="S1271" s="530" t="s">
        <v>315</v>
      </c>
      <c r="T1271" s="657" t="s">
        <v>315</v>
      </c>
    </row>
    <row r="1272" spans="1:20" s="508" customFormat="1" ht="225" hidden="1">
      <c r="A1272" s="518"/>
      <c r="B1272" s="507" t="s">
        <v>606</v>
      </c>
      <c r="C1272" s="509" t="s">
        <v>658</v>
      </c>
      <c r="D1272" s="534" t="s">
        <v>25</v>
      </c>
      <c r="E1272" s="509" t="str">
        <f>IF('GPS Anthro Tool'!$B$4=1,"North America FMVSS","")</f>
        <v>North America FMVSS</v>
      </c>
      <c r="F1272" s="507" t="s">
        <v>4242</v>
      </c>
      <c r="G1272" s="520" t="s">
        <v>3959</v>
      </c>
      <c r="H1272" s="509" t="s">
        <v>2787</v>
      </c>
      <c r="I1272" s="509"/>
      <c r="J1272" s="519" t="s">
        <v>3960</v>
      </c>
      <c r="K1272" s="527" t="s">
        <v>605</v>
      </c>
      <c r="L1272" s="526" t="s">
        <v>315</v>
      </c>
      <c r="M1272" s="527" t="s">
        <v>315</v>
      </c>
      <c r="N1272" s="528" t="s">
        <v>315</v>
      </c>
      <c r="O1272" s="663"/>
      <c r="P1272" s="666"/>
      <c r="Q1272" s="566"/>
      <c r="R1272" s="535"/>
      <c r="S1272" s="530" t="s">
        <v>315</v>
      </c>
      <c r="T1272" s="657" t="s">
        <v>315</v>
      </c>
    </row>
    <row r="1273" spans="1:20" s="508" customFormat="1" ht="180" hidden="1">
      <c r="A1273" s="518"/>
      <c r="B1273" s="507" t="s">
        <v>606</v>
      </c>
      <c r="C1273" s="509" t="s">
        <v>658</v>
      </c>
      <c r="D1273" s="534" t="s">
        <v>31</v>
      </c>
      <c r="E1273" s="509" t="str">
        <f>IF('GPS Anthro Tool'!$B$4=1,"North America FMVSS","")</f>
        <v>North America FMVSS</v>
      </c>
      <c r="F1273" s="507" t="s">
        <v>4242</v>
      </c>
      <c r="G1273" s="520" t="s">
        <v>3959</v>
      </c>
      <c r="H1273" s="509" t="s">
        <v>2788</v>
      </c>
      <c r="I1273" s="509"/>
      <c r="J1273" s="519" t="s">
        <v>3960</v>
      </c>
      <c r="K1273" s="527" t="s">
        <v>605</v>
      </c>
      <c r="L1273" s="526" t="s">
        <v>315</v>
      </c>
      <c r="M1273" s="527" t="s">
        <v>315</v>
      </c>
      <c r="N1273" s="528" t="s">
        <v>315</v>
      </c>
      <c r="O1273" s="663"/>
      <c r="P1273" s="666"/>
      <c r="Q1273" s="566"/>
      <c r="R1273" s="535"/>
      <c r="S1273" s="530" t="s">
        <v>315</v>
      </c>
      <c r="T1273" s="657" t="s">
        <v>315</v>
      </c>
    </row>
    <row r="1274" spans="1:20" s="508" customFormat="1" ht="210" hidden="1">
      <c r="A1274" s="518"/>
      <c r="B1274" s="507" t="s">
        <v>606</v>
      </c>
      <c r="C1274" s="509" t="s">
        <v>658</v>
      </c>
      <c r="D1274" s="534" t="s">
        <v>37</v>
      </c>
      <c r="E1274" s="509" t="str">
        <f>IF('GPS Anthro Tool'!$B$4=1,"North America FMVSS","")</f>
        <v>North America FMVSS</v>
      </c>
      <c r="F1274" s="507" t="s">
        <v>4242</v>
      </c>
      <c r="G1274" s="520" t="s">
        <v>3959</v>
      </c>
      <c r="H1274" s="509" t="s">
        <v>2789</v>
      </c>
      <c r="I1274" s="509"/>
      <c r="J1274" s="519" t="s">
        <v>3960</v>
      </c>
      <c r="K1274" s="527" t="s">
        <v>605</v>
      </c>
      <c r="L1274" s="526" t="s">
        <v>315</v>
      </c>
      <c r="M1274" s="527" t="s">
        <v>315</v>
      </c>
      <c r="N1274" s="528" t="s">
        <v>315</v>
      </c>
      <c r="O1274" s="663"/>
      <c r="P1274" s="666"/>
      <c r="Q1274" s="566"/>
      <c r="R1274" s="535"/>
      <c r="S1274" s="530" t="s">
        <v>315</v>
      </c>
      <c r="T1274" s="657" t="s">
        <v>315</v>
      </c>
    </row>
    <row r="1275" spans="1:20" s="508" customFormat="1" ht="150" hidden="1">
      <c r="A1275" s="518"/>
      <c r="B1275" s="507" t="s">
        <v>606</v>
      </c>
      <c r="C1275" s="509" t="s">
        <v>658</v>
      </c>
      <c r="D1275" s="534" t="s">
        <v>40</v>
      </c>
      <c r="E1275" s="509" t="str">
        <f>IF('GPS Anthro Tool'!$B$4=1,"North America FMVSS","")</f>
        <v>North America FMVSS</v>
      </c>
      <c r="F1275" s="507" t="s">
        <v>4242</v>
      </c>
      <c r="G1275" s="520" t="s">
        <v>3959</v>
      </c>
      <c r="H1275" s="509" t="s">
        <v>2790</v>
      </c>
      <c r="I1275" s="509"/>
      <c r="J1275" s="519" t="s">
        <v>3960</v>
      </c>
      <c r="K1275" s="527" t="s">
        <v>605</v>
      </c>
      <c r="L1275" s="526" t="s">
        <v>315</v>
      </c>
      <c r="M1275" s="527" t="s">
        <v>315</v>
      </c>
      <c r="N1275" s="528" t="s">
        <v>315</v>
      </c>
      <c r="O1275" s="663"/>
      <c r="P1275" s="666"/>
      <c r="Q1275" s="566"/>
      <c r="R1275" s="535"/>
      <c r="S1275" s="530" t="s">
        <v>315</v>
      </c>
      <c r="T1275" s="657" t="s">
        <v>315</v>
      </c>
    </row>
    <row r="1276" spans="1:20" s="508" customFormat="1" ht="165" hidden="1">
      <c r="A1276" s="518"/>
      <c r="B1276" s="507" t="s">
        <v>606</v>
      </c>
      <c r="C1276" s="509" t="s">
        <v>658</v>
      </c>
      <c r="D1276" s="534" t="s">
        <v>4003</v>
      </c>
      <c r="E1276" s="509" t="str">
        <f>IF('GPS Anthro Tool'!$B$4=1,"North America FMVSS","")</f>
        <v>North America FMVSS</v>
      </c>
      <c r="F1276" s="507" t="s">
        <v>4242</v>
      </c>
      <c r="G1276" s="520" t="s">
        <v>3959</v>
      </c>
      <c r="H1276" s="509" t="s">
        <v>2792</v>
      </c>
      <c r="I1276" s="509"/>
      <c r="J1276" s="519" t="s">
        <v>3960</v>
      </c>
      <c r="K1276" s="527" t="s">
        <v>605</v>
      </c>
      <c r="L1276" s="526" t="s">
        <v>315</v>
      </c>
      <c r="M1276" s="527" t="s">
        <v>315</v>
      </c>
      <c r="N1276" s="528" t="s">
        <v>315</v>
      </c>
      <c r="O1276" s="663"/>
      <c r="P1276" s="666"/>
      <c r="Q1276" s="566"/>
      <c r="R1276" s="535"/>
      <c r="S1276" s="530" t="s">
        <v>315</v>
      </c>
      <c r="T1276" s="657" t="s">
        <v>315</v>
      </c>
    </row>
    <row r="1277" spans="1:20" s="508" customFormat="1" ht="135" hidden="1">
      <c r="A1277" s="518"/>
      <c r="B1277" s="509" t="s">
        <v>1803</v>
      </c>
      <c r="C1277" s="509" t="s">
        <v>1804</v>
      </c>
      <c r="D1277" s="507" t="s">
        <v>4230</v>
      </c>
      <c r="E1277" s="509" t="str">
        <f>IF('GPS Anthro Tool'!$B$4=1,"North America FMVSS","")</f>
        <v>North America FMVSS</v>
      </c>
      <c r="F1277" s="507" t="s">
        <v>4242</v>
      </c>
      <c r="G1277" s="520"/>
      <c r="H1277" s="509" t="s">
        <v>1805</v>
      </c>
      <c r="I1277" s="509"/>
      <c r="J1277" s="519" t="s">
        <v>3960</v>
      </c>
      <c r="K1277" s="527" t="s">
        <v>605</v>
      </c>
      <c r="L1277" s="526" t="s">
        <v>315</v>
      </c>
      <c r="M1277" s="527" t="s">
        <v>315</v>
      </c>
      <c r="N1277" s="528" t="s">
        <v>315</v>
      </c>
      <c r="O1277" s="663"/>
      <c r="P1277" s="666"/>
      <c r="Q1277" s="566"/>
      <c r="R1277" s="535"/>
      <c r="S1277" s="530" t="s">
        <v>315</v>
      </c>
      <c r="T1277" s="657" t="s">
        <v>315</v>
      </c>
    </row>
    <row r="1278" spans="1:20" s="508" customFormat="1" ht="135" hidden="1">
      <c r="A1278" s="518"/>
      <c r="B1278" s="509" t="s">
        <v>1803</v>
      </c>
      <c r="C1278" s="509" t="s">
        <v>1804</v>
      </c>
      <c r="D1278" s="509" t="s">
        <v>4231</v>
      </c>
      <c r="E1278" s="509" t="str">
        <f>IF('GPS Anthro Tool'!$B$4=1,"North America FMVSS","")</f>
        <v>North America FMVSS</v>
      </c>
      <c r="F1278" s="507" t="s">
        <v>4242</v>
      </c>
      <c r="G1278" s="520"/>
      <c r="H1278" s="509" t="s">
        <v>1806</v>
      </c>
      <c r="I1278" s="509"/>
      <c r="J1278" s="519" t="s">
        <v>3960</v>
      </c>
      <c r="K1278" s="527" t="s">
        <v>605</v>
      </c>
      <c r="L1278" s="526" t="s">
        <v>315</v>
      </c>
      <c r="M1278" s="527" t="s">
        <v>315</v>
      </c>
      <c r="N1278" s="528" t="s">
        <v>315</v>
      </c>
      <c r="O1278" s="663"/>
      <c r="P1278" s="666"/>
      <c r="Q1278" s="566"/>
      <c r="R1278" s="535"/>
      <c r="S1278" s="530" t="s">
        <v>315</v>
      </c>
      <c r="T1278" s="657" t="s">
        <v>315</v>
      </c>
    </row>
    <row r="1279" spans="1:20" s="508" customFormat="1" ht="360" hidden="1">
      <c r="A1279" s="518"/>
      <c r="B1279" s="509" t="s">
        <v>1803</v>
      </c>
      <c r="C1279" s="509" t="s">
        <v>1804</v>
      </c>
      <c r="D1279" s="509" t="s">
        <v>4232</v>
      </c>
      <c r="E1279" s="509" t="str">
        <f>IF('GPS Anthro Tool'!$B$4=1,"North America FMVSS","")</f>
        <v>North America FMVSS</v>
      </c>
      <c r="F1279" s="507" t="s">
        <v>4242</v>
      </c>
      <c r="G1279" s="520"/>
      <c r="H1279" s="509" t="s">
        <v>1807</v>
      </c>
      <c r="I1279" s="509"/>
      <c r="J1279" s="519" t="s">
        <v>3960</v>
      </c>
      <c r="K1279" s="527" t="s">
        <v>605</v>
      </c>
      <c r="L1279" s="526" t="s">
        <v>315</v>
      </c>
      <c r="M1279" s="527" t="s">
        <v>315</v>
      </c>
      <c r="N1279" s="528" t="s">
        <v>315</v>
      </c>
      <c r="O1279" s="663"/>
      <c r="P1279" s="666"/>
      <c r="Q1279" s="566"/>
      <c r="R1279" s="535"/>
      <c r="S1279" s="530" t="s">
        <v>315</v>
      </c>
      <c r="T1279" s="657" t="s">
        <v>315</v>
      </c>
    </row>
    <row r="1280" spans="1:20" s="508" customFormat="1" ht="90" hidden="1">
      <c r="A1280" s="518"/>
      <c r="B1280" s="509" t="s">
        <v>1803</v>
      </c>
      <c r="C1280" s="509" t="s">
        <v>1804</v>
      </c>
      <c r="D1280" s="509" t="s">
        <v>4233</v>
      </c>
      <c r="E1280" s="509" t="str">
        <f>IF('GPS Anthro Tool'!$B$4=1,"North America FMVSS","")</f>
        <v>North America FMVSS</v>
      </c>
      <c r="F1280" s="507" t="s">
        <v>4242</v>
      </c>
      <c r="G1280" s="520"/>
      <c r="H1280" s="509" t="s">
        <v>1808</v>
      </c>
      <c r="I1280" s="509"/>
      <c r="J1280" s="519" t="s">
        <v>3960</v>
      </c>
      <c r="K1280" s="527" t="s">
        <v>605</v>
      </c>
      <c r="L1280" s="526" t="s">
        <v>315</v>
      </c>
      <c r="M1280" s="527" t="s">
        <v>315</v>
      </c>
      <c r="N1280" s="528" t="s">
        <v>315</v>
      </c>
      <c r="O1280" s="663"/>
      <c r="P1280" s="666"/>
      <c r="Q1280" s="566"/>
      <c r="R1280" s="535"/>
      <c r="S1280" s="530" t="s">
        <v>315</v>
      </c>
      <c r="T1280" s="657" t="s">
        <v>315</v>
      </c>
    </row>
    <row r="1281" spans="1:20" s="508" customFormat="1" ht="180" hidden="1">
      <c r="A1281" s="518"/>
      <c r="B1281" s="509" t="s">
        <v>1803</v>
      </c>
      <c r="C1281" s="509" t="s">
        <v>1804</v>
      </c>
      <c r="D1281" s="509" t="s">
        <v>4234</v>
      </c>
      <c r="E1281" s="509" t="str">
        <f>IF('GPS Anthro Tool'!$B$4=1,"North America FMVSS","")</f>
        <v>North America FMVSS</v>
      </c>
      <c r="F1281" s="507" t="s">
        <v>4242</v>
      </c>
      <c r="G1281" s="520"/>
      <c r="H1281" s="509" t="s">
        <v>1809</v>
      </c>
      <c r="I1281" s="509"/>
      <c r="J1281" s="519" t="s">
        <v>3960</v>
      </c>
      <c r="K1281" s="527" t="s">
        <v>605</v>
      </c>
      <c r="L1281" s="526" t="s">
        <v>315</v>
      </c>
      <c r="M1281" s="527" t="s">
        <v>315</v>
      </c>
      <c r="N1281" s="528" t="s">
        <v>315</v>
      </c>
      <c r="O1281" s="663"/>
      <c r="P1281" s="666"/>
      <c r="Q1281" s="566"/>
      <c r="R1281" s="535"/>
      <c r="S1281" s="530" t="s">
        <v>315</v>
      </c>
      <c r="T1281" s="657" t="s">
        <v>315</v>
      </c>
    </row>
    <row r="1282" spans="1:20" s="508" customFormat="1" ht="90" hidden="1">
      <c r="A1282" s="518"/>
      <c r="B1282" s="509" t="s">
        <v>1803</v>
      </c>
      <c r="C1282" s="509" t="s">
        <v>1804</v>
      </c>
      <c r="D1282" s="509" t="s">
        <v>4235</v>
      </c>
      <c r="E1282" s="509" t="str">
        <f>IF('GPS Anthro Tool'!$B$4=1,"North America FMVSS","")</f>
        <v>North America FMVSS</v>
      </c>
      <c r="F1282" s="507" t="s">
        <v>4242</v>
      </c>
      <c r="G1282" s="520"/>
      <c r="H1282" s="509" t="s">
        <v>1810</v>
      </c>
      <c r="I1282" s="509"/>
      <c r="J1282" s="519" t="s">
        <v>3960</v>
      </c>
      <c r="K1282" s="527" t="s">
        <v>605</v>
      </c>
      <c r="L1282" s="526" t="s">
        <v>315</v>
      </c>
      <c r="M1282" s="527" t="s">
        <v>315</v>
      </c>
      <c r="N1282" s="528" t="s">
        <v>315</v>
      </c>
      <c r="O1282" s="663"/>
      <c r="P1282" s="666"/>
      <c r="Q1282" s="566"/>
      <c r="R1282" s="535"/>
      <c r="S1282" s="530" t="s">
        <v>315</v>
      </c>
      <c r="T1282" s="657" t="s">
        <v>315</v>
      </c>
    </row>
    <row r="1283" spans="1:20" s="508" customFormat="1" ht="45" hidden="1">
      <c r="A1283" s="518"/>
      <c r="B1283" s="509" t="s">
        <v>1803</v>
      </c>
      <c r="C1283" s="509" t="s">
        <v>1804</v>
      </c>
      <c r="D1283" s="509" t="s">
        <v>4236</v>
      </c>
      <c r="E1283" s="509" t="str">
        <f>IF('GPS Anthro Tool'!$B$4=1,"North America FMVSS","")</f>
        <v>North America FMVSS</v>
      </c>
      <c r="F1283" s="507" t="s">
        <v>4242</v>
      </c>
      <c r="G1283" s="520"/>
      <c r="H1283" s="509" t="s">
        <v>1811</v>
      </c>
      <c r="I1283" s="509"/>
      <c r="J1283" s="519" t="s">
        <v>3960</v>
      </c>
      <c r="K1283" s="527" t="s">
        <v>605</v>
      </c>
      <c r="L1283" s="526" t="s">
        <v>315</v>
      </c>
      <c r="M1283" s="527" t="s">
        <v>315</v>
      </c>
      <c r="N1283" s="528" t="s">
        <v>315</v>
      </c>
      <c r="O1283" s="663"/>
      <c r="P1283" s="666"/>
      <c r="Q1283" s="566"/>
      <c r="R1283" s="535"/>
      <c r="S1283" s="530" t="s">
        <v>315</v>
      </c>
      <c r="T1283" s="657" t="s">
        <v>315</v>
      </c>
    </row>
    <row r="1284" spans="1:20" s="508" customFormat="1" ht="345" hidden="1">
      <c r="A1284" s="518"/>
      <c r="B1284" s="509" t="s">
        <v>1803</v>
      </c>
      <c r="C1284" s="509" t="s">
        <v>1804</v>
      </c>
      <c r="D1284" s="509" t="s">
        <v>4237</v>
      </c>
      <c r="E1284" s="509" t="str">
        <f>IF('GPS Anthro Tool'!$B$4=1,"North America FMVSS","")</f>
        <v>North America FMVSS</v>
      </c>
      <c r="F1284" s="507" t="s">
        <v>4242</v>
      </c>
      <c r="G1284" s="520"/>
      <c r="H1284" s="509" t="s">
        <v>1812</v>
      </c>
      <c r="I1284" s="509"/>
      <c r="J1284" s="519" t="s">
        <v>3960</v>
      </c>
      <c r="K1284" s="527" t="s">
        <v>605</v>
      </c>
      <c r="L1284" s="526" t="s">
        <v>315</v>
      </c>
      <c r="M1284" s="527" t="s">
        <v>315</v>
      </c>
      <c r="N1284" s="528" t="s">
        <v>315</v>
      </c>
      <c r="O1284" s="663"/>
      <c r="P1284" s="666"/>
      <c r="Q1284" s="566"/>
      <c r="R1284" s="535"/>
      <c r="S1284" s="530" t="s">
        <v>315</v>
      </c>
      <c r="T1284" s="657" t="s">
        <v>315</v>
      </c>
    </row>
    <row r="1285" spans="1:20" s="508" customFormat="1" ht="375" hidden="1">
      <c r="A1285" s="518"/>
      <c r="B1285" s="509" t="s">
        <v>1803</v>
      </c>
      <c r="C1285" s="509" t="s">
        <v>1804</v>
      </c>
      <c r="D1285" s="509" t="s">
        <v>4238</v>
      </c>
      <c r="E1285" s="509" t="str">
        <f>IF('GPS Anthro Tool'!$B$4=1,"North America FMVSS","")</f>
        <v>North America FMVSS</v>
      </c>
      <c r="F1285" s="507" t="s">
        <v>4242</v>
      </c>
      <c r="G1285" s="520"/>
      <c r="H1285" s="509" t="s">
        <v>1813</v>
      </c>
      <c r="I1285" s="509"/>
      <c r="J1285" s="519" t="s">
        <v>3960</v>
      </c>
      <c r="K1285" s="527" t="s">
        <v>605</v>
      </c>
      <c r="L1285" s="526" t="s">
        <v>315</v>
      </c>
      <c r="M1285" s="527" t="s">
        <v>315</v>
      </c>
      <c r="N1285" s="528" t="s">
        <v>315</v>
      </c>
      <c r="O1285" s="663"/>
      <c r="P1285" s="666"/>
      <c r="Q1285" s="566"/>
      <c r="R1285" s="535"/>
      <c r="S1285" s="530" t="s">
        <v>315</v>
      </c>
      <c r="T1285" s="657" t="s">
        <v>315</v>
      </c>
    </row>
    <row r="1286" spans="1:20" s="508" customFormat="1" ht="30">
      <c r="A1286" s="518"/>
      <c r="B1286" s="506"/>
      <c r="C1286" s="506" t="s">
        <v>2144</v>
      </c>
      <c r="D1286" s="507" t="s">
        <v>2839</v>
      </c>
      <c r="E1286" s="509" t="str">
        <f>IF('GPS Anthro Tool'!$B$4=1,"North America FMVSS","")</f>
        <v>North America FMVSS</v>
      </c>
      <c r="F1286" s="507" t="s">
        <v>4242</v>
      </c>
      <c r="G1286" s="507" t="s">
        <v>2840</v>
      </c>
      <c r="H1286" s="507" t="s">
        <v>2841</v>
      </c>
      <c r="I1286" s="507"/>
      <c r="J1286" s="506" t="s">
        <v>3960</v>
      </c>
      <c r="K1286" s="527" t="s">
        <v>315</v>
      </c>
      <c r="L1286" s="526" t="s">
        <v>315</v>
      </c>
      <c r="M1286" s="527" t="s">
        <v>315</v>
      </c>
      <c r="N1286" s="528" t="s">
        <v>315</v>
      </c>
      <c r="O1286" s="663"/>
      <c r="P1286" s="529"/>
      <c r="Q1286" s="531"/>
      <c r="R1286" s="530"/>
      <c r="S1286" s="530" t="s">
        <v>315</v>
      </c>
      <c r="T1286" s="667"/>
    </row>
    <row r="1287" spans="1:20" s="508" customFormat="1" ht="210">
      <c r="A1287" s="518"/>
      <c r="B1287" s="506"/>
      <c r="C1287" s="506" t="s">
        <v>2144</v>
      </c>
      <c r="D1287" s="507" t="s">
        <v>2842</v>
      </c>
      <c r="E1287" s="509" t="str">
        <f>IF('GPS Anthro Tool'!$B$4=1,"North America FMVSS","")</f>
        <v>North America FMVSS</v>
      </c>
      <c r="F1287" s="507" t="s">
        <v>4242</v>
      </c>
      <c r="G1287" s="507" t="s">
        <v>2840</v>
      </c>
      <c r="H1287" s="507" t="s">
        <v>2843</v>
      </c>
      <c r="I1287" s="507"/>
      <c r="J1287" s="506" t="s">
        <v>3960</v>
      </c>
      <c r="K1287" s="527" t="s">
        <v>315</v>
      </c>
      <c r="L1287" s="526" t="s">
        <v>315</v>
      </c>
      <c r="M1287" s="527" t="s">
        <v>315</v>
      </c>
      <c r="N1287" s="528" t="s">
        <v>315</v>
      </c>
      <c r="O1287" s="663"/>
      <c r="P1287" s="529"/>
      <c r="Q1287" s="531"/>
      <c r="R1287" s="530"/>
      <c r="S1287" s="530" t="s">
        <v>315</v>
      </c>
      <c r="T1287" s="667"/>
    </row>
    <row r="1288" spans="1:20" s="508" customFormat="1" ht="30">
      <c r="A1288" s="518"/>
      <c r="B1288" s="506"/>
      <c r="C1288" s="506" t="s">
        <v>2144</v>
      </c>
      <c r="D1288" s="507" t="s">
        <v>2844</v>
      </c>
      <c r="E1288" s="509" t="str">
        <f>IF('GPS Anthro Tool'!$B$4=1,"North America FMVSS","")</f>
        <v>North America FMVSS</v>
      </c>
      <c r="F1288" s="507" t="s">
        <v>4242</v>
      </c>
      <c r="G1288" s="507" t="s">
        <v>2840</v>
      </c>
      <c r="H1288" s="507" t="s">
        <v>2845</v>
      </c>
      <c r="I1288" s="507"/>
      <c r="J1288" s="506" t="s">
        <v>3960</v>
      </c>
      <c r="K1288" s="527" t="s">
        <v>315</v>
      </c>
      <c r="L1288" s="526" t="s">
        <v>315</v>
      </c>
      <c r="M1288" s="527" t="s">
        <v>315</v>
      </c>
      <c r="N1288" s="528" t="s">
        <v>315</v>
      </c>
      <c r="O1288" s="663"/>
      <c r="P1288" s="529"/>
      <c r="Q1288" s="531"/>
      <c r="R1288" s="530"/>
      <c r="S1288" s="530" t="s">
        <v>315</v>
      </c>
      <c r="T1288" s="667"/>
    </row>
    <row r="1289" spans="1:20" s="508" customFormat="1" ht="90">
      <c r="A1289" s="518"/>
      <c r="B1289" s="506"/>
      <c r="C1289" s="506" t="s">
        <v>2144</v>
      </c>
      <c r="D1289" s="507" t="s">
        <v>2846</v>
      </c>
      <c r="E1289" s="509" t="str">
        <f>IF('GPS Anthro Tool'!$B$4=1,"North America FMVSS","")</f>
        <v>North America FMVSS</v>
      </c>
      <c r="F1289" s="507" t="s">
        <v>4242</v>
      </c>
      <c r="G1289" s="507" t="s">
        <v>2840</v>
      </c>
      <c r="H1289" s="507" t="s">
        <v>2847</v>
      </c>
      <c r="I1289" s="507"/>
      <c r="J1289" s="506" t="s">
        <v>3960</v>
      </c>
      <c r="K1289" s="527" t="s">
        <v>315</v>
      </c>
      <c r="L1289" s="526" t="s">
        <v>315</v>
      </c>
      <c r="M1289" s="527" t="s">
        <v>315</v>
      </c>
      <c r="N1289" s="528" t="s">
        <v>315</v>
      </c>
      <c r="O1289" s="663"/>
      <c r="P1289" s="529"/>
      <c r="Q1289" s="531"/>
      <c r="R1289" s="530"/>
      <c r="S1289" s="530" t="s">
        <v>315</v>
      </c>
      <c r="T1289" s="667"/>
    </row>
    <row r="1290" spans="1:20" s="508" customFormat="1" ht="30">
      <c r="A1290" s="518"/>
      <c r="B1290" s="506"/>
      <c r="C1290" s="506" t="s">
        <v>2144</v>
      </c>
      <c r="D1290" s="507" t="s">
        <v>2848</v>
      </c>
      <c r="E1290" s="509" t="str">
        <f>IF('GPS Anthro Tool'!$B$4=1,"North America FMVSS","")</f>
        <v>North America FMVSS</v>
      </c>
      <c r="F1290" s="507" t="s">
        <v>4242</v>
      </c>
      <c r="G1290" s="507" t="s">
        <v>2840</v>
      </c>
      <c r="H1290" s="507" t="s">
        <v>2849</v>
      </c>
      <c r="I1290" s="507"/>
      <c r="J1290" s="506" t="s">
        <v>3960</v>
      </c>
      <c r="K1290" s="527" t="s">
        <v>315</v>
      </c>
      <c r="L1290" s="526" t="s">
        <v>315</v>
      </c>
      <c r="M1290" s="527" t="s">
        <v>315</v>
      </c>
      <c r="N1290" s="528" t="s">
        <v>315</v>
      </c>
      <c r="O1290" s="663"/>
      <c r="P1290" s="529"/>
      <c r="Q1290" s="531"/>
      <c r="R1290" s="530"/>
      <c r="S1290" s="530" t="s">
        <v>315</v>
      </c>
      <c r="T1290" s="667"/>
    </row>
    <row r="1291" spans="1:20" s="508" customFormat="1" ht="30">
      <c r="A1291" s="518"/>
      <c r="B1291" s="506"/>
      <c r="C1291" s="506" t="s">
        <v>2144</v>
      </c>
      <c r="D1291" s="507" t="s">
        <v>2850</v>
      </c>
      <c r="E1291" s="509" t="str">
        <f>IF('GPS Anthro Tool'!$B$4=1,"North America FMVSS","")</f>
        <v>North America FMVSS</v>
      </c>
      <c r="F1291" s="507" t="s">
        <v>4242</v>
      </c>
      <c r="G1291" s="507" t="s">
        <v>2840</v>
      </c>
      <c r="H1291" s="507" t="s">
        <v>2851</v>
      </c>
      <c r="I1291" s="507"/>
      <c r="J1291" s="506" t="s">
        <v>3960</v>
      </c>
      <c r="K1291" s="527" t="s">
        <v>315</v>
      </c>
      <c r="L1291" s="526" t="s">
        <v>315</v>
      </c>
      <c r="M1291" s="527" t="s">
        <v>315</v>
      </c>
      <c r="N1291" s="528" t="s">
        <v>315</v>
      </c>
      <c r="O1291" s="663"/>
      <c r="P1291" s="529"/>
      <c r="Q1291" s="531"/>
      <c r="R1291" s="530"/>
      <c r="S1291" s="530" t="s">
        <v>315</v>
      </c>
      <c r="T1291" s="667"/>
    </row>
    <row r="1292" spans="1:20" s="508" customFormat="1" ht="409.5">
      <c r="A1292" s="518"/>
      <c r="B1292" s="506"/>
      <c r="C1292" s="506" t="s">
        <v>2144</v>
      </c>
      <c r="D1292" s="507" t="s">
        <v>2850</v>
      </c>
      <c r="E1292" s="509" t="str">
        <f>IF('GPS Anthro Tool'!$B$4=1,"North America FMVSS","")</f>
        <v>North America FMVSS</v>
      </c>
      <c r="F1292" s="507" t="s">
        <v>4242</v>
      </c>
      <c r="G1292" s="507" t="s">
        <v>2840</v>
      </c>
      <c r="H1292" s="507" t="s">
        <v>2852</v>
      </c>
      <c r="I1292" s="507"/>
      <c r="J1292" s="506" t="s">
        <v>3960</v>
      </c>
      <c r="K1292" s="527" t="s">
        <v>315</v>
      </c>
      <c r="L1292" s="526" t="s">
        <v>315</v>
      </c>
      <c r="M1292" s="527" t="s">
        <v>315</v>
      </c>
      <c r="N1292" s="528" t="s">
        <v>315</v>
      </c>
      <c r="O1292" s="663"/>
      <c r="P1292" s="529"/>
      <c r="Q1292" s="531"/>
      <c r="R1292" s="530"/>
      <c r="S1292" s="530" t="s">
        <v>315</v>
      </c>
      <c r="T1292" s="667"/>
    </row>
    <row r="1293" spans="1:20" s="508" customFormat="1" ht="165">
      <c r="A1293" s="518"/>
      <c r="B1293" s="506"/>
      <c r="C1293" s="506" t="s">
        <v>2144</v>
      </c>
      <c r="D1293" s="507" t="s">
        <v>2853</v>
      </c>
      <c r="E1293" s="509" t="str">
        <f>IF('GPS Anthro Tool'!$B$4=1,"North America FMVSS","")</f>
        <v>North America FMVSS</v>
      </c>
      <c r="F1293" s="507" t="s">
        <v>4242</v>
      </c>
      <c r="G1293" s="507" t="s">
        <v>2840</v>
      </c>
      <c r="H1293" s="507" t="s">
        <v>2854</v>
      </c>
      <c r="I1293" s="507"/>
      <c r="J1293" s="506" t="s">
        <v>3960</v>
      </c>
      <c r="K1293" s="527" t="s">
        <v>315</v>
      </c>
      <c r="L1293" s="526" t="s">
        <v>315</v>
      </c>
      <c r="M1293" s="527" t="s">
        <v>315</v>
      </c>
      <c r="N1293" s="528" t="s">
        <v>315</v>
      </c>
      <c r="O1293" s="663"/>
      <c r="P1293" s="529"/>
      <c r="Q1293" s="531"/>
      <c r="R1293" s="530"/>
      <c r="S1293" s="530" t="s">
        <v>315</v>
      </c>
      <c r="T1293" s="667"/>
    </row>
    <row r="1294" spans="1:20" s="508" customFormat="1" ht="45">
      <c r="A1294" s="518"/>
      <c r="B1294" s="506"/>
      <c r="C1294" s="506" t="s">
        <v>2144</v>
      </c>
      <c r="D1294" s="507" t="s">
        <v>2855</v>
      </c>
      <c r="E1294" s="509" t="str">
        <f>IF('GPS Anthro Tool'!$B$4=1,"North America FMVSS","")</f>
        <v>North America FMVSS</v>
      </c>
      <c r="F1294" s="507" t="s">
        <v>4242</v>
      </c>
      <c r="G1294" s="507" t="s">
        <v>2840</v>
      </c>
      <c r="H1294" s="507" t="s">
        <v>2856</v>
      </c>
      <c r="I1294" s="507"/>
      <c r="J1294" s="506" t="s">
        <v>3960</v>
      </c>
      <c r="K1294" s="527" t="s">
        <v>315</v>
      </c>
      <c r="L1294" s="526" t="s">
        <v>315</v>
      </c>
      <c r="M1294" s="527" t="s">
        <v>315</v>
      </c>
      <c r="N1294" s="528" t="s">
        <v>315</v>
      </c>
      <c r="O1294" s="663"/>
      <c r="P1294" s="529"/>
      <c r="Q1294" s="531"/>
      <c r="R1294" s="530"/>
      <c r="S1294" s="530" t="s">
        <v>315</v>
      </c>
      <c r="T1294" s="667"/>
    </row>
    <row r="1295" spans="1:20" s="508" customFormat="1" ht="330">
      <c r="A1295" s="518"/>
      <c r="B1295" s="506"/>
      <c r="C1295" s="506" t="s">
        <v>2144</v>
      </c>
      <c r="D1295" s="507" t="s">
        <v>2857</v>
      </c>
      <c r="E1295" s="509" t="str">
        <f>IF('GPS Anthro Tool'!$B$4=1,"North America FMVSS","")</f>
        <v>North America FMVSS</v>
      </c>
      <c r="F1295" s="507" t="s">
        <v>4242</v>
      </c>
      <c r="G1295" s="507" t="s">
        <v>2840</v>
      </c>
      <c r="H1295" s="507" t="s">
        <v>2858</v>
      </c>
      <c r="I1295" s="507"/>
      <c r="J1295" s="506" t="s">
        <v>3960</v>
      </c>
      <c r="K1295" s="527" t="s">
        <v>315</v>
      </c>
      <c r="L1295" s="526" t="s">
        <v>315</v>
      </c>
      <c r="M1295" s="527" t="s">
        <v>315</v>
      </c>
      <c r="N1295" s="528" t="s">
        <v>315</v>
      </c>
      <c r="O1295" s="663"/>
      <c r="P1295" s="529"/>
      <c r="Q1295" s="531"/>
      <c r="R1295" s="530"/>
      <c r="S1295" s="530" t="s">
        <v>315</v>
      </c>
      <c r="T1295" s="667"/>
    </row>
    <row r="1296" spans="1:20" s="515" customFormat="1" ht="195">
      <c r="A1296" s="668"/>
      <c r="B1296" s="506"/>
      <c r="C1296" s="506" t="s">
        <v>2144</v>
      </c>
      <c r="D1296" s="507" t="s">
        <v>2859</v>
      </c>
      <c r="E1296" s="509" t="str">
        <f>IF('GPS Anthro Tool'!$B$4=1,"North America FMVSS","")</f>
        <v>North America FMVSS</v>
      </c>
      <c r="F1296" s="507" t="s">
        <v>4242</v>
      </c>
      <c r="G1296" s="507" t="s">
        <v>2840</v>
      </c>
      <c r="H1296" s="507" t="s">
        <v>2860</v>
      </c>
      <c r="I1296" s="507"/>
      <c r="J1296" s="506" t="s">
        <v>3960</v>
      </c>
      <c r="K1296" s="527" t="s">
        <v>315</v>
      </c>
      <c r="L1296" s="526" t="s">
        <v>315</v>
      </c>
      <c r="M1296" s="527" t="s">
        <v>315</v>
      </c>
      <c r="N1296" s="528" t="s">
        <v>315</v>
      </c>
      <c r="O1296" s="663"/>
      <c r="P1296" s="529"/>
      <c r="Q1296" s="531"/>
      <c r="R1296" s="530"/>
      <c r="S1296" s="530" t="s">
        <v>315</v>
      </c>
      <c r="T1296" s="667"/>
    </row>
    <row r="1297" spans="1:20" s="515" customFormat="1" ht="225">
      <c r="A1297" s="668"/>
      <c r="B1297" s="506"/>
      <c r="C1297" s="506" t="s">
        <v>2144</v>
      </c>
      <c r="D1297" s="507" t="s">
        <v>2861</v>
      </c>
      <c r="E1297" s="509" t="str">
        <f>IF('GPS Anthro Tool'!$B$4=1,"North America FMVSS","")</f>
        <v>North America FMVSS</v>
      </c>
      <c r="F1297" s="507" t="s">
        <v>4242</v>
      </c>
      <c r="G1297" s="507" t="s">
        <v>2840</v>
      </c>
      <c r="H1297" s="507" t="s">
        <v>2862</v>
      </c>
      <c r="I1297" s="507"/>
      <c r="J1297" s="506" t="s">
        <v>3960</v>
      </c>
      <c r="K1297" s="527" t="s">
        <v>315</v>
      </c>
      <c r="L1297" s="526" t="s">
        <v>315</v>
      </c>
      <c r="M1297" s="527" t="s">
        <v>315</v>
      </c>
      <c r="N1297" s="528" t="s">
        <v>315</v>
      </c>
      <c r="O1297" s="663"/>
      <c r="P1297" s="529"/>
      <c r="Q1297" s="531"/>
      <c r="R1297" s="530"/>
      <c r="S1297" s="530" t="s">
        <v>315</v>
      </c>
      <c r="T1297" s="667"/>
    </row>
    <row r="1298" spans="1:20" s="515" customFormat="1" ht="195">
      <c r="A1298" s="668"/>
      <c r="B1298" s="506"/>
      <c r="C1298" s="506" t="s">
        <v>2144</v>
      </c>
      <c r="D1298" s="507" t="s">
        <v>2863</v>
      </c>
      <c r="E1298" s="509" t="str">
        <f>IF('GPS Anthro Tool'!$B$4=1,"North America FMVSS","")</f>
        <v>North America FMVSS</v>
      </c>
      <c r="F1298" s="507" t="s">
        <v>4242</v>
      </c>
      <c r="G1298" s="507" t="s">
        <v>2840</v>
      </c>
      <c r="H1298" s="507" t="s">
        <v>2864</v>
      </c>
      <c r="I1298" s="507"/>
      <c r="J1298" s="506" t="s">
        <v>3960</v>
      </c>
      <c r="K1298" s="527" t="s">
        <v>315</v>
      </c>
      <c r="L1298" s="526" t="s">
        <v>315</v>
      </c>
      <c r="M1298" s="527" t="s">
        <v>315</v>
      </c>
      <c r="N1298" s="528" t="s">
        <v>315</v>
      </c>
      <c r="O1298" s="663"/>
      <c r="P1298" s="529"/>
      <c r="Q1298" s="531"/>
      <c r="R1298" s="530"/>
      <c r="S1298" s="530" t="s">
        <v>315</v>
      </c>
      <c r="T1298" s="667"/>
    </row>
    <row r="1299" spans="1:20" s="515" customFormat="1" ht="90">
      <c r="A1299" s="668"/>
      <c r="B1299" s="506"/>
      <c r="C1299" s="506" t="s">
        <v>2144</v>
      </c>
      <c r="D1299" s="507" t="s">
        <v>2865</v>
      </c>
      <c r="E1299" s="509" t="str">
        <f>IF('GPS Anthro Tool'!$B$4=1,"North America FMVSS","")</f>
        <v>North America FMVSS</v>
      </c>
      <c r="F1299" s="507" t="s">
        <v>4242</v>
      </c>
      <c r="G1299" s="507" t="s">
        <v>2840</v>
      </c>
      <c r="H1299" s="507" t="s">
        <v>2866</v>
      </c>
      <c r="I1299" s="507"/>
      <c r="J1299" s="506" t="s">
        <v>3960</v>
      </c>
      <c r="K1299" s="527" t="s">
        <v>315</v>
      </c>
      <c r="L1299" s="526" t="s">
        <v>315</v>
      </c>
      <c r="M1299" s="527" t="s">
        <v>315</v>
      </c>
      <c r="N1299" s="528" t="s">
        <v>315</v>
      </c>
      <c r="O1299" s="663"/>
      <c r="P1299" s="529"/>
      <c r="Q1299" s="531"/>
      <c r="R1299" s="530"/>
      <c r="S1299" s="530" t="s">
        <v>315</v>
      </c>
      <c r="T1299" s="667"/>
    </row>
    <row r="1300" spans="1:20" s="515" customFormat="1" ht="60">
      <c r="A1300" s="668"/>
      <c r="B1300" s="506"/>
      <c r="C1300" s="506" t="s">
        <v>2144</v>
      </c>
      <c r="D1300" s="507" t="s">
        <v>2867</v>
      </c>
      <c r="E1300" s="509" t="str">
        <f>IF('GPS Anthro Tool'!$B$4=1,"North America FMVSS","")</f>
        <v>North America FMVSS</v>
      </c>
      <c r="F1300" s="507" t="s">
        <v>4242</v>
      </c>
      <c r="G1300" s="507" t="s">
        <v>2840</v>
      </c>
      <c r="H1300" s="507" t="s">
        <v>2868</v>
      </c>
      <c r="I1300" s="507"/>
      <c r="J1300" s="506" t="s">
        <v>3960</v>
      </c>
      <c r="K1300" s="527" t="s">
        <v>315</v>
      </c>
      <c r="L1300" s="526" t="s">
        <v>315</v>
      </c>
      <c r="M1300" s="527" t="s">
        <v>315</v>
      </c>
      <c r="N1300" s="528" t="s">
        <v>315</v>
      </c>
      <c r="O1300" s="663"/>
      <c r="P1300" s="529"/>
      <c r="Q1300" s="531"/>
      <c r="R1300" s="530"/>
      <c r="S1300" s="530" t="s">
        <v>315</v>
      </c>
      <c r="T1300" s="667"/>
    </row>
    <row r="1301" spans="1:20" s="515" customFormat="1" ht="45">
      <c r="A1301" s="668"/>
      <c r="B1301" s="506"/>
      <c r="C1301" s="506" t="s">
        <v>2144</v>
      </c>
      <c r="D1301" s="507" t="s">
        <v>2869</v>
      </c>
      <c r="E1301" s="509" t="str">
        <f>IF('GPS Anthro Tool'!$B$4=1,"North America FMVSS","")</f>
        <v>North America FMVSS</v>
      </c>
      <c r="F1301" s="507" t="s">
        <v>4242</v>
      </c>
      <c r="G1301" s="507" t="s">
        <v>2840</v>
      </c>
      <c r="H1301" s="507" t="s">
        <v>2870</v>
      </c>
      <c r="I1301" s="507"/>
      <c r="J1301" s="506" t="s">
        <v>3960</v>
      </c>
      <c r="K1301" s="527" t="s">
        <v>315</v>
      </c>
      <c r="L1301" s="526" t="s">
        <v>315</v>
      </c>
      <c r="M1301" s="527" t="s">
        <v>315</v>
      </c>
      <c r="N1301" s="528" t="s">
        <v>315</v>
      </c>
      <c r="O1301" s="663"/>
      <c r="P1301" s="529"/>
      <c r="Q1301" s="531"/>
      <c r="R1301" s="530"/>
      <c r="S1301" s="530" t="s">
        <v>315</v>
      </c>
      <c r="T1301" s="667"/>
    </row>
    <row r="1302" spans="1:20" s="363" customFormat="1" ht="105">
      <c r="A1302" s="668"/>
      <c r="B1302" s="506"/>
      <c r="C1302" s="506" t="s">
        <v>2144</v>
      </c>
      <c r="D1302" s="507" t="s">
        <v>2871</v>
      </c>
      <c r="E1302" s="509" t="str">
        <f>IF('GPS Anthro Tool'!$B$4=1,"North America FMVSS","")</f>
        <v>North America FMVSS</v>
      </c>
      <c r="F1302" s="507" t="s">
        <v>4242</v>
      </c>
      <c r="G1302" s="507" t="s">
        <v>2840</v>
      </c>
      <c r="H1302" s="507" t="s">
        <v>2872</v>
      </c>
      <c r="I1302" s="507"/>
      <c r="J1302" s="506" t="s">
        <v>3960</v>
      </c>
      <c r="K1302" s="527" t="s">
        <v>315</v>
      </c>
      <c r="L1302" s="526" t="s">
        <v>315</v>
      </c>
      <c r="M1302" s="527" t="s">
        <v>315</v>
      </c>
      <c r="N1302" s="528" t="s">
        <v>315</v>
      </c>
      <c r="O1302" s="663"/>
      <c r="P1302" s="529"/>
      <c r="Q1302" s="531"/>
      <c r="R1302" s="530"/>
      <c r="S1302" s="530" t="s">
        <v>315</v>
      </c>
      <c r="T1302" s="667"/>
    </row>
    <row r="1303" spans="1:20" s="540" customFormat="1" ht="45">
      <c r="A1303" s="668"/>
      <c r="B1303" s="506"/>
      <c r="C1303" s="506" t="s">
        <v>2144</v>
      </c>
      <c r="D1303" s="507" t="s">
        <v>2873</v>
      </c>
      <c r="E1303" s="509" t="str">
        <f>IF('GPS Anthro Tool'!$B$4=1,"North America FMVSS","")</f>
        <v>North America FMVSS</v>
      </c>
      <c r="F1303" s="507" t="s">
        <v>4242</v>
      </c>
      <c r="G1303" s="507" t="s">
        <v>2840</v>
      </c>
      <c r="H1303" s="507" t="s">
        <v>2874</v>
      </c>
      <c r="I1303" s="507"/>
      <c r="J1303" s="506" t="s">
        <v>3960</v>
      </c>
      <c r="K1303" s="527" t="s">
        <v>315</v>
      </c>
      <c r="L1303" s="526" t="s">
        <v>315</v>
      </c>
      <c r="M1303" s="527" t="s">
        <v>315</v>
      </c>
      <c r="N1303" s="528" t="s">
        <v>315</v>
      </c>
      <c r="O1303" s="663"/>
      <c r="P1303" s="529"/>
      <c r="Q1303" s="531"/>
      <c r="R1303" s="530"/>
      <c r="S1303" s="530" t="s">
        <v>315</v>
      </c>
      <c r="T1303" s="667"/>
    </row>
    <row r="1304" spans="1:20" s="515" customFormat="1" ht="45">
      <c r="A1304" s="668"/>
      <c r="B1304" s="506"/>
      <c r="C1304" s="506" t="s">
        <v>2144</v>
      </c>
      <c r="D1304" s="507" t="s">
        <v>2875</v>
      </c>
      <c r="E1304" s="509" t="str">
        <f>IF('GPS Anthro Tool'!$B$4=1,"North America FMVSS","")</f>
        <v>North America FMVSS</v>
      </c>
      <c r="F1304" s="507" t="s">
        <v>4242</v>
      </c>
      <c r="G1304" s="507" t="s">
        <v>2840</v>
      </c>
      <c r="H1304" s="507" t="s">
        <v>2876</v>
      </c>
      <c r="I1304" s="507"/>
      <c r="J1304" s="506" t="s">
        <v>3960</v>
      </c>
      <c r="K1304" s="527" t="s">
        <v>315</v>
      </c>
      <c r="L1304" s="526" t="s">
        <v>315</v>
      </c>
      <c r="M1304" s="527" t="s">
        <v>315</v>
      </c>
      <c r="N1304" s="528" t="s">
        <v>315</v>
      </c>
      <c r="O1304" s="663"/>
      <c r="P1304" s="529"/>
      <c r="Q1304" s="531"/>
      <c r="R1304" s="530"/>
      <c r="S1304" s="530" t="s">
        <v>315</v>
      </c>
      <c r="T1304" s="667"/>
    </row>
    <row r="1305" spans="1:20" s="515" customFormat="1" ht="345">
      <c r="A1305" s="668"/>
      <c r="B1305" s="506"/>
      <c r="C1305" s="506" t="s">
        <v>2144</v>
      </c>
      <c r="D1305" s="507" t="s">
        <v>2877</v>
      </c>
      <c r="E1305" s="509" t="str">
        <f>IF('GPS Anthro Tool'!$B$4=1,"North America FMVSS","")</f>
        <v>North America FMVSS</v>
      </c>
      <c r="F1305" s="507" t="s">
        <v>4242</v>
      </c>
      <c r="G1305" s="507" t="s">
        <v>2840</v>
      </c>
      <c r="H1305" s="507" t="s">
        <v>2878</v>
      </c>
      <c r="I1305" s="507"/>
      <c r="J1305" s="506" t="s">
        <v>3960</v>
      </c>
      <c r="K1305" s="527" t="s">
        <v>315</v>
      </c>
      <c r="L1305" s="526" t="s">
        <v>315</v>
      </c>
      <c r="M1305" s="527" t="s">
        <v>315</v>
      </c>
      <c r="N1305" s="528" t="s">
        <v>315</v>
      </c>
      <c r="O1305" s="663"/>
      <c r="P1305" s="529"/>
      <c r="Q1305" s="531"/>
      <c r="R1305" s="530"/>
      <c r="S1305" s="530" t="s">
        <v>315</v>
      </c>
      <c r="T1305" s="667"/>
    </row>
    <row r="1306" spans="1:20" s="515" customFormat="1" ht="195">
      <c r="A1306" s="668"/>
      <c r="B1306" s="506"/>
      <c r="C1306" s="506" t="s">
        <v>2144</v>
      </c>
      <c r="D1306" s="507" t="s">
        <v>2879</v>
      </c>
      <c r="E1306" s="509" t="str">
        <f>IF('GPS Anthro Tool'!$B$4=1,"North America FMVSS","")</f>
        <v>North America FMVSS</v>
      </c>
      <c r="F1306" s="507" t="s">
        <v>4242</v>
      </c>
      <c r="G1306" s="507" t="s">
        <v>2840</v>
      </c>
      <c r="H1306" s="507" t="s">
        <v>2880</v>
      </c>
      <c r="I1306" s="507"/>
      <c r="J1306" s="506" t="s">
        <v>3960</v>
      </c>
      <c r="K1306" s="527" t="s">
        <v>315</v>
      </c>
      <c r="L1306" s="526" t="s">
        <v>315</v>
      </c>
      <c r="M1306" s="527" t="s">
        <v>315</v>
      </c>
      <c r="N1306" s="528" t="s">
        <v>315</v>
      </c>
      <c r="O1306" s="663"/>
      <c r="P1306" s="529"/>
      <c r="Q1306" s="531"/>
      <c r="R1306" s="530"/>
      <c r="S1306" s="530" t="s">
        <v>315</v>
      </c>
      <c r="T1306" s="667"/>
    </row>
    <row r="1307" spans="1:20" s="515" customFormat="1" ht="135">
      <c r="A1307" s="668"/>
      <c r="B1307" s="506"/>
      <c r="C1307" s="506" t="s">
        <v>2144</v>
      </c>
      <c r="D1307" s="507" t="s">
        <v>2881</v>
      </c>
      <c r="E1307" s="509" t="str">
        <f>IF('GPS Anthro Tool'!$B$4=1,"North America FMVSS","")</f>
        <v>North America FMVSS</v>
      </c>
      <c r="F1307" s="507" t="s">
        <v>4242</v>
      </c>
      <c r="G1307" s="507" t="s">
        <v>2840</v>
      </c>
      <c r="H1307" s="507" t="s">
        <v>2882</v>
      </c>
      <c r="I1307" s="507"/>
      <c r="J1307" s="506" t="s">
        <v>3960</v>
      </c>
      <c r="K1307" s="527" t="s">
        <v>315</v>
      </c>
      <c r="L1307" s="526" t="s">
        <v>315</v>
      </c>
      <c r="M1307" s="527" t="s">
        <v>315</v>
      </c>
      <c r="N1307" s="528" t="s">
        <v>315</v>
      </c>
      <c r="O1307" s="663"/>
      <c r="P1307" s="529"/>
      <c r="Q1307" s="531"/>
      <c r="R1307" s="530"/>
      <c r="S1307" s="530" t="s">
        <v>315</v>
      </c>
      <c r="T1307" s="667"/>
    </row>
    <row r="1308" spans="1:20" s="515" customFormat="1" ht="30">
      <c r="A1308" s="668"/>
      <c r="B1308" s="506"/>
      <c r="C1308" s="506" t="s">
        <v>2144</v>
      </c>
      <c r="D1308" s="507" t="s">
        <v>2883</v>
      </c>
      <c r="E1308" s="509" t="str">
        <f>IF('GPS Anthro Tool'!$B$4=1,"North America FMVSS","")</f>
        <v>North America FMVSS</v>
      </c>
      <c r="F1308" s="507" t="s">
        <v>4242</v>
      </c>
      <c r="G1308" s="507" t="s">
        <v>2840</v>
      </c>
      <c r="H1308" s="507" t="s">
        <v>2884</v>
      </c>
      <c r="I1308" s="507"/>
      <c r="J1308" s="506" t="s">
        <v>3960</v>
      </c>
      <c r="K1308" s="527" t="s">
        <v>315</v>
      </c>
      <c r="L1308" s="526" t="s">
        <v>315</v>
      </c>
      <c r="M1308" s="527" t="s">
        <v>315</v>
      </c>
      <c r="N1308" s="528" t="s">
        <v>315</v>
      </c>
      <c r="O1308" s="663"/>
      <c r="P1308" s="529"/>
      <c r="Q1308" s="531"/>
      <c r="R1308" s="530"/>
      <c r="S1308" s="530" t="s">
        <v>315</v>
      </c>
      <c r="T1308" s="667"/>
    </row>
    <row r="1309" spans="1:20" s="515" customFormat="1" ht="45">
      <c r="A1309" s="668"/>
      <c r="B1309" s="506"/>
      <c r="C1309" s="506" t="s">
        <v>2144</v>
      </c>
      <c r="D1309" s="507" t="s">
        <v>2885</v>
      </c>
      <c r="E1309" s="509" t="str">
        <f>IF('GPS Anthro Tool'!$B$4=1,"North America FMVSS","")</f>
        <v>North America FMVSS</v>
      </c>
      <c r="F1309" s="507" t="s">
        <v>4242</v>
      </c>
      <c r="G1309" s="507" t="s">
        <v>2840</v>
      </c>
      <c r="H1309" s="507" t="s">
        <v>2886</v>
      </c>
      <c r="I1309" s="507"/>
      <c r="J1309" s="506" t="s">
        <v>3960</v>
      </c>
      <c r="K1309" s="527" t="s">
        <v>315</v>
      </c>
      <c r="L1309" s="526" t="s">
        <v>315</v>
      </c>
      <c r="M1309" s="527" t="s">
        <v>315</v>
      </c>
      <c r="N1309" s="528" t="s">
        <v>315</v>
      </c>
      <c r="O1309" s="663"/>
      <c r="P1309" s="529"/>
      <c r="Q1309" s="531"/>
      <c r="R1309" s="530"/>
      <c r="S1309" s="530" t="s">
        <v>315</v>
      </c>
      <c r="T1309" s="667"/>
    </row>
    <row r="1310" spans="1:20" s="515" customFormat="1" ht="45">
      <c r="A1310" s="668"/>
      <c r="B1310" s="506"/>
      <c r="C1310" s="506" t="s">
        <v>2144</v>
      </c>
      <c r="D1310" s="507" t="s">
        <v>2887</v>
      </c>
      <c r="E1310" s="509" t="str">
        <f>IF('GPS Anthro Tool'!$B$4=1,"North America FMVSS","")</f>
        <v>North America FMVSS</v>
      </c>
      <c r="F1310" s="507" t="s">
        <v>4242</v>
      </c>
      <c r="G1310" s="507" t="s">
        <v>2840</v>
      </c>
      <c r="H1310" s="507" t="s">
        <v>2888</v>
      </c>
      <c r="I1310" s="507"/>
      <c r="J1310" s="506" t="s">
        <v>3960</v>
      </c>
      <c r="K1310" s="527" t="s">
        <v>315</v>
      </c>
      <c r="L1310" s="526" t="s">
        <v>315</v>
      </c>
      <c r="M1310" s="527" t="s">
        <v>315</v>
      </c>
      <c r="N1310" s="528" t="s">
        <v>315</v>
      </c>
      <c r="O1310" s="663"/>
      <c r="P1310" s="529"/>
      <c r="Q1310" s="531"/>
      <c r="R1310" s="530"/>
      <c r="S1310" s="530" t="s">
        <v>315</v>
      </c>
      <c r="T1310" s="667"/>
    </row>
    <row r="1311" spans="1:20" s="515" customFormat="1" ht="75">
      <c r="A1311" s="668"/>
      <c r="B1311" s="506"/>
      <c r="C1311" s="506" t="s">
        <v>2144</v>
      </c>
      <c r="D1311" s="507" t="s">
        <v>2889</v>
      </c>
      <c r="E1311" s="509" t="str">
        <f>IF('GPS Anthro Tool'!$B$4=1,"North America FMVSS","")</f>
        <v>North America FMVSS</v>
      </c>
      <c r="F1311" s="507" t="s">
        <v>4242</v>
      </c>
      <c r="G1311" s="507" t="s">
        <v>2840</v>
      </c>
      <c r="H1311" s="507" t="s">
        <v>2890</v>
      </c>
      <c r="I1311" s="507"/>
      <c r="J1311" s="506" t="s">
        <v>3960</v>
      </c>
      <c r="K1311" s="527" t="s">
        <v>315</v>
      </c>
      <c r="L1311" s="526" t="s">
        <v>315</v>
      </c>
      <c r="M1311" s="527" t="s">
        <v>315</v>
      </c>
      <c r="N1311" s="528" t="s">
        <v>315</v>
      </c>
      <c r="O1311" s="663"/>
      <c r="P1311" s="529"/>
      <c r="Q1311" s="531"/>
      <c r="R1311" s="530"/>
      <c r="S1311" s="530" t="s">
        <v>315</v>
      </c>
      <c r="T1311" s="667"/>
    </row>
    <row r="1312" spans="1:20" s="515" customFormat="1" ht="30">
      <c r="A1312" s="518"/>
      <c r="B1312" s="506"/>
      <c r="C1312" s="506" t="s">
        <v>2144</v>
      </c>
      <c r="D1312" s="507" t="s">
        <v>2891</v>
      </c>
      <c r="E1312" s="509" t="str">
        <f>IF('GPS Anthro Tool'!$B$4=1,"North America FMVSS","")</f>
        <v>North America FMVSS</v>
      </c>
      <c r="F1312" s="507" t="s">
        <v>4242</v>
      </c>
      <c r="G1312" s="507" t="s">
        <v>2840</v>
      </c>
      <c r="H1312" s="507" t="s">
        <v>2892</v>
      </c>
      <c r="I1312" s="507"/>
      <c r="J1312" s="506" t="s">
        <v>3960</v>
      </c>
      <c r="K1312" s="527" t="s">
        <v>315</v>
      </c>
      <c r="L1312" s="526" t="s">
        <v>315</v>
      </c>
      <c r="M1312" s="527" t="s">
        <v>315</v>
      </c>
      <c r="N1312" s="528" t="s">
        <v>315</v>
      </c>
      <c r="O1312" s="663"/>
      <c r="P1312" s="529"/>
      <c r="Q1312" s="531"/>
      <c r="R1312" s="530"/>
      <c r="S1312" s="530" t="s">
        <v>315</v>
      </c>
      <c r="T1312" s="667"/>
    </row>
    <row r="1313" spans="1:20" s="515" customFormat="1" ht="135">
      <c r="A1313" s="518"/>
      <c r="B1313" s="506"/>
      <c r="C1313" s="506" t="s">
        <v>2144</v>
      </c>
      <c r="D1313" s="507" t="s">
        <v>2893</v>
      </c>
      <c r="E1313" s="509" t="str">
        <f>IF('GPS Anthro Tool'!$B$4=1,"North America FMVSS","")</f>
        <v>North America FMVSS</v>
      </c>
      <c r="F1313" s="507" t="s">
        <v>4242</v>
      </c>
      <c r="G1313" s="507" t="s">
        <v>2840</v>
      </c>
      <c r="H1313" s="507" t="s">
        <v>2894</v>
      </c>
      <c r="I1313" s="507"/>
      <c r="J1313" s="506" t="s">
        <v>3960</v>
      </c>
      <c r="K1313" s="527" t="s">
        <v>315</v>
      </c>
      <c r="L1313" s="526" t="s">
        <v>315</v>
      </c>
      <c r="M1313" s="527" t="s">
        <v>315</v>
      </c>
      <c r="N1313" s="528" t="s">
        <v>315</v>
      </c>
      <c r="O1313" s="663"/>
      <c r="P1313" s="529"/>
      <c r="Q1313" s="531"/>
      <c r="R1313" s="530"/>
      <c r="S1313" s="530" t="s">
        <v>315</v>
      </c>
      <c r="T1313" s="667"/>
    </row>
    <row r="1314" spans="1:20" s="515" customFormat="1" ht="240">
      <c r="A1314" s="518"/>
      <c r="B1314" s="506"/>
      <c r="C1314" s="506" t="s">
        <v>2144</v>
      </c>
      <c r="D1314" s="507" t="s">
        <v>2895</v>
      </c>
      <c r="E1314" s="509" t="str">
        <f>IF('GPS Anthro Tool'!$B$4=1,"North America FMVSS","")</f>
        <v>North America FMVSS</v>
      </c>
      <c r="F1314" s="507" t="s">
        <v>4242</v>
      </c>
      <c r="G1314" s="507" t="s">
        <v>2840</v>
      </c>
      <c r="H1314" s="507" t="s">
        <v>2896</v>
      </c>
      <c r="I1314" s="507"/>
      <c r="J1314" s="506" t="s">
        <v>3960</v>
      </c>
      <c r="K1314" s="527" t="s">
        <v>315</v>
      </c>
      <c r="L1314" s="526" t="s">
        <v>315</v>
      </c>
      <c r="M1314" s="527" t="s">
        <v>315</v>
      </c>
      <c r="N1314" s="528" t="s">
        <v>315</v>
      </c>
      <c r="O1314" s="663"/>
      <c r="P1314" s="529"/>
      <c r="Q1314" s="531"/>
      <c r="R1314" s="530"/>
      <c r="S1314" s="530" t="s">
        <v>315</v>
      </c>
      <c r="T1314" s="667"/>
    </row>
    <row r="1315" spans="1:20" s="515" customFormat="1" ht="30">
      <c r="A1315" s="518"/>
      <c r="B1315" s="506"/>
      <c r="C1315" s="506" t="s">
        <v>2144</v>
      </c>
      <c r="D1315" s="507" t="s">
        <v>2897</v>
      </c>
      <c r="E1315" s="509" t="str">
        <f>IF('GPS Anthro Tool'!$B$4=1,"North America FMVSS","")</f>
        <v>North America FMVSS</v>
      </c>
      <c r="F1315" s="507" t="s">
        <v>4242</v>
      </c>
      <c r="G1315" s="507" t="s">
        <v>2840</v>
      </c>
      <c r="H1315" s="507" t="s">
        <v>2898</v>
      </c>
      <c r="I1315" s="507"/>
      <c r="J1315" s="506" t="s">
        <v>3960</v>
      </c>
      <c r="K1315" s="527" t="s">
        <v>315</v>
      </c>
      <c r="L1315" s="526" t="s">
        <v>315</v>
      </c>
      <c r="M1315" s="527" t="s">
        <v>315</v>
      </c>
      <c r="N1315" s="528" t="s">
        <v>315</v>
      </c>
      <c r="O1315" s="663"/>
      <c r="P1315" s="529"/>
      <c r="Q1315" s="531"/>
      <c r="R1315" s="530"/>
      <c r="S1315" s="530" t="s">
        <v>315</v>
      </c>
      <c r="T1315" s="667"/>
    </row>
    <row r="1316" spans="1:20" s="515" customFormat="1" ht="45">
      <c r="A1316" s="518"/>
      <c r="B1316" s="506"/>
      <c r="C1316" s="506" t="s">
        <v>2144</v>
      </c>
      <c r="D1316" s="507" t="s">
        <v>2899</v>
      </c>
      <c r="E1316" s="509" t="str">
        <f>IF('GPS Anthro Tool'!$B$4=1,"North America FMVSS","")</f>
        <v>North America FMVSS</v>
      </c>
      <c r="F1316" s="507" t="s">
        <v>4242</v>
      </c>
      <c r="G1316" s="507" t="s">
        <v>2840</v>
      </c>
      <c r="H1316" s="507" t="s">
        <v>2900</v>
      </c>
      <c r="I1316" s="507"/>
      <c r="J1316" s="506" t="s">
        <v>3960</v>
      </c>
      <c r="K1316" s="527" t="s">
        <v>315</v>
      </c>
      <c r="L1316" s="526" t="s">
        <v>315</v>
      </c>
      <c r="M1316" s="527" t="s">
        <v>315</v>
      </c>
      <c r="N1316" s="528" t="s">
        <v>315</v>
      </c>
      <c r="O1316" s="663"/>
      <c r="P1316" s="529"/>
      <c r="Q1316" s="531"/>
      <c r="R1316" s="530"/>
      <c r="S1316" s="530" t="s">
        <v>315</v>
      </c>
      <c r="T1316" s="667"/>
    </row>
    <row r="1317" spans="1:20" s="515" customFormat="1" ht="30">
      <c r="A1317" s="518"/>
      <c r="B1317" s="506"/>
      <c r="C1317" s="506" t="s">
        <v>2144</v>
      </c>
      <c r="D1317" s="507" t="s">
        <v>2901</v>
      </c>
      <c r="E1317" s="509" t="str">
        <f>IF('GPS Anthro Tool'!$B$4=1,"North America FMVSS","")</f>
        <v>North America FMVSS</v>
      </c>
      <c r="F1317" s="507" t="s">
        <v>4242</v>
      </c>
      <c r="G1317" s="507" t="s">
        <v>2840</v>
      </c>
      <c r="H1317" s="507" t="s">
        <v>2902</v>
      </c>
      <c r="I1317" s="507"/>
      <c r="J1317" s="506" t="s">
        <v>3960</v>
      </c>
      <c r="K1317" s="527" t="s">
        <v>315</v>
      </c>
      <c r="L1317" s="526" t="s">
        <v>315</v>
      </c>
      <c r="M1317" s="527" t="s">
        <v>315</v>
      </c>
      <c r="N1317" s="528" t="s">
        <v>315</v>
      </c>
      <c r="O1317" s="663"/>
      <c r="P1317" s="529"/>
      <c r="Q1317" s="531"/>
      <c r="R1317" s="530"/>
      <c r="S1317" s="530" t="s">
        <v>315</v>
      </c>
      <c r="T1317" s="667"/>
    </row>
    <row r="1318" spans="1:20" s="515" customFormat="1" ht="135">
      <c r="A1318" s="518"/>
      <c r="B1318" s="506"/>
      <c r="C1318" s="506" t="s">
        <v>2144</v>
      </c>
      <c r="D1318" s="507" t="s">
        <v>2903</v>
      </c>
      <c r="E1318" s="509" t="str">
        <f>IF('GPS Anthro Tool'!$B$4=1,"North America FMVSS","")</f>
        <v>North America FMVSS</v>
      </c>
      <c r="F1318" s="507" t="s">
        <v>4242</v>
      </c>
      <c r="G1318" s="507" t="s">
        <v>2840</v>
      </c>
      <c r="H1318" s="507" t="s">
        <v>2904</v>
      </c>
      <c r="I1318" s="507"/>
      <c r="J1318" s="506" t="s">
        <v>3960</v>
      </c>
      <c r="K1318" s="527" t="s">
        <v>315</v>
      </c>
      <c r="L1318" s="526" t="s">
        <v>315</v>
      </c>
      <c r="M1318" s="527" t="s">
        <v>315</v>
      </c>
      <c r="N1318" s="528" t="s">
        <v>315</v>
      </c>
      <c r="O1318" s="663"/>
      <c r="P1318" s="529"/>
      <c r="Q1318" s="531"/>
      <c r="R1318" s="530"/>
      <c r="S1318" s="530" t="s">
        <v>315</v>
      </c>
      <c r="T1318" s="667"/>
    </row>
    <row r="1319" spans="1:20" s="515" customFormat="1" ht="30">
      <c r="A1319" s="518"/>
      <c r="B1319" s="506"/>
      <c r="C1319" s="506" t="s">
        <v>2144</v>
      </c>
      <c r="D1319" s="507" t="s">
        <v>2905</v>
      </c>
      <c r="E1319" s="509" t="str">
        <f>IF('GPS Anthro Tool'!$B$4=1,"North America FMVSS","")</f>
        <v>North America FMVSS</v>
      </c>
      <c r="F1319" s="507" t="s">
        <v>4242</v>
      </c>
      <c r="G1319" s="507" t="s">
        <v>2840</v>
      </c>
      <c r="H1319" s="507" t="s">
        <v>2906</v>
      </c>
      <c r="I1319" s="507"/>
      <c r="J1319" s="506" t="s">
        <v>3960</v>
      </c>
      <c r="K1319" s="527" t="s">
        <v>315</v>
      </c>
      <c r="L1319" s="526" t="s">
        <v>315</v>
      </c>
      <c r="M1319" s="527" t="s">
        <v>315</v>
      </c>
      <c r="N1319" s="528" t="s">
        <v>315</v>
      </c>
      <c r="O1319" s="663"/>
      <c r="P1319" s="529"/>
      <c r="Q1319" s="531"/>
      <c r="R1319" s="530"/>
      <c r="S1319" s="530" t="s">
        <v>315</v>
      </c>
      <c r="T1319" s="667"/>
    </row>
    <row r="1320" spans="1:20" s="515" customFormat="1" ht="30">
      <c r="A1320" s="518"/>
      <c r="B1320" s="506"/>
      <c r="C1320" s="506" t="s">
        <v>2144</v>
      </c>
      <c r="D1320" s="507" t="s">
        <v>2907</v>
      </c>
      <c r="E1320" s="509" t="str">
        <f>IF('GPS Anthro Tool'!$B$4=1,"North America FMVSS","")</f>
        <v>North America FMVSS</v>
      </c>
      <c r="F1320" s="507" t="s">
        <v>4242</v>
      </c>
      <c r="G1320" s="507" t="s">
        <v>2840</v>
      </c>
      <c r="H1320" s="507" t="s">
        <v>2908</v>
      </c>
      <c r="I1320" s="507"/>
      <c r="J1320" s="506" t="s">
        <v>3960</v>
      </c>
      <c r="K1320" s="527" t="s">
        <v>315</v>
      </c>
      <c r="L1320" s="526" t="s">
        <v>315</v>
      </c>
      <c r="M1320" s="527" t="s">
        <v>315</v>
      </c>
      <c r="N1320" s="528" t="s">
        <v>315</v>
      </c>
      <c r="O1320" s="663"/>
      <c r="P1320" s="529"/>
      <c r="Q1320" s="531"/>
      <c r="R1320" s="530"/>
      <c r="S1320" s="530" t="s">
        <v>315</v>
      </c>
      <c r="T1320" s="667"/>
    </row>
    <row r="1321" spans="1:20" s="515" customFormat="1" ht="30">
      <c r="A1321" s="518"/>
      <c r="B1321" s="506"/>
      <c r="C1321" s="506" t="s">
        <v>2144</v>
      </c>
      <c r="D1321" s="507" t="s">
        <v>2909</v>
      </c>
      <c r="E1321" s="509" t="str">
        <f>IF('GPS Anthro Tool'!$B$4=1,"North America FMVSS","")</f>
        <v>North America FMVSS</v>
      </c>
      <c r="F1321" s="507" t="s">
        <v>4242</v>
      </c>
      <c r="G1321" s="507" t="s">
        <v>2840</v>
      </c>
      <c r="H1321" s="507" t="s">
        <v>2910</v>
      </c>
      <c r="I1321" s="507"/>
      <c r="J1321" s="506" t="s">
        <v>3960</v>
      </c>
      <c r="K1321" s="527" t="s">
        <v>315</v>
      </c>
      <c r="L1321" s="526" t="s">
        <v>315</v>
      </c>
      <c r="M1321" s="527" t="s">
        <v>315</v>
      </c>
      <c r="N1321" s="528" t="s">
        <v>315</v>
      </c>
      <c r="O1321" s="663"/>
      <c r="P1321" s="529"/>
      <c r="Q1321" s="531"/>
      <c r="R1321" s="530"/>
      <c r="S1321" s="530" t="s">
        <v>315</v>
      </c>
      <c r="T1321" s="667"/>
    </row>
    <row r="1322" spans="1:20" s="515" customFormat="1" ht="195">
      <c r="A1322" s="518"/>
      <c r="B1322" s="506"/>
      <c r="C1322" s="506" t="s">
        <v>2144</v>
      </c>
      <c r="D1322" s="507" t="s">
        <v>2911</v>
      </c>
      <c r="E1322" s="509" t="str">
        <f>IF('GPS Anthro Tool'!$B$4=1,"North America FMVSS","")</f>
        <v>North America FMVSS</v>
      </c>
      <c r="F1322" s="507" t="s">
        <v>4242</v>
      </c>
      <c r="G1322" s="507" t="s">
        <v>2840</v>
      </c>
      <c r="H1322" s="507" t="s">
        <v>2912</v>
      </c>
      <c r="I1322" s="507"/>
      <c r="J1322" s="506" t="s">
        <v>3960</v>
      </c>
      <c r="K1322" s="527" t="s">
        <v>315</v>
      </c>
      <c r="L1322" s="526" t="s">
        <v>315</v>
      </c>
      <c r="M1322" s="527" t="s">
        <v>315</v>
      </c>
      <c r="N1322" s="528" t="s">
        <v>315</v>
      </c>
      <c r="O1322" s="663"/>
      <c r="P1322" s="529"/>
      <c r="Q1322" s="531"/>
      <c r="R1322" s="530"/>
      <c r="S1322" s="530" t="s">
        <v>315</v>
      </c>
      <c r="T1322" s="667"/>
    </row>
    <row r="1323" spans="1:20" s="515" customFormat="1" ht="135">
      <c r="A1323" s="518"/>
      <c r="B1323" s="506"/>
      <c r="C1323" s="506" t="s">
        <v>2144</v>
      </c>
      <c r="D1323" s="507" t="s">
        <v>2913</v>
      </c>
      <c r="E1323" s="509" t="str">
        <f>IF('GPS Anthro Tool'!$B$4=1,"North America FMVSS","")</f>
        <v>North America FMVSS</v>
      </c>
      <c r="F1323" s="507" t="s">
        <v>4242</v>
      </c>
      <c r="G1323" s="507" t="s">
        <v>2840</v>
      </c>
      <c r="H1323" s="507" t="s">
        <v>2914</v>
      </c>
      <c r="I1323" s="507"/>
      <c r="J1323" s="506" t="s">
        <v>3960</v>
      </c>
      <c r="K1323" s="527" t="s">
        <v>315</v>
      </c>
      <c r="L1323" s="526" t="s">
        <v>315</v>
      </c>
      <c r="M1323" s="527" t="s">
        <v>315</v>
      </c>
      <c r="N1323" s="528" t="s">
        <v>315</v>
      </c>
      <c r="O1323" s="663"/>
      <c r="P1323" s="529"/>
      <c r="Q1323" s="531"/>
      <c r="R1323" s="530"/>
      <c r="S1323" s="530" t="s">
        <v>315</v>
      </c>
      <c r="T1323" s="667"/>
    </row>
    <row r="1324" spans="1:20" s="515" customFormat="1" ht="90">
      <c r="A1324" s="518"/>
      <c r="B1324" s="506"/>
      <c r="C1324" s="506" t="s">
        <v>2144</v>
      </c>
      <c r="D1324" s="507" t="s">
        <v>2915</v>
      </c>
      <c r="E1324" s="509" t="str">
        <f>IF('GPS Anthro Tool'!$B$4=1,"North America FMVSS","")</f>
        <v>North America FMVSS</v>
      </c>
      <c r="F1324" s="507" t="s">
        <v>4242</v>
      </c>
      <c r="G1324" s="507" t="s">
        <v>2840</v>
      </c>
      <c r="H1324" s="507" t="s">
        <v>2916</v>
      </c>
      <c r="I1324" s="507"/>
      <c r="J1324" s="506" t="s">
        <v>3960</v>
      </c>
      <c r="K1324" s="527" t="s">
        <v>315</v>
      </c>
      <c r="L1324" s="526" t="s">
        <v>315</v>
      </c>
      <c r="M1324" s="527" t="s">
        <v>315</v>
      </c>
      <c r="N1324" s="528" t="s">
        <v>315</v>
      </c>
      <c r="O1324" s="663"/>
      <c r="P1324" s="529"/>
      <c r="Q1324" s="531"/>
      <c r="R1324" s="530"/>
      <c r="S1324" s="530" t="s">
        <v>315</v>
      </c>
      <c r="T1324" s="667"/>
    </row>
    <row r="1325" spans="1:20" s="515" customFormat="1" ht="45">
      <c r="A1325" s="518"/>
      <c r="B1325" s="506"/>
      <c r="C1325" s="506" t="s">
        <v>2144</v>
      </c>
      <c r="D1325" s="690" t="s">
        <v>2917</v>
      </c>
      <c r="E1325" s="509" t="str">
        <f>IF('GPS Anthro Tool'!$B$4=1,"North America FMVSS","")</f>
        <v>North America FMVSS</v>
      </c>
      <c r="F1325" s="507" t="s">
        <v>4242</v>
      </c>
      <c r="G1325" s="507" t="s">
        <v>2840</v>
      </c>
      <c r="H1325" s="507" t="s">
        <v>2918</v>
      </c>
      <c r="I1325" s="507"/>
      <c r="J1325" s="506" t="s">
        <v>3960</v>
      </c>
      <c r="K1325" s="527" t="s">
        <v>315</v>
      </c>
      <c r="L1325" s="526" t="s">
        <v>315</v>
      </c>
      <c r="M1325" s="527" t="s">
        <v>315</v>
      </c>
      <c r="N1325" s="528" t="s">
        <v>315</v>
      </c>
      <c r="O1325" s="663"/>
      <c r="P1325" s="529"/>
      <c r="Q1325" s="531"/>
      <c r="R1325" s="530"/>
      <c r="S1325" s="530" t="s">
        <v>315</v>
      </c>
      <c r="T1325" s="667"/>
    </row>
    <row r="1326" spans="1:20" s="515" customFormat="1" ht="60">
      <c r="A1326" s="518"/>
      <c r="B1326" s="506"/>
      <c r="C1326" s="506" t="s">
        <v>2144</v>
      </c>
      <c r="D1326" s="507" t="s">
        <v>2919</v>
      </c>
      <c r="E1326" s="509" t="str">
        <f>IF('GPS Anthro Tool'!$B$4=1,"North America FMVSS","")</f>
        <v>North America FMVSS</v>
      </c>
      <c r="F1326" s="507" t="s">
        <v>4242</v>
      </c>
      <c r="G1326" s="507" t="s">
        <v>2840</v>
      </c>
      <c r="H1326" s="507" t="s">
        <v>2920</v>
      </c>
      <c r="I1326" s="507"/>
      <c r="J1326" s="506" t="s">
        <v>3960</v>
      </c>
      <c r="K1326" s="527" t="s">
        <v>315</v>
      </c>
      <c r="L1326" s="526" t="s">
        <v>315</v>
      </c>
      <c r="M1326" s="527" t="s">
        <v>315</v>
      </c>
      <c r="N1326" s="528" t="s">
        <v>315</v>
      </c>
      <c r="O1326" s="663"/>
      <c r="P1326" s="529"/>
      <c r="Q1326" s="531"/>
      <c r="R1326" s="530"/>
      <c r="S1326" s="530" t="s">
        <v>315</v>
      </c>
      <c r="T1326" s="667"/>
    </row>
    <row r="1327" spans="1:20" s="515" customFormat="1" ht="30">
      <c r="A1327" s="518"/>
      <c r="B1327" s="506"/>
      <c r="C1327" s="506" t="s">
        <v>2144</v>
      </c>
      <c r="D1327" s="690" t="s">
        <v>2921</v>
      </c>
      <c r="E1327" s="509" t="str">
        <f>IF('GPS Anthro Tool'!$B$4=1,"North America FMVSS","")</f>
        <v>North America FMVSS</v>
      </c>
      <c r="F1327" s="507" t="s">
        <v>4242</v>
      </c>
      <c r="G1327" s="507" t="s">
        <v>2840</v>
      </c>
      <c r="H1327" s="507" t="s">
        <v>2922</v>
      </c>
      <c r="I1327" s="507"/>
      <c r="J1327" s="506" t="s">
        <v>3960</v>
      </c>
      <c r="K1327" s="527" t="s">
        <v>315</v>
      </c>
      <c r="L1327" s="526" t="s">
        <v>315</v>
      </c>
      <c r="M1327" s="527" t="s">
        <v>315</v>
      </c>
      <c r="N1327" s="528" t="s">
        <v>315</v>
      </c>
      <c r="O1327" s="663"/>
      <c r="P1327" s="529"/>
      <c r="Q1327" s="531"/>
      <c r="R1327" s="530"/>
      <c r="S1327" s="530" t="s">
        <v>315</v>
      </c>
      <c r="T1327" s="667"/>
    </row>
    <row r="1328" spans="1:20" s="515" customFormat="1" ht="315">
      <c r="A1328" s="518"/>
      <c r="B1328" s="506"/>
      <c r="C1328" s="506" t="s">
        <v>2144</v>
      </c>
      <c r="D1328" s="507" t="s">
        <v>2923</v>
      </c>
      <c r="E1328" s="509" t="str">
        <f>IF('GPS Anthro Tool'!$B$4=1,"North America FMVSS","")</f>
        <v>North America FMVSS</v>
      </c>
      <c r="F1328" s="507" t="s">
        <v>4242</v>
      </c>
      <c r="G1328" s="507" t="s">
        <v>2840</v>
      </c>
      <c r="H1328" s="507" t="s">
        <v>2924</v>
      </c>
      <c r="I1328" s="507"/>
      <c r="J1328" s="506" t="s">
        <v>3960</v>
      </c>
      <c r="K1328" s="527" t="s">
        <v>315</v>
      </c>
      <c r="L1328" s="526" t="s">
        <v>315</v>
      </c>
      <c r="M1328" s="527" t="s">
        <v>315</v>
      </c>
      <c r="N1328" s="528" t="s">
        <v>315</v>
      </c>
      <c r="O1328" s="663"/>
      <c r="P1328" s="529"/>
      <c r="Q1328" s="531"/>
      <c r="R1328" s="530"/>
      <c r="S1328" s="530" t="s">
        <v>315</v>
      </c>
      <c r="T1328" s="667"/>
    </row>
    <row r="1329" spans="1:20" s="515" customFormat="1" ht="30">
      <c r="A1329" s="518"/>
      <c r="B1329" s="506"/>
      <c r="C1329" s="506" t="s">
        <v>2144</v>
      </c>
      <c r="D1329" s="507" t="s">
        <v>2925</v>
      </c>
      <c r="E1329" s="509" t="str">
        <f>IF('GPS Anthro Tool'!$B$4=1,"North America FMVSS","")</f>
        <v>North America FMVSS</v>
      </c>
      <c r="F1329" s="507" t="s">
        <v>4242</v>
      </c>
      <c r="G1329" s="507" t="s">
        <v>2840</v>
      </c>
      <c r="H1329" s="507" t="s">
        <v>2926</v>
      </c>
      <c r="I1329" s="507"/>
      <c r="J1329" s="506" t="s">
        <v>3960</v>
      </c>
      <c r="K1329" s="527" t="s">
        <v>315</v>
      </c>
      <c r="L1329" s="526" t="s">
        <v>315</v>
      </c>
      <c r="M1329" s="527" t="s">
        <v>315</v>
      </c>
      <c r="N1329" s="528" t="s">
        <v>315</v>
      </c>
      <c r="O1329" s="663"/>
      <c r="P1329" s="529"/>
      <c r="Q1329" s="531"/>
      <c r="R1329" s="530"/>
      <c r="S1329" s="530" t="s">
        <v>315</v>
      </c>
      <c r="T1329" s="667"/>
    </row>
    <row r="1330" spans="1:20" s="515" customFormat="1" ht="30">
      <c r="A1330" s="518"/>
      <c r="B1330" s="506"/>
      <c r="C1330" s="506" t="s">
        <v>2144</v>
      </c>
      <c r="D1330" s="507" t="s">
        <v>2927</v>
      </c>
      <c r="E1330" s="509" t="str">
        <f>IF('GPS Anthro Tool'!$B$4=1,"North America FMVSS","")</f>
        <v>North America FMVSS</v>
      </c>
      <c r="F1330" s="507" t="s">
        <v>4242</v>
      </c>
      <c r="G1330" s="507" t="s">
        <v>2840</v>
      </c>
      <c r="H1330" s="507" t="s">
        <v>2928</v>
      </c>
      <c r="I1330" s="507"/>
      <c r="J1330" s="506" t="s">
        <v>3960</v>
      </c>
      <c r="K1330" s="527" t="s">
        <v>315</v>
      </c>
      <c r="L1330" s="526" t="s">
        <v>315</v>
      </c>
      <c r="M1330" s="527" t="s">
        <v>315</v>
      </c>
      <c r="N1330" s="528" t="s">
        <v>315</v>
      </c>
      <c r="O1330" s="663"/>
      <c r="P1330" s="529"/>
      <c r="Q1330" s="531"/>
      <c r="R1330" s="530"/>
      <c r="S1330" s="530" t="s">
        <v>315</v>
      </c>
      <c r="T1330" s="667"/>
    </row>
    <row r="1331" spans="1:20" s="515" customFormat="1" ht="105">
      <c r="A1331" s="518"/>
      <c r="B1331" s="506"/>
      <c r="C1331" s="506" t="s">
        <v>2144</v>
      </c>
      <c r="D1331" s="507" t="s">
        <v>2929</v>
      </c>
      <c r="E1331" s="509" t="str">
        <f>IF('GPS Anthro Tool'!$B$4=1,"North America FMVSS","")</f>
        <v>North America FMVSS</v>
      </c>
      <c r="F1331" s="507" t="s">
        <v>4242</v>
      </c>
      <c r="G1331" s="507" t="s">
        <v>2840</v>
      </c>
      <c r="H1331" s="507" t="s">
        <v>2930</v>
      </c>
      <c r="I1331" s="507"/>
      <c r="J1331" s="506" t="s">
        <v>3960</v>
      </c>
      <c r="K1331" s="527" t="s">
        <v>315</v>
      </c>
      <c r="L1331" s="526" t="s">
        <v>315</v>
      </c>
      <c r="M1331" s="527" t="s">
        <v>315</v>
      </c>
      <c r="N1331" s="528" t="s">
        <v>315</v>
      </c>
      <c r="O1331" s="663"/>
      <c r="P1331" s="529"/>
      <c r="Q1331" s="531"/>
      <c r="R1331" s="530"/>
      <c r="S1331" s="530" t="s">
        <v>315</v>
      </c>
      <c r="T1331" s="667"/>
    </row>
    <row r="1332" spans="1:20" s="515" customFormat="1" ht="165">
      <c r="A1332" s="518"/>
      <c r="B1332" s="506"/>
      <c r="C1332" s="506" t="s">
        <v>2144</v>
      </c>
      <c r="D1332" s="507" t="s">
        <v>2931</v>
      </c>
      <c r="E1332" s="509" t="str">
        <f>IF('GPS Anthro Tool'!$B$4=1,"North America FMVSS","")</f>
        <v>North America FMVSS</v>
      </c>
      <c r="F1332" s="507" t="s">
        <v>4242</v>
      </c>
      <c r="G1332" s="507" t="s">
        <v>2840</v>
      </c>
      <c r="H1332" s="507" t="s">
        <v>2932</v>
      </c>
      <c r="I1332" s="507"/>
      <c r="J1332" s="506" t="s">
        <v>3960</v>
      </c>
      <c r="K1332" s="527" t="s">
        <v>315</v>
      </c>
      <c r="L1332" s="526" t="s">
        <v>315</v>
      </c>
      <c r="M1332" s="527" t="s">
        <v>315</v>
      </c>
      <c r="N1332" s="528" t="s">
        <v>315</v>
      </c>
      <c r="O1332" s="663"/>
      <c r="P1332" s="529"/>
      <c r="Q1332" s="531"/>
      <c r="R1332" s="530"/>
      <c r="S1332" s="530" t="s">
        <v>315</v>
      </c>
      <c r="T1332" s="667"/>
    </row>
    <row r="1333" spans="1:20" s="515" customFormat="1" ht="195" hidden="1">
      <c r="A1333" s="518"/>
      <c r="B1333" s="506"/>
      <c r="C1333" s="506" t="s">
        <v>2035</v>
      </c>
      <c r="D1333" s="507" t="s">
        <v>2297</v>
      </c>
      <c r="E1333" s="509" t="str">
        <f>IF('GPS Anthro Tool'!$B$4=1,"North America FMVSS","")</f>
        <v>North America FMVSS</v>
      </c>
      <c r="F1333" s="507" t="s">
        <v>4242</v>
      </c>
      <c r="G1333" s="506" t="s">
        <v>2298</v>
      </c>
      <c r="H1333" s="507" t="s">
        <v>2299</v>
      </c>
      <c r="I1333" s="507"/>
      <c r="J1333" s="506" t="s">
        <v>3960</v>
      </c>
      <c r="K1333" s="566"/>
      <c r="L1333" s="673"/>
      <c r="M1333" s="566"/>
      <c r="N1333" s="667"/>
      <c r="O1333" s="518"/>
      <c r="P1333" s="666"/>
      <c r="Q1333" s="566"/>
      <c r="R1333" s="566"/>
      <c r="S1333" s="566"/>
      <c r="T1333" s="667"/>
    </row>
    <row r="1334" spans="1:20" s="515" customFormat="1" ht="60" hidden="1">
      <c r="A1334" s="518"/>
      <c r="B1334" s="506"/>
      <c r="C1334" s="506" t="s">
        <v>1803</v>
      </c>
      <c r="D1334" s="507" t="s">
        <v>2300</v>
      </c>
      <c r="E1334" s="509" t="str">
        <f>IF('GPS Anthro Tool'!$B$4=1,"North America FMVSS","")</f>
        <v>North America FMVSS</v>
      </c>
      <c r="F1334" s="507" t="s">
        <v>4242</v>
      </c>
      <c r="G1334" s="507" t="s">
        <v>3540</v>
      </c>
      <c r="H1334" s="507" t="s">
        <v>2301</v>
      </c>
      <c r="I1334" s="507"/>
      <c r="J1334" s="506" t="s">
        <v>3960</v>
      </c>
      <c r="K1334" s="566"/>
      <c r="L1334" s="673"/>
      <c r="M1334" s="566"/>
      <c r="N1334" s="667"/>
      <c r="O1334" s="518"/>
      <c r="P1334" s="666"/>
      <c r="Q1334" s="566"/>
      <c r="R1334" s="566"/>
      <c r="S1334" s="566"/>
      <c r="T1334" s="667"/>
    </row>
    <row r="1335" spans="1:20" s="515" customFormat="1" ht="45" hidden="1">
      <c r="A1335" s="518"/>
      <c r="B1335" s="506"/>
      <c r="C1335" s="506" t="s">
        <v>2302</v>
      </c>
      <c r="D1335" s="507" t="s">
        <v>2303</v>
      </c>
      <c r="E1335" s="509" t="str">
        <f>IF('GPS Anthro Tool'!$B$4=1,"North America FMVSS","")</f>
        <v>North America FMVSS</v>
      </c>
      <c r="F1335" s="507" t="s">
        <v>4242</v>
      </c>
      <c r="G1335" s="507" t="s">
        <v>1017</v>
      </c>
      <c r="H1335" s="507" t="s">
        <v>2304</v>
      </c>
      <c r="I1335" s="507"/>
      <c r="J1335" s="506" t="s">
        <v>3960</v>
      </c>
      <c r="K1335" s="566"/>
      <c r="L1335" s="673"/>
      <c r="M1335" s="566"/>
      <c r="N1335" s="667"/>
      <c r="O1335" s="518"/>
      <c r="P1335" s="666"/>
      <c r="Q1335" s="566"/>
      <c r="R1335" s="566"/>
      <c r="S1335" s="566"/>
      <c r="T1335" s="667"/>
    </row>
    <row r="1336" spans="1:20" s="515" customFormat="1" ht="45" hidden="1">
      <c r="A1336" s="518"/>
      <c r="B1336" s="506"/>
      <c r="C1336" s="506" t="s">
        <v>2302</v>
      </c>
      <c r="D1336" s="507" t="s">
        <v>2305</v>
      </c>
      <c r="E1336" s="509" t="str">
        <f>IF('GPS Anthro Tool'!$B$4=1,"North America FMVSS","")</f>
        <v>North America FMVSS</v>
      </c>
      <c r="F1336" s="507" t="s">
        <v>4242</v>
      </c>
      <c r="G1336" s="507" t="s">
        <v>1017</v>
      </c>
      <c r="H1336" s="507" t="s">
        <v>2306</v>
      </c>
      <c r="I1336" s="507"/>
      <c r="J1336" s="506" t="s">
        <v>3960</v>
      </c>
      <c r="K1336" s="566"/>
      <c r="L1336" s="673"/>
      <c r="M1336" s="566"/>
      <c r="N1336" s="667"/>
      <c r="O1336" s="518"/>
      <c r="P1336" s="666"/>
      <c r="Q1336" s="566"/>
      <c r="R1336" s="566"/>
      <c r="S1336" s="566"/>
      <c r="T1336" s="667"/>
    </row>
    <row r="1337" spans="1:20" s="515" customFormat="1" ht="45">
      <c r="A1337" s="518"/>
      <c r="B1337" s="506"/>
      <c r="C1337" s="506" t="s">
        <v>9</v>
      </c>
      <c r="D1337" s="507" t="s">
        <v>2308</v>
      </c>
      <c r="E1337" s="509" t="str">
        <f>IF('GPS Anthro Tool'!$B$4=1,"North America FMVSS","")</f>
        <v>North America FMVSS</v>
      </c>
      <c r="F1337" s="507" t="s">
        <v>4242</v>
      </c>
      <c r="G1337" s="506" t="s">
        <v>2310</v>
      </c>
      <c r="H1337" s="507" t="s">
        <v>2311</v>
      </c>
      <c r="I1337" s="507"/>
      <c r="J1337" s="506" t="s">
        <v>3960</v>
      </c>
      <c r="K1337" s="566"/>
      <c r="L1337" s="673"/>
      <c r="M1337" s="566"/>
      <c r="N1337" s="667"/>
      <c r="O1337" s="518"/>
      <c r="P1337" s="666"/>
      <c r="Q1337" s="566"/>
      <c r="R1337" s="566"/>
      <c r="S1337" s="566"/>
      <c r="T1337" s="667"/>
    </row>
    <row r="1338" spans="1:20" s="515" customFormat="1" ht="45">
      <c r="A1338" s="518"/>
      <c r="B1338" s="506"/>
      <c r="C1338" s="506" t="s">
        <v>9</v>
      </c>
      <c r="D1338" s="507" t="s">
        <v>2308</v>
      </c>
      <c r="E1338" s="509" t="str">
        <f>IF('GPS Anthro Tool'!$B$4=1,"North America FMVSS","")</f>
        <v>North America FMVSS</v>
      </c>
      <c r="F1338" s="507" t="s">
        <v>4242</v>
      </c>
      <c r="G1338" s="506" t="s">
        <v>2310</v>
      </c>
      <c r="H1338" s="507" t="s">
        <v>2312</v>
      </c>
      <c r="I1338" s="507"/>
      <c r="J1338" s="506" t="s">
        <v>3960</v>
      </c>
      <c r="K1338" s="527" t="s">
        <v>315</v>
      </c>
      <c r="L1338" s="526" t="s">
        <v>315</v>
      </c>
      <c r="M1338" s="527" t="s">
        <v>315</v>
      </c>
      <c r="N1338" s="528" t="s">
        <v>315</v>
      </c>
      <c r="O1338" s="663"/>
      <c r="P1338" s="529"/>
      <c r="Q1338" s="531"/>
      <c r="R1338" s="530"/>
      <c r="S1338" s="530" t="s">
        <v>315</v>
      </c>
      <c r="T1338" s="667"/>
    </row>
    <row r="1339" spans="1:20" s="515" customFormat="1" ht="45">
      <c r="A1339" s="518"/>
      <c r="B1339" s="506"/>
      <c r="C1339" s="506" t="s">
        <v>9</v>
      </c>
      <c r="D1339" s="507" t="s">
        <v>2308</v>
      </c>
      <c r="E1339" s="509" t="str">
        <f>IF('GPS Anthro Tool'!$B$4=1,"North America FMVSS","")</f>
        <v>North America FMVSS</v>
      </c>
      <c r="F1339" s="507" t="s">
        <v>4242</v>
      </c>
      <c r="G1339" s="506" t="s">
        <v>2310</v>
      </c>
      <c r="H1339" s="507" t="s">
        <v>2313</v>
      </c>
      <c r="I1339" s="507"/>
      <c r="J1339" s="506" t="s">
        <v>3960</v>
      </c>
      <c r="K1339" s="527" t="s">
        <v>315</v>
      </c>
      <c r="L1339" s="526" t="s">
        <v>315</v>
      </c>
      <c r="M1339" s="527" t="s">
        <v>315</v>
      </c>
      <c r="N1339" s="528" t="s">
        <v>315</v>
      </c>
      <c r="O1339" s="663"/>
      <c r="P1339" s="529"/>
      <c r="Q1339" s="531"/>
      <c r="R1339" s="530"/>
      <c r="S1339" s="530" t="s">
        <v>315</v>
      </c>
      <c r="T1339" s="667"/>
    </row>
    <row r="1340" spans="1:20" s="515" customFormat="1" ht="45">
      <c r="A1340" s="518"/>
      <c r="B1340" s="506"/>
      <c r="C1340" s="506" t="s">
        <v>9</v>
      </c>
      <c r="D1340" s="507" t="s">
        <v>2308</v>
      </c>
      <c r="E1340" s="509" t="str">
        <f>IF('GPS Anthro Tool'!$B$4=1,"North America FMVSS","")</f>
        <v>North America FMVSS</v>
      </c>
      <c r="F1340" s="507" t="s">
        <v>4242</v>
      </c>
      <c r="G1340" s="506" t="s">
        <v>2310</v>
      </c>
      <c r="H1340" s="507" t="s">
        <v>2314</v>
      </c>
      <c r="I1340" s="507"/>
      <c r="J1340" s="506" t="s">
        <v>3960</v>
      </c>
      <c r="K1340" s="527" t="s">
        <v>315</v>
      </c>
      <c r="L1340" s="526" t="s">
        <v>315</v>
      </c>
      <c r="M1340" s="527" t="s">
        <v>315</v>
      </c>
      <c r="N1340" s="528" t="s">
        <v>315</v>
      </c>
      <c r="O1340" s="663"/>
      <c r="P1340" s="529"/>
      <c r="Q1340" s="531"/>
      <c r="R1340" s="530"/>
      <c r="S1340" s="530" t="s">
        <v>315</v>
      </c>
      <c r="T1340" s="667"/>
    </row>
    <row r="1341" spans="1:20" s="515" customFormat="1" ht="45">
      <c r="A1341" s="518"/>
      <c r="B1341" s="506"/>
      <c r="C1341" s="506" t="s">
        <v>9</v>
      </c>
      <c r="D1341" s="507" t="s">
        <v>2308</v>
      </c>
      <c r="E1341" s="509" t="str">
        <f>IF('GPS Anthro Tool'!$B$4=1,"North America FMVSS","")</f>
        <v>North America FMVSS</v>
      </c>
      <c r="F1341" s="507" t="s">
        <v>4242</v>
      </c>
      <c r="G1341" s="506" t="s">
        <v>2310</v>
      </c>
      <c r="H1341" s="507" t="s">
        <v>2315</v>
      </c>
      <c r="I1341" s="507"/>
      <c r="J1341" s="506" t="s">
        <v>3960</v>
      </c>
      <c r="K1341" s="527" t="s">
        <v>315</v>
      </c>
      <c r="L1341" s="526" t="s">
        <v>315</v>
      </c>
      <c r="M1341" s="527" t="s">
        <v>315</v>
      </c>
      <c r="N1341" s="528" t="s">
        <v>315</v>
      </c>
      <c r="O1341" s="663"/>
      <c r="P1341" s="529"/>
      <c r="Q1341" s="531"/>
      <c r="R1341" s="530"/>
      <c r="S1341" s="530" t="s">
        <v>315</v>
      </c>
      <c r="T1341" s="667"/>
    </row>
    <row r="1342" spans="1:20" s="515" customFormat="1" ht="285" hidden="1">
      <c r="A1342" s="518"/>
      <c r="B1342" s="506"/>
      <c r="C1342" s="506" t="s">
        <v>2307</v>
      </c>
      <c r="D1342" s="507" t="s">
        <v>2308</v>
      </c>
      <c r="E1342" s="509" t="str">
        <f>IF('GPS Anthro Tool'!$B$4=1,"North America FMVSS","")</f>
        <v>North America FMVSS</v>
      </c>
      <c r="F1342" s="507" t="s">
        <v>4242</v>
      </c>
      <c r="G1342" s="507" t="s">
        <v>1017</v>
      </c>
      <c r="H1342" s="507" t="s">
        <v>2309</v>
      </c>
      <c r="I1342" s="507"/>
      <c r="J1342" s="506" t="s">
        <v>3960</v>
      </c>
      <c r="K1342" s="566"/>
      <c r="L1342" s="673"/>
      <c r="M1342" s="566"/>
      <c r="N1342" s="667"/>
      <c r="O1342" s="518"/>
      <c r="P1342" s="666"/>
      <c r="Q1342" s="566"/>
      <c r="R1342" s="566"/>
      <c r="S1342" s="566"/>
      <c r="T1342" s="667"/>
    </row>
    <row r="1343" spans="1:20" s="515" customFormat="1" ht="30">
      <c r="A1343" s="518"/>
      <c r="B1343" s="506"/>
      <c r="C1343" s="506" t="s">
        <v>2144</v>
      </c>
      <c r="D1343" s="507" t="s">
        <v>2316</v>
      </c>
      <c r="E1343" s="509" t="str">
        <f>IF('GPS Anthro Tool'!$B$4=1,"North America FMVSS","")</f>
        <v>North America FMVSS</v>
      </c>
      <c r="F1343" s="507" t="s">
        <v>4242</v>
      </c>
      <c r="G1343" s="506"/>
      <c r="H1343" s="507" t="s">
        <v>2317</v>
      </c>
      <c r="I1343" s="507"/>
      <c r="J1343" s="506" t="s">
        <v>3960</v>
      </c>
      <c r="K1343" s="527" t="s">
        <v>315</v>
      </c>
      <c r="L1343" s="526" t="s">
        <v>315</v>
      </c>
      <c r="M1343" s="527" t="s">
        <v>315</v>
      </c>
      <c r="N1343" s="528" t="s">
        <v>315</v>
      </c>
      <c r="O1343" s="663"/>
      <c r="P1343" s="529"/>
      <c r="Q1343" s="531"/>
      <c r="R1343" s="530"/>
      <c r="S1343" s="530" t="s">
        <v>315</v>
      </c>
      <c r="T1343" s="667"/>
    </row>
    <row r="1344" spans="1:20" s="363" customFormat="1" ht="75">
      <c r="A1344" s="518"/>
      <c r="B1344" s="506"/>
      <c r="C1344" s="506" t="s">
        <v>2144</v>
      </c>
      <c r="D1344" s="507" t="s">
        <v>2318</v>
      </c>
      <c r="E1344" s="509" t="str">
        <f>IF('GPS Anthro Tool'!$B$4=1,"North America FMVSS","")</f>
        <v>North America FMVSS</v>
      </c>
      <c r="F1344" s="507" t="s">
        <v>4242</v>
      </c>
      <c r="G1344" s="506" t="s">
        <v>2298</v>
      </c>
      <c r="H1344" s="507" t="s">
        <v>2319</v>
      </c>
      <c r="I1344" s="507"/>
      <c r="J1344" s="506" t="s">
        <v>3960</v>
      </c>
      <c r="K1344" s="527" t="s">
        <v>315</v>
      </c>
      <c r="L1344" s="526" t="s">
        <v>315</v>
      </c>
      <c r="M1344" s="527" t="s">
        <v>315</v>
      </c>
      <c r="N1344" s="528" t="s">
        <v>315</v>
      </c>
      <c r="O1344" s="663"/>
      <c r="P1344" s="529"/>
      <c r="Q1344" s="531"/>
      <c r="R1344" s="530"/>
      <c r="S1344" s="530" t="s">
        <v>315</v>
      </c>
      <c r="T1344" s="667"/>
    </row>
    <row r="1345" spans="1:20" s="363" customFormat="1" ht="120">
      <c r="A1345" s="518"/>
      <c r="B1345" s="506"/>
      <c r="C1345" s="506" t="s">
        <v>2144</v>
      </c>
      <c r="D1345" s="507" t="s">
        <v>2320</v>
      </c>
      <c r="E1345" s="509" t="str">
        <f>IF('GPS Anthro Tool'!$B$4=1,"North America FMVSS","")</f>
        <v>North America FMVSS</v>
      </c>
      <c r="F1345" s="507" t="s">
        <v>4242</v>
      </c>
      <c r="G1345" s="506" t="s">
        <v>2298</v>
      </c>
      <c r="H1345" s="507" t="s">
        <v>2321</v>
      </c>
      <c r="I1345" s="507"/>
      <c r="J1345" s="506" t="s">
        <v>3960</v>
      </c>
      <c r="K1345" s="527" t="s">
        <v>315</v>
      </c>
      <c r="L1345" s="526" t="s">
        <v>315</v>
      </c>
      <c r="M1345" s="527" t="s">
        <v>315</v>
      </c>
      <c r="N1345" s="528" t="s">
        <v>315</v>
      </c>
      <c r="O1345" s="663"/>
      <c r="P1345" s="529"/>
      <c r="Q1345" s="531"/>
      <c r="R1345" s="530"/>
      <c r="S1345" s="530" t="s">
        <v>315</v>
      </c>
      <c r="T1345" s="667"/>
    </row>
    <row r="1346" spans="1:20" s="515" customFormat="1" ht="75">
      <c r="A1346" s="518"/>
      <c r="B1346" s="506"/>
      <c r="C1346" s="506" t="s">
        <v>2144</v>
      </c>
      <c r="D1346" s="507" t="s">
        <v>2322</v>
      </c>
      <c r="E1346" s="509" t="str">
        <f>IF('GPS Anthro Tool'!$B$4=1,"North America FMVSS","")</f>
        <v>North America FMVSS</v>
      </c>
      <c r="F1346" s="507" t="s">
        <v>4242</v>
      </c>
      <c r="G1346" s="506" t="s">
        <v>2298</v>
      </c>
      <c r="H1346" s="507" t="s">
        <v>2323</v>
      </c>
      <c r="I1346" s="507"/>
      <c r="J1346" s="506" t="s">
        <v>3960</v>
      </c>
      <c r="K1346" s="527" t="s">
        <v>315</v>
      </c>
      <c r="L1346" s="526" t="s">
        <v>315</v>
      </c>
      <c r="M1346" s="527" t="s">
        <v>315</v>
      </c>
      <c r="N1346" s="528" t="s">
        <v>315</v>
      </c>
      <c r="O1346" s="663"/>
      <c r="P1346" s="529"/>
      <c r="Q1346" s="531"/>
      <c r="R1346" s="530"/>
      <c r="S1346" s="530" t="s">
        <v>315</v>
      </c>
      <c r="T1346" s="667"/>
    </row>
    <row r="1347" spans="1:20" s="515" customFormat="1" ht="105">
      <c r="A1347" s="518"/>
      <c r="B1347" s="506"/>
      <c r="C1347" s="506" t="s">
        <v>2144</v>
      </c>
      <c r="D1347" s="507" t="s">
        <v>2324</v>
      </c>
      <c r="E1347" s="509" t="str">
        <f>IF('GPS Anthro Tool'!$B$4=1,"North America FMVSS","")</f>
        <v>North America FMVSS</v>
      </c>
      <c r="F1347" s="507" t="s">
        <v>4242</v>
      </c>
      <c r="G1347" s="506" t="s">
        <v>2298</v>
      </c>
      <c r="H1347" s="507" t="s">
        <v>2325</v>
      </c>
      <c r="I1347" s="507"/>
      <c r="J1347" s="506" t="s">
        <v>3960</v>
      </c>
      <c r="K1347" s="527" t="s">
        <v>315</v>
      </c>
      <c r="L1347" s="526" t="s">
        <v>315</v>
      </c>
      <c r="M1347" s="527" t="s">
        <v>315</v>
      </c>
      <c r="N1347" s="528" t="s">
        <v>315</v>
      </c>
      <c r="O1347" s="663"/>
      <c r="P1347" s="529"/>
      <c r="Q1347" s="531"/>
      <c r="R1347" s="530"/>
      <c r="S1347" s="530" t="s">
        <v>315</v>
      </c>
      <c r="T1347" s="667"/>
    </row>
    <row r="1348" spans="1:20" s="515" customFormat="1" ht="90">
      <c r="A1348" s="518"/>
      <c r="B1348" s="506"/>
      <c r="C1348" s="506" t="s">
        <v>2144</v>
      </c>
      <c r="D1348" s="507" t="s">
        <v>2326</v>
      </c>
      <c r="E1348" s="509" t="str">
        <f>IF('GPS Anthro Tool'!$B$4=1,"North America FMVSS","")</f>
        <v>North America FMVSS</v>
      </c>
      <c r="F1348" s="507" t="s">
        <v>4242</v>
      </c>
      <c r="G1348" s="506" t="s">
        <v>2327</v>
      </c>
      <c r="H1348" s="507" t="s">
        <v>2328</v>
      </c>
      <c r="I1348" s="507"/>
      <c r="J1348" s="506" t="s">
        <v>3960</v>
      </c>
      <c r="K1348" s="527" t="s">
        <v>315</v>
      </c>
      <c r="L1348" s="526" t="s">
        <v>315</v>
      </c>
      <c r="M1348" s="527" t="s">
        <v>315</v>
      </c>
      <c r="N1348" s="528" t="s">
        <v>315</v>
      </c>
      <c r="O1348" s="663"/>
      <c r="P1348" s="529"/>
      <c r="Q1348" s="531"/>
      <c r="R1348" s="530"/>
      <c r="S1348" s="530" t="s">
        <v>315</v>
      </c>
      <c r="T1348" s="667"/>
    </row>
    <row r="1349" spans="1:20" s="515" customFormat="1" ht="75">
      <c r="A1349" s="518"/>
      <c r="B1349" s="506"/>
      <c r="C1349" s="506" t="s">
        <v>2144</v>
      </c>
      <c r="D1349" s="507" t="s">
        <v>2329</v>
      </c>
      <c r="E1349" s="509" t="str">
        <f>IF('GPS Anthro Tool'!$B$4=1,"North America FMVSS","")</f>
        <v>North America FMVSS</v>
      </c>
      <c r="F1349" s="507" t="s">
        <v>4242</v>
      </c>
      <c r="G1349" s="506" t="s">
        <v>2327</v>
      </c>
      <c r="H1349" s="507" t="s">
        <v>2330</v>
      </c>
      <c r="I1349" s="507"/>
      <c r="J1349" s="506" t="s">
        <v>3960</v>
      </c>
      <c r="K1349" s="527" t="s">
        <v>315</v>
      </c>
      <c r="L1349" s="526" t="s">
        <v>315</v>
      </c>
      <c r="M1349" s="527" t="s">
        <v>315</v>
      </c>
      <c r="N1349" s="528" t="s">
        <v>315</v>
      </c>
      <c r="O1349" s="663"/>
      <c r="P1349" s="529"/>
      <c r="Q1349" s="531"/>
      <c r="R1349" s="530"/>
      <c r="S1349" s="530" t="s">
        <v>315</v>
      </c>
      <c r="T1349" s="667"/>
    </row>
    <row r="1350" spans="1:20" s="515" customFormat="1" ht="60">
      <c r="A1350" s="518"/>
      <c r="B1350" s="506"/>
      <c r="C1350" s="506" t="s">
        <v>2144</v>
      </c>
      <c r="D1350" s="507" t="s">
        <v>2331</v>
      </c>
      <c r="E1350" s="509" t="str">
        <f>IF('GPS Anthro Tool'!$B$4=1,"North America FMVSS","")</f>
        <v>North America FMVSS</v>
      </c>
      <c r="F1350" s="507" t="s">
        <v>4242</v>
      </c>
      <c r="G1350" s="506" t="s">
        <v>2298</v>
      </c>
      <c r="H1350" s="507" t="s">
        <v>2332</v>
      </c>
      <c r="I1350" s="507"/>
      <c r="J1350" s="506" t="s">
        <v>3960</v>
      </c>
      <c r="K1350" s="527" t="s">
        <v>315</v>
      </c>
      <c r="L1350" s="526" t="s">
        <v>315</v>
      </c>
      <c r="M1350" s="527" t="s">
        <v>315</v>
      </c>
      <c r="N1350" s="528" t="s">
        <v>315</v>
      </c>
      <c r="O1350" s="663"/>
      <c r="P1350" s="529"/>
      <c r="Q1350" s="531"/>
      <c r="R1350" s="530"/>
      <c r="S1350" s="530" t="s">
        <v>315</v>
      </c>
      <c r="T1350" s="667"/>
    </row>
    <row r="1351" spans="1:20" s="515" customFormat="1" ht="195">
      <c r="A1351" s="518"/>
      <c r="B1351" s="506"/>
      <c r="C1351" s="506" t="s">
        <v>2144</v>
      </c>
      <c r="D1351" s="507" t="s">
        <v>2333</v>
      </c>
      <c r="E1351" s="509" t="str">
        <f>IF('GPS Anthro Tool'!$B$4=1,"North America FMVSS","")</f>
        <v>North America FMVSS</v>
      </c>
      <c r="F1351" s="507" t="s">
        <v>4242</v>
      </c>
      <c r="G1351" s="506" t="s">
        <v>2298</v>
      </c>
      <c r="H1351" s="507" t="s">
        <v>2334</v>
      </c>
      <c r="I1351" s="507"/>
      <c r="J1351" s="506" t="s">
        <v>3960</v>
      </c>
      <c r="K1351" s="527" t="s">
        <v>315</v>
      </c>
      <c r="L1351" s="526" t="s">
        <v>315</v>
      </c>
      <c r="M1351" s="527" t="s">
        <v>315</v>
      </c>
      <c r="N1351" s="528" t="s">
        <v>315</v>
      </c>
      <c r="O1351" s="663"/>
      <c r="P1351" s="529"/>
      <c r="Q1351" s="531"/>
      <c r="R1351" s="530"/>
      <c r="S1351" s="530" t="s">
        <v>315</v>
      </c>
      <c r="T1351" s="667"/>
    </row>
    <row r="1352" spans="1:20" s="515" customFormat="1" ht="75">
      <c r="A1352" s="518"/>
      <c r="B1352" s="506"/>
      <c r="C1352" s="506" t="s">
        <v>2144</v>
      </c>
      <c r="D1352" s="507" t="s">
        <v>2335</v>
      </c>
      <c r="E1352" s="509" t="str">
        <f>IF('GPS Anthro Tool'!$B$4=1,"North America FMVSS","")</f>
        <v>North America FMVSS</v>
      </c>
      <c r="F1352" s="507" t="s">
        <v>4242</v>
      </c>
      <c r="G1352" s="506" t="s">
        <v>2298</v>
      </c>
      <c r="H1352" s="507" t="s">
        <v>2336</v>
      </c>
      <c r="I1352" s="507"/>
      <c r="J1352" s="506" t="s">
        <v>3960</v>
      </c>
      <c r="K1352" s="527" t="s">
        <v>315</v>
      </c>
      <c r="L1352" s="526" t="s">
        <v>315</v>
      </c>
      <c r="M1352" s="527" t="s">
        <v>315</v>
      </c>
      <c r="N1352" s="528" t="s">
        <v>315</v>
      </c>
      <c r="O1352" s="663"/>
      <c r="P1352" s="529"/>
      <c r="Q1352" s="531"/>
      <c r="R1352" s="530"/>
      <c r="S1352" s="530" t="s">
        <v>315</v>
      </c>
      <c r="T1352" s="667"/>
    </row>
    <row r="1353" spans="1:20" s="515" customFormat="1" ht="285">
      <c r="A1353" s="518"/>
      <c r="B1353" s="506"/>
      <c r="C1353" s="506" t="s">
        <v>2144</v>
      </c>
      <c r="D1353" s="509" t="s">
        <v>2337</v>
      </c>
      <c r="E1353" s="509" t="str">
        <f>IF('GPS Anthro Tool'!$B$4=1,"North America FMVSS","")</f>
        <v>North America FMVSS</v>
      </c>
      <c r="F1353" s="507" t="s">
        <v>4242</v>
      </c>
      <c r="G1353" s="506"/>
      <c r="H1353" s="507" t="s">
        <v>2338</v>
      </c>
      <c r="I1353" s="507"/>
      <c r="J1353" s="506" t="s">
        <v>3960</v>
      </c>
      <c r="K1353" s="527" t="s">
        <v>315</v>
      </c>
      <c r="L1353" s="526" t="s">
        <v>315</v>
      </c>
      <c r="M1353" s="527" t="s">
        <v>315</v>
      </c>
      <c r="N1353" s="528" t="s">
        <v>315</v>
      </c>
      <c r="O1353" s="663"/>
      <c r="P1353" s="529"/>
      <c r="Q1353" s="531"/>
      <c r="R1353" s="530"/>
      <c r="S1353" s="530" t="s">
        <v>315</v>
      </c>
      <c r="T1353" s="667"/>
    </row>
    <row r="1354" spans="1:20" s="515" customFormat="1" ht="90">
      <c r="A1354" s="518"/>
      <c r="B1354" s="506"/>
      <c r="C1354" s="506" t="s">
        <v>2144</v>
      </c>
      <c r="D1354" s="507" t="s">
        <v>2339</v>
      </c>
      <c r="E1354" s="509" t="str">
        <f>IF('GPS Anthro Tool'!$B$4=1,"North America FMVSS","")</f>
        <v>North America FMVSS</v>
      </c>
      <c r="F1354" s="507" t="s">
        <v>4242</v>
      </c>
      <c r="G1354" s="506" t="s">
        <v>2298</v>
      </c>
      <c r="H1354" s="507" t="s">
        <v>2340</v>
      </c>
      <c r="I1354" s="507"/>
      <c r="J1354" s="506" t="s">
        <v>3960</v>
      </c>
      <c r="K1354" s="527" t="s">
        <v>315</v>
      </c>
      <c r="L1354" s="526" t="s">
        <v>315</v>
      </c>
      <c r="M1354" s="527" t="s">
        <v>315</v>
      </c>
      <c r="N1354" s="528" t="s">
        <v>315</v>
      </c>
      <c r="O1354" s="663"/>
      <c r="P1354" s="529"/>
      <c r="Q1354" s="531"/>
      <c r="R1354" s="530"/>
      <c r="S1354" s="530" t="s">
        <v>315</v>
      </c>
      <c r="T1354" s="667"/>
    </row>
    <row r="1355" spans="1:20" s="515" customFormat="1" ht="90" hidden="1">
      <c r="A1355" s="518"/>
      <c r="B1355" s="506"/>
      <c r="C1355" s="506" t="s">
        <v>2341</v>
      </c>
      <c r="D1355" s="507" t="s">
        <v>2342</v>
      </c>
      <c r="E1355" s="509" t="str">
        <f>IF('GPS Anthro Tool'!$B$4=1,"North America FMVSS","")</f>
        <v>North America FMVSS</v>
      </c>
      <c r="F1355" s="507" t="s">
        <v>4242</v>
      </c>
      <c r="G1355" s="506"/>
      <c r="H1355" s="507" t="s">
        <v>2343</v>
      </c>
      <c r="I1355" s="507"/>
      <c r="J1355" s="506" t="s">
        <v>3960</v>
      </c>
      <c r="K1355" s="527" t="s">
        <v>315</v>
      </c>
      <c r="L1355" s="526" t="s">
        <v>315</v>
      </c>
      <c r="M1355" s="527" t="s">
        <v>315</v>
      </c>
      <c r="N1355" s="528" t="s">
        <v>315</v>
      </c>
      <c r="O1355" s="663"/>
      <c r="P1355" s="529"/>
      <c r="Q1355" s="531"/>
      <c r="R1355" s="530"/>
      <c r="S1355" s="530" t="s">
        <v>315</v>
      </c>
      <c r="T1355" s="667"/>
    </row>
    <row r="1356" spans="1:20" s="515" customFormat="1" ht="30">
      <c r="A1356" s="518"/>
      <c r="B1356" s="506"/>
      <c r="C1356" s="506" t="s">
        <v>2144</v>
      </c>
      <c r="D1356" s="507" t="s">
        <v>2344</v>
      </c>
      <c r="E1356" s="509" t="str">
        <f>IF('GPS Anthro Tool'!$B$4=1,"North America FMVSS","")</f>
        <v>North America FMVSS</v>
      </c>
      <c r="F1356" s="507" t="s">
        <v>4242</v>
      </c>
      <c r="G1356" s="506"/>
      <c r="H1356" s="507" t="s">
        <v>2345</v>
      </c>
      <c r="I1356" s="507"/>
      <c r="J1356" s="506" t="s">
        <v>3960</v>
      </c>
      <c r="K1356" s="527" t="s">
        <v>315</v>
      </c>
      <c r="L1356" s="526" t="s">
        <v>315</v>
      </c>
      <c r="M1356" s="527" t="s">
        <v>315</v>
      </c>
      <c r="N1356" s="528" t="s">
        <v>315</v>
      </c>
      <c r="O1356" s="663"/>
      <c r="P1356" s="529"/>
      <c r="Q1356" s="531"/>
      <c r="R1356" s="530"/>
      <c r="S1356" s="530" t="s">
        <v>315</v>
      </c>
      <c r="T1356" s="667"/>
    </row>
    <row r="1357" spans="1:20" s="515" customFormat="1" ht="120" hidden="1">
      <c r="A1357" s="518"/>
      <c r="B1357" s="506"/>
      <c r="C1357" s="506" t="s">
        <v>2346</v>
      </c>
      <c r="D1357" s="507" t="s">
        <v>2347</v>
      </c>
      <c r="E1357" s="509" t="str">
        <f>IF('GPS Anthro Tool'!$B$4=1,"North America FMVSS","")</f>
        <v>North America FMVSS</v>
      </c>
      <c r="F1357" s="507" t="s">
        <v>4242</v>
      </c>
      <c r="G1357" s="506"/>
      <c r="H1357" s="507" t="s">
        <v>2348</v>
      </c>
      <c r="I1357" s="507"/>
      <c r="J1357" s="506" t="s">
        <v>3960</v>
      </c>
      <c r="K1357" s="527" t="s">
        <v>315</v>
      </c>
      <c r="L1357" s="526" t="s">
        <v>315</v>
      </c>
      <c r="M1357" s="527" t="s">
        <v>315</v>
      </c>
      <c r="N1357" s="528" t="s">
        <v>315</v>
      </c>
      <c r="O1357" s="663"/>
      <c r="P1357" s="529"/>
      <c r="Q1357" s="531"/>
      <c r="R1357" s="530"/>
      <c r="S1357" s="530" t="s">
        <v>315</v>
      </c>
      <c r="T1357" s="667"/>
    </row>
    <row r="1358" spans="1:20" s="515" customFormat="1" ht="75" hidden="1">
      <c r="A1358" s="518"/>
      <c r="B1358" s="506"/>
      <c r="C1358" s="506" t="s">
        <v>2346</v>
      </c>
      <c r="D1358" s="507" t="s">
        <v>2349</v>
      </c>
      <c r="E1358" s="509" t="str">
        <f>IF('GPS Anthro Tool'!$B$4=1,"North America FMVSS","")</f>
        <v>North America FMVSS</v>
      </c>
      <c r="F1358" s="507" t="s">
        <v>4242</v>
      </c>
      <c r="G1358" s="506"/>
      <c r="H1358" s="507" t="s">
        <v>2350</v>
      </c>
      <c r="I1358" s="507"/>
      <c r="J1358" s="506" t="s">
        <v>3960</v>
      </c>
      <c r="K1358" s="527" t="s">
        <v>315</v>
      </c>
      <c r="L1358" s="526" t="s">
        <v>315</v>
      </c>
      <c r="M1358" s="527" t="s">
        <v>315</v>
      </c>
      <c r="N1358" s="528" t="s">
        <v>315</v>
      </c>
      <c r="O1358" s="663"/>
      <c r="P1358" s="529"/>
      <c r="Q1358" s="531"/>
      <c r="R1358" s="530"/>
      <c r="S1358" s="530" t="s">
        <v>315</v>
      </c>
      <c r="T1358" s="667"/>
    </row>
    <row r="1359" spans="1:20" s="515" customFormat="1" ht="210" hidden="1">
      <c r="A1359" s="518"/>
      <c r="B1359" s="506"/>
      <c r="C1359" s="506" t="s">
        <v>2351</v>
      </c>
      <c r="D1359" s="507" t="s">
        <v>2352</v>
      </c>
      <c r="E1359" s="509" t="str">
        <f>IF('GPS Anthro Tool'!$B$4=1,"North America FMVSS","")</f>
        <v>North America FMVSS</v>
      </c>
      <c r="F1359" s="507" t="s">
        <v>4242</v>
      </c>
      <c r="G1359" s="506"/>
      <c r="H1359" s="507" t="s">
        <v>2353</v>
      </c>
      <c r="I1359" s="507"/>
      <c r="J1359" s="506" t="s">
        <v>3960</v>
      </c>
      <c r="K1359" s="527" t="s">
        <v>315</v>
      </c>
      <c r="L1359" s="526" t="s">
        <v>315</v>
      </c>
      <c r="M1359" s="527" t="s">
        <v>315</v>
      </c>
      <c r="N1359" s="528" t="s">
        <v>315</v>
      </c>
      <c r="O1359" s="663"/>
      <c r="P1359" s="529"/>
      <c r="Q1359" s="531"/>
      <c r="R1359" s="530"/>
      <c r="S1359" s="530" t="s">
        <v>315</v>
      </c>
      <c r="T1359" s="667"/>
    </row>
    <row r="1360" spans="1:20" s="515" customFormat="1" ht="60" hidden="1">
      <c r="A1360" s="518"/>
      <c r="B1360" s="506"/>
      <c r="C1360" s="506" t="s">
        <v>2341</v>
      </c>
      <c r="D1360" s="507" t="s">
        <v>2354</v>
      </c>
      <c r="E1360" s="509" t="str">
        <f>IF('GPS Anthro Tool'!$B$4=1,"North America FMVSS","")</f>
        <v>North America FMVSS</v>
      </c>
      <c r="F1360" s="507" t="s">
        <v>4242</v>
      </c>
      <c r="G1360" s="506"/>
      <c r="H1360" s="507" t="s">
        <v>2355</v>
      </c>
      <c r="I1360" s="507"/>
      <c r="J1360" s="506" t="s">
        <v>3960</v>
      </c>
      <c r="K1360" s="527" t="s">
        <v>315</v>
      </c>
      <c r="L1360" s="526" t="s">
        <v>315</v>
      </c>
      <c r="M1360" s="527" t="s">
        <v>315</v>
      </c>
      <c r="N1360" s="528" t="s">
        <v>315</v>
      </c>
      <c r="O1360" s="663"/>
      <c r="P1360" s="529"/>
      <c r="Q1360" s="531"/>
      <c r="R1360" s="530"/>
      <c r="S1360" s="530" t="s">
        <v>315</v>
      </c>
      <c r="T1360" s="667"/>
    </row>
    <row r="1361" spans="1:20" s="515" customFormat="1" ht="90" hidden="1">
      <c r="A1361" s="518"/>
      <c r="B1361" s="506"/>
      <c r="C1361" s="506" t="s">
        <v>2351</v>
      </c>
      <c r="D1361" s="507" t="s">
        <v>2356</v>
      </c>
      <c r="E1361" s="509" t="str">
        <f>IF('GPS Anthro Tool'!$B$4=1,"North America FMVSS","")</f>
        <v>North America FMVSS</v>
      </c>
      <c r="F1361" s="507" t="s">
        <v>4242</v>
      </c>
      <c r="G1361" s="506"/>
      <c r="H1361" s="507" t="s">
        <v>2357</v>
      </c>
      <c r="I1361" s="507"/>
      <c r="J1361" s="506" t="s">
        <v>3960</v>
      </c>
      <c r="K1361" s="527" t="s">
        <v>315</v>
      </c>
      <c r="L1361" s="526" t="s">
        <v>315</v>
      </c>
      <c r="M1361" s="527" t="s">
        <v>315</v>
      </c>
      <c r="N1361" s="528" t="s">
        <v>315</v>
      </c>
      <c r="O1361" s="663"/>
      <c r="P1361" s="529"/>
      <c r="Q1361" s="531"/>
      <c r="R1361" s="530"/>
      <c r="S1361" s="530" t="s">
        <v>315</v>
      </c>
      <c r="T1361" s="667"/>
    </row>
    <row r="1362" spans="1:20" s="515" customFormat="1" ht="30" hidden="1">
      <c r="A1362" s="518"/>
      <c r="B1362" s="506"/>
      <c r="C1362" s="506" t="s">
        <v>2358</v>
      </c>
      <c r="D1362" s="507" t="s">
        <v>2359</v>
      </c>
      <c r="E1362" s="509" t="str">
        <f>IF('GPS Anthro Tool'!$B$4=1,"North America FMVSS","")</f>
        <v>North America FMVSS</v>
      </c>
      <c r="F1362" s="507" t="s">
        <v>4242</v>
      </c>
      <c r="G1362" s="507" t="s">
        <v>1021</v>
      </c>
      <c r="H1362" s="507" t="s">
        <v>2360</v>
      </c>
      <c r="I1362" s="507"/>
      <c r="J1362" s="506" t="s">
        <v>3960</v>
      </c>
      <c r="K1362" s="527" t="s">
        <v>315</v>
      </c>
      <c r="L1362" s="526" t="s">
        <v>315</v>
      </c>
      <c r="M1362" s="527" t="s">
        <v>315</v>
      </c>
      <c r="N1362" s="528" t="s">
        <v>315</v>
      </c>
      <c r="O1362" s="663"/>
      <c r="P1362" s="529"/>
      <c r="Q1362" s="531"/>
      <c r="R1362" s="530"/>
      <c r="S1362" s="530" t="s">
        <v>315</v>
      </c>
      <c r="T1362" s="667"/>
    </row>
    <row r="1363" spans="1:20" s="363" customFormat="1" ht="45" hidden="1">
      <c r="A1363" s="518"/>
      <c r="B1363" s="506"/>
      <c r="C1363" s="506" t="s">
        <v>2358</v>
      </c>
      <c r="D1363" s="507" t="s">
        <v>2361</v>
      </c>
      <c r="E1363" s="509" t="str">
        <f>IF('GPS Anthro Tool'!$B$4=1,"North America FMVSS","")</f>
        <v>North America FMVSS</v>
      </c>
      <c r="F1363" s="507" t="s">
        <v>4242</v>
      </c>
      <c r="G1363" s="507" t="s">
        <v>1021</v>
      </c>
      <c r="H1363" s="507" t="s">
        <v>2362</v>
      </c>
      <c r="I1363" s="507"/>
      <c r="J1363" s="506" t="s">
        <v>3960</v>
      </c>
      <c r="K1363" s="527" t="s">
        <v>315</v>
      </c>
      <c r="L1363" s="526" t="s">
        <v>315</v>
      </c>
      <c r="M1363" s="527" t="s">
        <v>315</v>
      </c>
      <c r="N1363" s="528" t="s">
        <v>315</v>
      </c>
      <c r="O1363" s="663"/>
      <c r="P1363" s="529"/>
      <c r="Q1363" s="531"/>
      <c r="R1363" s="530"/>
      <c r="S1363" s="530" t="s">
        <v>315</v>
      </c>
      <c r="T1363" s="667"/>
    </row>
    <row r="1364" spans="1:20" s="515" customFormat="1" ht="45" hidden="1">
      <c r="A1364" s="518"/>
      <c r="B1364" s="506"/>
      <c r="C1364" s="506" t="s">
        <v>1994</v>
      </c>
      <c r="D1364" s="509" t="s">
        <v>2363</v>
      </c>
      <c r="E1364" s="509" t="str">
        <f>IF('GPS Anthro Tool'!$B$4=1,"North America FMVSS","")</f>
        <v>North America FMVSS</v>
      </c>
      <c r="F1364" s="507" t="s">
        <v>4242</v>
      </c>
      <c r="G1364" s="507" t="s">
        <v>1021</v>
      </c>
      <c r="H1364" s="509" t="s">
        <v>2364</v>
      </c>
      <c r="I1364" s="509"/>
      <c r="J1364" s="506" t="s">
        <v>3960</v>
      </c>
      <c r="K1364" s="527" t="s">
        <v>315</v>
      </c>
      <c r="L1364" s="526" t="s">
        <v>315</v>
      </c>
      <c r="M1364" s="527" t="s">
        <v>315</v>
      </c>
      <c r="N1364" s="528" t="s">
        <v>315</v>
      </c>
      <c r="O1364" s="663"/>
      <c r="P1364" s="529"/>
      <c r="Q1364" s="531"/>
      <c r="R1364" s="530"/>
      <c r="S1364" s="530" t="s">
        <v>315</v>
      </c>
      <c r="T1364" s="667"/>
    </row>
    <row r="1365" spans="1:20" s="515" customFormat="1" ht="45" hidden="1">
      <c r="A1365" s="518"/>
      <c r="B1365" s="506"/>
      <c r="C1365" s="506" t="s">
        <v>1994</v>
      </c>
      <c r="D1365" s="509" t="s">
        <v>2363</v>
      </c>
      <c r="E1365" s="509" t="str">
        <f>IF('GPS Anthro Tool'!$B$4=1,"North America FMVSS","")</f>
        <v>North America FMVSS</v>
      </c>
      <c r="F1365" s="507" t="s">
        <v>4242</v>
      </c>
      <c r="G1365" s="507" t="s">
        <v>1021</v>
      </c>
      <c r="H1365" s="509" t="s">
        <v>2365</v>
      </c>
      <c r="I1365" s="509"/>
      <c r="J1365" s="506" t="s">
        <v>3960</v>
      </c>
      <c r="K1365" s="527" t="s">
        <v>315</v>
      </c>
      <c r="L1365" s="526" t="s">
        <v>315</v>
      </c>
      <c r="M1365" s="527" t="s">
        <v>315</v>
      </c>
      <c r="N1365" s="528" t="s">
        <v>315</v>
      </c>
      <c r="O1365" s="663"/>
      <c r="P1365" s="529"/>
      <c r="Q1365" s="531"/>
      <c r="R1365" s="530"/>
      <c r="S1365" s="530" t="s">
        <v>315</v>
      </c>
      <c r="T1365" s="667"/>
    </row>
    <row r="1366" spans="1:20" s="515" customFormat="1" ht="90" hidden="1">
      <c r="A1366" s="518"/>
      <c r="B1366" s="506"/>
      <c r="C1366" s="506" t="s">
        <v>1994</v>
      </c>
      <c r="D1366" s="509" t="s">
        <v>2363</v>
      </c>
      <c r="E1366" s="509" t="str">
        <f>IF('GPS Anthro Tool'!$B$4=1,"North America FMVSS","")</f>
        <v>North America FMVSS</v>
      </c>
      <c r="F1366" s="507" t="s">
        <v>4242</v>
      </c>
      <c r="G1366" s="507" t="s">
        <v>1021</v>
      </c>
      <c r="H1366" s="509" t="s">
        <v>2366</v>
      </c>
      <c r="I1366" s="509"/>
      <c r="J1366" s="506" t="s">
        <v>3960</v>
      </c>
      <c r="K1366" s="527" t="s">
        <v>315</v>
      </c>
      <c r="L1366" s="526" t="s">
        <v>315</v>
      </c>
      <c r="M1366" s="527" t="s">
        <v>315</v>
      </c>
      <c r="N1366" s="528" t="s">
        <v>315</v>
      </c>
      <c r="O1366" s="663"/>
      <c r="P1366" s="529"/>
      <c r="Q1366" s="531"/>
      <c r="R1366" s="530"/>
      <c r="S1366" s="530" t="s">
        <v>315</v>
      </c>
      <c r="T1366" s="667"/>
    </row>
    <row r="1367" spans="1:20" s="515" customFormat="1" ht="90" hidden="1">
      <c r="A1367" s="518"/>
      <c r="B1367" s="506"/>
      <c r="C1367" s="506" t="s">
        <v>1994</v>
      </c>
      <c r="D1367" s="509" t="s">
        <v>2363</v>
      </c>
      <c r="E1367" s="509" t="str">
        <f>IF('GPS Anthro Tool'!$B$4=1,"North America FMVSS","")</f>
        <v>North America FMVSS</v>
      </c>
      <c r="F1367" s="507" t="s">
        <v>4242</v>
      </c>
      <c r="G1367" s="507" t="s">
        <v>1021</v>
      </c>
      <c r="H1367" s="509" t="s">
        <v>2366</v>
      </c>
      <c r="I1367" s="509"/>
      <c r="J1367" s="506" t="s">
        <v>3960</v>
      </c>
      <c r="K1367" s="527" t="s">
        <v>315</v>
      </c>
      <c r="L1367" s="526" t="s">
        <v>315</v>
      </c>
      <c r="M1367" s="527" t="s">
        <v>315</v>
      </c>
      <c r="N1367" s="528" t="s">
        <v>315</v>
      </c>
      <c r="O1367" s="663"/>
      <c r="P1367" s="529"/>
      <c r="Q1367" s="531"/>
      <c r="R1367" s="530"/>
      <c r="S1367" s="530" t="s">
        <v>315</v>
      </c>
      <c r="T1367" s="667"/>
    </row>
    <row r="1368" spans="1:20" s="515" customFormat="1" ht="90" hidden="1">
      <c r="A1368" s="518"/>
      <c r="B1368" s="506"/>
      <c r="C1368" s="506" t="s">
        <v>1994</v>
      </c>
      <c r="D1368" s="509" t="s">
        <v>2363</v>
      </c>
      <c r="E1368" s="509" t="str">
        <f>IF('GPS Anthro Tool'!$B$4=1,"North America FMVSS","")</f>
        <v>North America FMVSS</v>
      </c>
      <c r="F1368" s="507" t="s">
        <v>4242</v>
      </c>
      <c r="G1368" s="507" t="s">
        <v>1021</v>
      </c>
      <c r="H1368" s="509" t="s">
        <v>3488</v>
      </c>
      <c r="I1368" s="509"/>
      <c r="J1368" s="506" t="s">
        <v>3960</v>
      </c>
      <c r="K1368" s="527" t="s">
        <v>315</v>
      </c>
      <c r="L1368" s="526" t="s">
        <v>315</v>
      </c>
      <c r="M1368" s="527" t="s">
        <v>315</v>
      </c>
      <c r="N1368" s="528" t="s">
        <v>315</v>
      </c>
      <c r="O1368" s="663"/>
      <c r="P1368" s="529"/>
      <c r="Q1368" s="531"/>
      <c r="R1368" s="530"/>
      <c r="S1368" s="530" t="s">
        <v>315</v>
      </c>
      <c r="T1368" s="667"/>
    </row>
    <row r="1369" spans="1:20" s="515" customFormat="1" ht="30" hidden="1">
      <c r="A1369" s="518"/>
      <c r="B1369" s="506"/>
      <c r="C1369" s="506" t="s">
        <v>1994</v>
      </c>
      <c r="D1369" s="509" t="s">
        <v>2367</v>
      </c>
      <c r="E1369" s="509" t="str">
        <f>IF('GPS Anthro Tool'!$B$4=1,"North America FMVSS","")</f>
        <v>North America FMVSS</v>
      </c>
      <c r="F1369" s="507" t="s">
        <v>4242</v>
      </c>
      <c r="G1369" s="507" t="s">
        <v>1021</v>
      </c>
      <c r="H1369" s="509" t="s">
        <v>2368</v>
      </c>
      <c r="I1369" s="509"/>
      <c r="J1369" s="506" t="s">
        <v>3960</v>
      </c>
      <c r="K1369" s="527" t="s">
        <v>315</v>
      </c>
      <c r="L1369" s="526" t="s">
        <v>315</v>
      </c>
      <c r="M1369" s="527" t="s">
        <v>315</v>
      </c>
      <c r="N1369" s="528" t="s">
        <v>315</v>
      </c>
      <c r="O1369" s="663"/>
      <c r="P1369" s="529"/>
      <c r="Q1369" s="531"/>
      <c r="R1369" s="530"/>
      <c r="S1369" s="530" t="s">
        <v>315</v>
      </c>
      <c r="T1369" s="667"/>
    </row>
    <row r="1370" spans="1:20" s="517" customFormat="1" ht="60" hidden="1">
      <c r="A1370" s="518"/>
      <c r="B1370" s="506"/>
      <c r="C1370" s="506" t="s">
        <v>1994</v>
      </c>
      <c r="D1370" s="509" t="s">
        <v>2367</v>
      </c>
      <c r="E1370" s="509" t="str">
        <f>IF('GPS Anthro Tool'!$B$4=1,"North America FMVSS","")</f>
        <v>North America FMVSS</v>
      </c>
      <c r="F1370" s="507" t="s">
        <v>4242</v>
      </c>
      <c r="G1370" s="507" t="s">
        <v>1021</v>
      </c>
      <c r="H1370" s="509" t="s">
        <v>2369</v>
      </c>
      <c r="I1370" s="509"/>
      <c r="J1370" s="506" t="s">
        <v>3960</v>
      </c>
      <c r="K1370" s="527" t="s">
        <v>315</v>
      </c>
      <c r="L1370" s="526" t="s">
        <v>315</v>
      </c>
      <c r="M1370" s="527" t="s">
        <v>315</v>
      </c>
      <c r="N1370" s="528" t="s">
        <v>315</v>
      </c>
      <c r="O1370" s="663"/>
      <c r="P1370" s="529"/>
      <c r="Q1370" s="531"/>
      <c r="R1370" s="530"/>
      <c r="S1370" s="530" t="s">
        <v>315</v>
      </c>
      <c r="T1370" s="667"/>
    </row>
    <row r="1371" spans="1:20" s="364" customFormat="1" ht="75" hidden="1">
      <c r="A1371" s="518"/>
      <c r="B1371" s="506"/>
      <c r="C1371" s="506" t="s">
        <v>1994</v>
      </c>
      <c r="D1371" s="509" t="s">
        <v>2367</v>
      </c>
      <c r="E1371" s="509" t="str">
        <f>IF('GPS Anthro Tool'!$B$4=1,"North America FMVSS","")</f>
        <v>North America FMVSS</v>
      </c>
      <c r="F1371" s="507" t="s">
        <v>4242</v>
      </c>
      <c r="G1371" s="507" t="s">
        <v>1021</v>
      </c>
      <c r="H1371" s="509" t="s">
        <v>2370</v>
      </c>
      <c r="I1371" s="509"/>
      <c r="J1371" s="506" t="s">
        <v>3960</v>
      </c>
      <c r="K1371" s="527" t="s">
        <v>315</v>
      </c>
      <c r="L1371" s="526" t="s">
        <v>315</v>
      </c>
      <c r="M1371" s="527" t="s">
        <v>315</v>
      </c>
      <c r="N1371" s="528" t="s">
        <v>315</v>
      </c>
      <c r="O1371" s="663"/>
      <c r="P1371" s="529"/>
      <c r="Q1371" s="531"/>
      <c r="R1371" s="530"/>
      <c r="S1371" s="530" t="s">
        <v>315</v>
      </c>
      <c r="T1371" s="667"/>
    </row>
    <row r="1372" spans="1:20" s="364" customFormat="1" ht="105" hidden="1">
      <c r="A1372" s="518"/>
      <c r="B1372" s="506"/>
      <c r="C1372" s="506" t="s">
        <v>2358</v>
      </c>
      <c r="D1372" s="507" t="s">
        <v>2371</v>
      </c>
      <c r="E1372" s="509" t="str">
        <f>IF('GPS Anthro Tool'!$B$4=1,"North America FMVSS","")</f>
        <v>North America FMVSS</v>
      </c>
      <c r="F1372" s="507" t="s">
        <v>4242</v>
      </c>
      <c r="G1372" s="507" t="s">
        <v>1021</v>
      </c>
      <c r="H1372" s="507" t="s">
        <v>2372</v>
      </c>
      <c r="I1372" s="507"/>
      <c r="J1372" s="506" t="s">
        <v>3960</v>
      </c>
      <c r="K1372" s="527" t="s">
        <v>315</v>
      </c>
      <c r="L1372" s="526" t="s">
        <v>315</v>
      </c>
      <c r="M1372" s="527" t="s">
        <v>315</v>
      </c>
      <c r="N1372" s="528" t="s">
        <v>315</v>
      </c>
      <c r="O1372" s="663"/>
      <c r="P1372" s="529"/>
      <c r="Q1372" s="531"/>
      <c r="R1372" s="530"/>
      <c r="S1372" s="530" t="s">
        <v>315</v>
      </c>
      <c r="T1372" s="667"/>
    </row>
    <row r="1373" spans="1:20" s="508" customFormat="1" ht="135" hidden="1">
      <c r="A1373" s="518"/>
      <c r="B1373" s="506"/>
      <c r="C1373" s="506" t="s">
        <v>2358</v>
      </c>
      <c r="D1373" s="507" t="s">
        <v>2373</v>
      </c>
      <c r="E1373" s="509" t="str">
        <f>IF('GPS Anthro Tool'!$B$4=1,"North America FMVSS","")</f>
        <v>North America FMVSS</v>
      </c>
      <c r="F1373" s="507" t="s">
        <v>4242</v>
      </c>
      <c r="G1373" s="507" t="s">
        <v>1021</v>
      </c>
      <c r="H1373" s="507" t="s">
        <v>2374</v>
      </c>
      <c r="I1373" s="507"/>
      <c r="J1373" s="506" t="s">
        <v>3960</v>
      </c>
      <c r="K1373" s="527" t="s">
        <v>315</v>
      </c>
      <c r="L1373" s="526" t="s">
        <v>315</v>
      </c>
      <c r="M1373" s="527" t="s">
        <v>315</v>
      </c>
      <c r="N1373" s="528" t="s">
        <v>315</v>
      </c>
      <c r="O1373" s="663"/>
      <c r="P1373" s="529"/>
      <c r="Q1373" s="531"/>
      <c r="R1373" s="530"/>
      <c r="S1373" s="530" t="s">
        <v>315</v>
      </c>
      <c r="T1373" s="667"/>
    </row>
    <row r="1374" spans="1:20" s="508" customFormat="1" ht="90" hidden="1">
      <c r="A1374" s="518"/>
      <c r="B1374" s="506"/>
      <c r="C1374" s="506" t="s">
        <v>2358</v>
      </c>
      <c r="D1374" s="507" t="s">
        <v>2375</v>
      </c>
      <c r="E1374" s="509" t="str">
        <f>IF('GPS Anthro Tool'!$B$4=1,"North America FMVSS","")</f>
        <v>North America FMVSS</v>
      </c>
      <c r="F1374" s="507" t="s">
        <v>4242</v>
      </c>
      <c r="G1374" s="507" t="s">
        <v>1021</v>
      </c>
      <c r="H1374" s="507" t="s">
        <v>2376</v>
      </c>
      <c r="I1374" s="507"/>
      <c r="J1374" s="506" t="s">
        <v>3960</v>
      </c>
      <c r="K1374" s="527" t="s">
        <v>315</v>
      </c>
      <c r="L1374" s="526" t="s">
        <v>315</v>
      </c>
      <c r="M1374" s="527" t="s">
        <v>315</v>
      </c>
      <c r="N1374" s="528" t="s">
        <v>315</v>
      </c>
      <c r="O1374" s="663"/>
      <c r="P1374" s="529"/>
      <c r="Q1374" s="531"/>
      <c r="R1374" s="530"/>
      <c r="S1374" s="530" t="s">
        <v>315</v>
      </c>
      <c r="T1374" s="667"/>
    </row>
    <row r="1375" spans="1:20" s="508" customFormat="1" ht="90" hidden="1">
      <c r="A1375" s="518"/>
      <c r="B1375" s="506"/>
      <c r="C1375" s="506" t="s">
        <v>2358</v>
      </c>
      <c r="D1375" s="507" t="s">
        <v>2377</v>
      </c>
      <c r="E1375" s="509" t="str">
        <f>IF('GPS Anthro Tool'!$B$4=1,"North America FMVSS","")</f>
        <v>North America FMVSS</v>
      </c>
      <c r="F1375" s="507" t="s">
        <v>4242</v>
      </c>
      <c r="G1375" s="507" t="s">
        <v>1021</v>
      </c>
      <c r="H1375" s="507" t="s">
        <v>2378</v>
      </c>
      <c r="I1375" s="507"/>
      <c r="J1375" s="506" t="s">
        <v>3960</v>
      </c>
      <c r="K1375" s="527" t="s">
        <v>315</v>
      </c>
      <c r="L1375" s="526" t="s">
        <v>315</v>
      </c>
      <c r="M1375" s="527" t="s">
        <v>315</v>
      </c>
      <c r="N1375" s="528" t="s">
        <v>315</v>
      </c>
      <c r="O1375" s="663"/>
      <c r="P1375" s="529"/>
      <c r="Q1375" s="531"/>
      <c r="R1375" s="530"/>
      <c r="S1375" s="530" t="s">
        <v>315</v>
      </c>
      <c r="T1375" s="667"/>
    </row>
    <row r="1376" spans="1:20" s="508" customFormat="1" ht="180" hidden="1">
      <c r="A1376" s="518"/>
      <c r="B1376" s="506"/>
      <c r="C1376" s="506" t="s">
        <v>2358</v>
      </c>
      <c r="D1376" s="507" t="s">
        <v>2379</v>
      </c>
      <c r="E1376" s="509" t="str">
        <f>IF('GPS Anthro Tool'!$B$4=1,"North America FMVSS","")</f>
        <v>North America FMVSS</v>
      </c>
      <c r="F1376" s="507" t="s">
        <v>4242</v>
      </c>
      <c r="G1376" s="507" t="s">
        <v>1021</v>
      </c>
      <c r="H1376" s="507" t="s">
        <v>2380</v>
      </c>
      <c r="I1376" s="507"/>
      <c r="J1376" s="506" t="s">
        <v>3960</v>
      </c>
      <c r="K1376" s="527" t="s">
        <v>315</v>
      </c>
      <c r="L1376" s="526" t="s">
        <v>315</v>
      </c>
      <c r="M1376" s="527" t="s">
        <v>315</v>
      </c>
      <c r="N1376" s="528" t="s">
        <v>315</v>
      </c>
      <c r="O1376" s="663"/>
      <c r="P1376" s="529"/>
      <c r="Q1376" s="531"/>
      <c r="R1376" s="530"/>
      <c r="S1376" s="530" t="s">
        <v>315</v>
      </c>
      <c r="T1376" s="667"/>
    </row>
    <row r="1377" spans="1:20" s="508" customFormat="1" ht="150" hidden="1">
      <c r="A1377" s="518"/>
      <c r="B1377" s="506"/>
      <c r="C1377" s="506" t="s">
        <v>2381</v>
      </c>
      <c r="D1377" s="507" t="s">
        <v>2382</v>
      </c>
      <c r="E1377" s="509" t="str">
        <f>IF('GPS Anthro Tool'!$B$4=1,"North America FMVSS","")</f>
        <v>North America FMVSS</v>
      </c>
      <c r="F1377" s="507" t="s">
        <v>4242</v>
      </c>
      <c r="G1377" s="507" t="s">
        <v>1021</v>
      </c>
      <c r="H1377" s="507" t="s">
        <v>2383</v>
      </c>
      <c r="I1377" s="507"/>
      <c r="J1377" s="506" t="s">
        <v>3960</v>
      </c>
      <c r="K1377" s="527" t="s">
        <v>315</v>
      </c>
      <c r="L1377" s="526" t="s">
        <v>315</v>
      </c>
      <c r="M1377" s="527" t="s">
        <v>315</v>
      </c>
      <c r="N1377" s="528" t="s">
        <v>315</v>
      </c>
      <c r="O1377" s="663"/>
      <c r="P1377" s="529"/>
      <c r="Q1377" s="531"/>
      <c r="R1377" s="530"/>
      <c r="S1377" s="530" t="s">
        <v>315</v>
      </c>
      <c r="T1377" s="667"/>
    </row>
    <row r="1378" spans="1:20" s="508" customFormat="1" ht="255" hidden="1">
      <c r="A1378" s="518"/>
      <c r="B1378" s="506"/>
      <c r="C1378" s="506" t="s">
        <v>1994</v>
      </c>
      <c r="D1378" s="507" t="s">
        <v>2384</v>
      </c>
      <c r="E1378" s="509" t="str">
        <f>IF('GPS Anthro Tool'!$B$4=1,"North America FMVSS","")</f>
        <v>North America FMVSS</v>
      </c>
      <c r="F1378" s="507" t="s">
        <v>4242</v>
      </c>
      <c r="G1378" s="507" t="s">
        <v>1021</v>
      </c>
      <c r="H1378" s="507" t="s">
        <v>2385</v>
      </c>
      <c r="I1378" s="507"/>
      <c r="J1378" s="506" t="s">
        <v>3960</v>
      </c>
      <c r="K1378" s="527" t="s">
        <v>315</v>
      </c>
      <c r="L1378" s="526" t="s">
        <v>315</v>
      </c>
      <c r="M1378" s="527" t="s">
        <v>315</v>
      </c>
      <c r="N1378" s="528" t="s">
        <v>315</v>
      </c>
      <c r="O1378" s="663"/>
      <c r="P1378" s="529"/>
      <c r="Q1378" s="531"/>
      <c r="R1378" s="530"/>
      <c r="S1378" s="530" t="s">
        <v>315</v>
      </c>
      <c r="T1378" s="667"/>
    </row>
    <row r="1379" spans="1:20" s="508" customFormat="1" ht="75" hidden="1">
      <c r="A1379" s="518"/>
      <c r="B1379" s="506"/>
      <c r="C1379" s="506" t="s">
        <v>1994</v>
      </c>
      <c r="D1379" s="507" t="s">
        <v>2386</v>
      </c>
      <c r="E1379" s="509" t="str">
        <f>IF('GPS Anthro Tool'!$B$4=1,"North America FMVSS","")</f>
        <v>North America FMVSS</v>
      </c>
      <c r="F1379" s="507" t="s">
        <v>4242</v>
      </c>
      <c r="G1379" s="507" t="s">
        <v>1021</v>
      </c>
      <c r="H1379" s="507" t="s">
        <v>2387</v>
      </c>
      <c r="I1379" s="507"/>
      <c r="J1379" s="506" t="s">
        <v>3960</v>
      </c>
      <c r="K1379" s="527" t="s">
        <v>315</v>
      </c>
      <c r="L1379" s="526" t="s">
        <v>315</v>
      </c>
      <c r="M1379" s="527" t="s">
        <v>315</v>
      </c>
      <c r="N1379" s="528" t="s">
        <v>315</v>
      </c>
      <c r="O1379" s="663"/>
      <c r="P1379" s="529"/>
      <c r="Q1379" s="531"/>
      <c r="R1379" s="530"/>
      <c r="S1379" s="530" t="s">
        <v>315</v>
      </c>
      <c r="T1379" s="667"/>
    </row>
    <row r="1380" spans="1:20" s="508" customFormat="1" ht="60" hidden="1">
      <c r="A1380" s="518"/>
      <c r="B1380" s="506"/>
      <c r="C1380" s="506" t="s">
        <v>1994</v>
      </c>
      <c r="D1380" s="507" t="s">
        <v>2388</v>
      </c>
      <c r="E1380" s="509" t="str">
        <f>IF('GPS Anthro Tool'!$B$4=1,"North America FMVSS","")</f>
        <v>North America FMVSS</v>
      </c>
      <c r="F1380" s="507" t="s">
        <v>4242</v>
      </c>
      <c r="G1380" s="507" t="s">
        <v>1021</v>
      </c>
      <c r="H1380" s="507" t="s">
        <v>2389</v>
      </c>
      <c r="I1380" s="507"/>
      <c r="J1380" s="506" t="s">
        <v>3960</v>
      </c>
      <c r="K1380" s="527" t="s">
        <v>315</v>
      </c>
      <c r="L1380" s="526" t="s">
        <v>315</v>
      </c>
      <c r="M1380" s="527" t="s">
        <v>315</v>
      </c>
      <c r="N1380" s="528" t="s">
        <v>315</v>
      </c>
      <c r="O1380" s="663"/>
      <c r="P1380" s="529"/>
      <c r="Q1380" s="531"/>
      <c r="R1380" s="530"/>
      <c r="S1380" s="530" t="s">
        <v>315</v>
      </c>
      <c r="T1380" s="667"/>
    </row>
    <row r="1381" spans="1:20" s="508" customFormat="1" ht="75" hidden="1">
      <c r="A1381" s="518"/>
      <c r="B1381" s="506"/>
      <c r="C1381" s="506" t="s">
        <v>1994</v>
      </c>
      <c r="D1381" s="509" t="s">
        <v>2390</v>
      </c>
      <c r="E1381" s="509" t="str">
        <f>IF('GPS Anthro Tool'!$B$4=1,"North America FMVSS","")</f>
        <v>North America FMVSS</v>
      </c>
      <c r="F1381" s="507" t="s">
        <v>4242</v>
      </c>
      <c r="G1381" s="507" t="s">
        <v>1021</v>
      </c>
      <c r="H1381" s="509" t="s">
        <v>2391</v>
      </c>
      <c r="I1381" s="509"/>
      <c r="J1381" s="506" t="s">
        <v>3960</v>
      </c>
      <c r="K1381" s="527" t="s">
        <v>315</v>
      </c>
      <c r="L1381" s="526" t="s">
        <v>315</v>
      </c>
      <c r="M1381" s="527" t="s">
        <v>315</v>
      </c>
      <c r="N1381" s="528" t="s">
        <v>315</v>
      </c>
      <c r="O1381" s="663"/>
      <c r="P1381" s="529"/>
      <c r="Q1381" s="531"/>
      <c r="R1381" s="530"/>
      <c r="S1381" s="530" t="s">
        <v>315</v>
      </c>
      <c r="T1381" s="667"/>
    </row>
    <row r="1382" spans="1:20" s="508" customFormat="1" ht="75" hidden="1">
      <c r="A1382" s="518"/>
      <c r="B1382" s="506"/>
      <c r="C1382" s="506" t="s">
        <v>1994</v>
      </c>
      <c r="D1382" s="509" t="s">
        <v>2392</v>
      </c>
      <c r="E1382" s="509" t="str">
        <f>IF('GPS Anthro Tool'!$B$4=1,"North America FMVSS","")</f>
        <v>North America FMVSS</v>
      </c>
      <c r="F1382" s="507" t="s">
        <v>4242</v>
      </c>
      <c r="G1382" s="507" t="s">
        <v>1021</v>
      </c>
      <c r="H1382" s="509" t="s">
        <v>2391</v>
      </c>
      <c r="I1382" s="509"/>
      <c r="J1382" s="506" t="s">
        <v>3960</v>
      </c>
      <c r="K1382" s="527" t="s">
        <v>315</v>
      </c>
      <c r="L1382" s="526" t="s">
        <v>315</v>
      </c>
      <c r="M1382" s="527" t="s">
        <v>315</v>
      </c>
      <c r="N1382" s="528" t="s">
        <v>315</v>
      </c>
      <c r="O1382" s="663"/>
      <c r="P1382" s="529"/>
      <c r="Q1382" s="531"/>
      <c r="R1382" s="530"/>
      <c r="S1382" s="530" t="s">
        <v>315</v>
      </c>
      <c r="T1382" s="667"/>
    </row>
    <row r="1383" spans="1:20" s="508" customFormat="1" ht="90" hidden="1">
      <c r="A1383" s="518"/>
      <c r="B1383" s="506"/>
      <c r="C1383" s="506" t="s">
        <v>1994</v>
      </c>
      <c r="D1383" s="509" t="s">
        <v>3541</v>
      </c>
      <c r="E1383" s="509" t="str">
        <f>IF('GPS Anthro Tool'!$B$4=1,"North America FMVSS","")</f>
        <v>North America FMVSS</v>
      </c>
      <c r="F1383" s="507" t="s">
        <v>4242</v>
      </c>
      <c r="G1383" s="507" t="s">
        <v>1021</v>
      </c>
      <c r="H1383" s="509" t="s">
        <v>2020</v>
      </c>
      <c r="I1383" s="509"/>
      <c r="J1383" s="506" t="s">
        <v>3960</v>
      </c>
      <c r="K1383" s="527" t="s">
        <v>315</v>
      </c>
      <c r="L1383" s="526" t="s">
        <v>315</v>
      </c>
      <c r="M1383" s="527" t="s">
        <v>315</v>
      </c>
      <c r="N1383" s="528" t="s">
        <v>315</v>
      </c>
      <c r="O1383" s="663"/>
      <c r="P1383" s="529"/>
      <c r="Q1383" s="531"/>
      <c r="R1383" s="530"/>
      <c r="S1383" s="530" t="s">
        <v>315</v>
      </c>
      <c r="T1383" s="667"/>
    </row>
    <row r="1384" spans="1:20" s="508" customFormat="1" ht="75" hidden="1">
      <c r="A1384" s="518"/>
      <c r="B1384" s="506"/>
      <c r="C1384" s="506" t="s">
        <v>1994</v>
      </c>
      <c r="D1384" s="507" t="s">
        <v>2393</v>
      </c>
      <c r="E1384" s="509" t="str">
        <f>IF('GPS Anthro Tool'!$B$4=1,"North America FMVSS","")</f>
        <v>North America FMVSS</v>
      </c>
      <c r="F1384" s="507" t="s">
        <v>4242</v>
      </c>
      <c r="G1384" s="507" t="s">
        <v>1021</v>
      </c>
      <c r="H1384" s="507" t="s">
        <v>2394</v>
      </c>
      <c r="I1384" s="507"/>
      <c r="J1384" s="506" t="s">
        <v>3960</v>
      </c>
      <c r="K1384" s="527" t="s">
        <v>315</v>
      </c>
      <c r="L1384" s="526" t="s">
        <v>315</v>
      </c>
      <c r="M1384" s="527" t="s">
        <v>315</v>
      </c>
      <c r="N1384" s="528" t="s">
        <v>315</v>
      </c>
      <c r="O1384" s="663"/>
      <c r="P1384" s="529"/>
      <c r="Q1384" s="531"/>
      <c r="R1384" s="530"/>
      <c r="S1384" s="530" t="s">
        <v>315</v>
      </c>
      <c r="T1384" s="667"/>
    </row>
    <row r="1385" spans="1:20" s="508" customFormat="1" ht="120" hidden="1">
      <c r="A1385" s="518"/>
      <c r="B1385" s="506"/>
      <c r="C1385" s="506" t="s">
        <v>1994</v>
      </c>
      <c r="D1385" s="507" t="s">
        <v>2395</v>
      </c>
      <c r="E1385" s="509" t="str">
        <f>IF('GPS Anthro Tool'!$B$4=1,"North America FMVSS","")</f>
        <v>North America FMVSS</v>
      </c>
      <c r="F1385" s="507" t="s">
        <v>4242</v>
      </c>
      <c r="G1385" s="507" t="s">
        <v>1021</v>
      </c>
      <c r="H1385" s="507" t="s">
        <v>2396</v>
      </c>
      <c r="I1385" s="507"/>
      <c r="J1385" s="506" t="s">
        <v>3960</v>
      </c>
      <c r="K1385" s="527" t="s">
        <v>315</v>
      </c>
      <c r="L1385" s="526" t="s">
        <v>315</v>
      </c>
      <c r="M1385" s="527" t="s">
        <v>315</v>
      </c>
      <c r="N1385" s="528" t="s">
        <v>315</v>
      </c>
      <c r="O1385" s="663"/>
      <c r="P1385" s="529"/>
      <c r="Q1385" s="531"/>
      <c r="R1385" s="530"/>
      <c r="S1385" s="530" t="s">
        <v>315</v>
      </c>
      <c r="T1385" s="667"/>
    </row>
    <row r="1386" spans="1:20" s="508" customFormat="1" ht="45" hidden="1">
      <c r="A1386" s="518"/>
      <c r="B1386" s="506"/>
      <c r="C1386" s="506" t="s">
        <v>1994</v>
      </c>
      <c r="D1386" s="509" t="s">
        <v>2397</v>
      </c>
      <c r="E1386" s="509" t="str">
        <f>IF('GPS Anthro Tool'!$B$4=1,"North America FMVSS","")</f>
        <v>North America FMVSS</v>
      </c>
      <c r="F1386" s="507" t="s">
        <v>4242</v>
      </c>
      <c r="G1386" s="507" t="s">
        <v>1021</v>
      </c>
      <c r="H1386" s="509" t="s">
        <v>2023</v>
      </c>
      <c r="I1386" s="509"/>
      <c r="J1386" s="506"/>
      <c r="K1386" s="527" t="s">
        <v>315</v>
      </c>
      <c r="L1386" s="526" t="s">
        <v>315</v>
      </c>
      <c r="M1386" s="527" t="s">
        <v>315</v>
      </c>
      <c r="N1386" s="528" t="s">
        <v>315</v>
      </c>
      <c r="O1386" s="663"/>
      <c r="P1386" s="529"/>
      <c r="Q1386" s="531"/>
      <c r="R1386" s="530"/>
      <c r="S1386" s="530" t="s">
        <v>315</v>
      </c>
      <c r="T1386" s="667"/>
    </row>
    <row r="1387" spans="1:20" s="508" customFormat="1" ht="45" hidden="1">
      <c r="A1387" s="518"/>
      <c r="B1387" s="506"/>
      <c r="C1387" s="506" t="s">
        <v>1994</v>
      </c>
      <c r="D1387" s="509" t="s">
        <v>2397</v>
      </c>
      <c r="E1387" s="509" t="str">
        <f>IF('GPS Anthro Tool'!$B$4=1,"North America FMVSS","")</f>
        <v>North America FMVSS</v>
      </c>
      <c r="F1387" s="507" t="s">
        <v>4242</v>
      </c>
      <c r="G1387" s="507" t="s">
        <v>1021</v>
      </c>
      <c r="H1387" s="509" t="s">
        <v>2024</v>
      </c>
      <c r="I1387" s="509"/>
      <c r="J1387" s="506"/>
      <c r="K1387" s="527" t="s">
        <v>315</v>
      </c>
      <c r="L1387" s="526" t="s">
        <v>315</v>
      </c>
      <c r="M1387" s="527" t="s">
        <v>315</v>
      </c>
      <c r="N1387" s="528" t="s">
        <v>315</v>
      </c>
      <c r="O1387" s="663"/>
      <c r="P1387" s="529"/>
      <c r="Q1387" s="531"/>
      <c r="R1387" s="530"/>
      <c r="S1387" s="530" t="s">
        <v>315</v>
      </c>
      <c r="T1387" s="667"/>
    </row>
    <row r="1388" spans="1:20" s="508" customFormat="1" ht="120" hidden="1">
      <c r="A1388" s="518"/>
      <c r="B1388" s="506"/>
      <c r="C1388" s="506" t="s">
        <v>1994</v>
      </c>
      <c r="D1388" s="507" t="s">
        <v>2398</v>
      </c>
      <c r="E1388" s="509" t="str">
        <f>IF('GPS Anthro Tool'!$B$4=1,"North America FMVSS","")</f>
        <v>North America FMVSS</v>
      </c>
      <c r="F1388" s="507" t="s">
        <v>4242</v>
      </c>
      <c r="G1388" s="507" t="s">
        <v>1021</v>
      </c>
      <c r="H1388" s="507" t="s">
        <v>2399</v>
      </c>
      <c r="I1388" s="507"/>
      <c r="J1388" s="506" t="s">
        <v>3960</v>
      </c>
      <c r="K1388" s="527" t="s">
        <v>315</v>
      </c>
      <c r="L1388" s="526" t="s">
        <v>315</v>
      </c>
      <c r="M1388" s="527" t="s">
        <v>315</v>
      </c>
      <c r="N1388" s="528" t="s">
        <v>315</v>
      </c>
      <c r="O1388" s="663"/>
      <c r="P1388" s="529"/>
      <c r="Q1388" s="531"/>
      <c r="R1388" s="530"/>
      <c r="S1388" s="530" t="s">
        <v>315</v>
      </c>
      <c r="T1388" s="667"/>
    </row>
    <row r="1389" spans="1:20" s="508" customFormat="1" ht="120" hidden="1">
      <c r="A1389" s="518"/>
      <c r="B1389" s="506"/>
      <c r="C1389" s="506" t="s">
        <v>1994</v>
      </c>
      <c r="D1389" s="509" t="s">
        <v>2400</v>
      </c>
      <c r="E1389" s="509" t="str">
        <f>IF('GPS Anthro Tool'!$B$4=1,"North America FMVSS","")</f>
        <v>North America FMVSS</v>
      </c>
      <c r="F1389" s="507" t="s">
        <v>4242</v>
      </c>
      <c r="G1389" s="507" t="s">
        <v>1021</v>
      </c>
      <c r="H1389" s="509" t="s">
        <v>2027</v>
      </c>
      <c r="I1389" s="509"/>
      <c r="J1389" s="506"/>
      <c r="K1389" s="527" t="s">
        <v>315</v>
      </c>
      <c r="L1389" s="526" t="s">
        <v>315</v>
      </c>
      <c r="M1389" s="527" t="s">
        <v>315</v>
      </c>
      <c r="N1389" s="528" t="s">
        <v>315</v>
      </c>
      <c r="O1389" s="663"/>
      <c r="P1389" s="529"/>
      <c r="Q1389" s="531"/>
      <c r="R1389" s="530"/>
      <c r="S1389" s="530" t="s">
        <v>315</v>
      </c>
      <c r="T1389" s="667"/>
    </row>
    <row r="1390" spans="1:20" s="508" customFormat="1" ht="45" hidden="1">
      <c r="A1390" s="518"/>
      <c r="B1390" s="506"/>
      <c r="C1390" s="506" t="s">
        <v>1994</v>
      </c>
      <c r="D1390" s="507" t="s">
        <v>2401</v>
      </c>
      <c r="E1390" s="509" t="str">
        <f>IF('GPS Anthro Tool'!$B$4=1,"North America FMVSS","")</f>
        <v>North America FMVSS</v>
      </c>
      <c r="F1390" s="507" t="s">
        <v>4242</v>
      </c>
      <c r="G1390" s="507" t="s">
        <v>1021</v>
      </c>
      <c r="H1390" s="507" t="s">
        <v>2402</v>
      </c>
      <c r="I1390" s="507"/>
      <c r="J1390" s="506" t="s">
        <v>3960</v>
      </c>
      <c r="K1390" s="527" t="s">
        <v>315</v>
      </c>
      <c r="L1390" s="526" t="s">
        <v>315</v>
      </c>
      <c r="M1390" s="527" t="s">
        <v>315</v>
      </c>
      <c r="N1390" s="528" t="s">
        <v>315</v>
      </c>
      <c r="O1390" s="663"/>
      <c r="P1390" s="529"/>
      <c r="Q1390" s="531"/>
      <c r="R1390" s="530"/>
      <c r="S1390" s="530" t="s">
        <v>315</v>
      </c>
      <c r="T1390" s="667"/>
    </row>
    <row r="1391" spans="1:20" s="508" customFormat="1" ht="30" hidden="1">
      <c r="A1391" s="518"/>
      <c r="B1391" s="506"/>
      <c r="C1391" s="506" t="s">
        <v>1994</v>
      </c>
      <c r="D1391" s="507" t="s">
        <v>2403</v>
      </c>
      <c r="E1391" s="509" t="str">
        <f>IF('GPS Anthro Tool'!$B$4=1,"North America FMVSS","")</f>
        <v>North America FMVSS</v>
      </c>
      <c r="F1391" s="507" t="s">
        <v>4242</v>
      </c>
      <c r="G1391" s="507" t="s">
        <v>1021</v>
      </c>
      <c r="H1391" s="507" t="s">
        <v>2404</v>
      </c>
      <c r="I1391" s="507"/>
      <c r="J1391" s="506" t="s">
        <v>3960</v>
      </c>
      <c r="K1391" s="527" t="s">
        <v>315</v>
      </c>
      <c r="L1391" s="526" t="s">
        <v>315</v>
      </c>
      <c r="M1391" s="527" t="s">
        <v>315</v>
      </c>
      <c r="N1391" s="528" t="s">
        <v>315</v>
      </c>
      <c r="O1391" s="663"/>
      <c r="P1391" s="529"/>
      <c r="Q1391" s="531"/>
      <c r="R1391" s="530"/>
      <c r="S1391" s="530" t="s">
        <v>315</v>
      </c>
      <c r="T1391" s="667"/>
    </row>
    <row r="1392" spans="1:20" s="508" customFormat="1" ht="30" hidden="1">
      <c r="A1392" s="518"/>
      <c r="B1392" s="506"/>
      <c r="C1392" s="506" t="s">
        <v>1994</v>
      </c>
      <c r="D1392" s="507" t="s">
        <v>2405</v>
      </c>
      <c r="E1392" s="509" t="str">
        <f>IF('GPS Anthro Tool'!$B$4=1,"North America FMVSS","")</f>
        <v>North America FMVSS</v>
      </c>
      <c r="F1392" s="507" t="s">
        <v>4242</v>
      </c>
      <c r="G1392" s="507" t="s">
        <v>1021</v>
      </c>
      <c r="H1392" s="507" t="s">
        <v>2406</v>
      </c>
      <c r="I1392" s="507"/>
      <c r="J1392" s="506" t="s">
        <v>3960</v>
      </c>
      <c r="K1392" s="527" t="s">
        <v>315</v>
      </c>
      <c r="L1392" s="526" t="s">
        <v>315</v>
      </c>
      <c r="M1392" s="527" t="s">
        <v>315</v>
      </c>
      <c r="N1392" s="528" t="s">
        <v>315</v>
      </c>
      <c r="O1392" s="663"/>
      <c r="P1392" s="529"/>
      <c r="Q1392" s="531"/>
      <c r="R1392" s="530"/>
      <c r="S1392" s="530" t="s">
        <v>315</v>
      </c>
      <c r="T1392" s="667"/>
    </row>
    <row r="1393" spans="1:20" s="508" customFormat="1" ht="60" hidden="1">
      <c r="A1393" s="518"/>
      <c r="B1393" s="506"/>
      <c r="C1393" s="506" t="s">
        <v>1994</v>
      </c>
      <c r="D1393" s="507" t="s">
        <v>2407</v>
      </c>
      <c r="E1393" s="509" t="str">
        <f>IF('GPS Anthro Tool'!$B$4=1,"North America FMVSS","")</f>
        <v>North America FMVSS</v>
      </c>
      <c r="F1393" s="507" t="s">
        <v>4242</v>
      </c>
      <c r="G1393" s="507" t="s">
        <v>1021</v>
      </c>
      <c r="H1393" s="507" t="s">
        <v>2408</v>
      </c>
      <c r="I1393" s="507"/>
      <c r="J1393" s="506" t="s">
        <v>3960</v>
      </c>
      <c r="K1393" s="527" t="s">
        <v>315</v>
      </c>
      <c r="L1393" s="526" t="s">
        <v>315</v>
      </c>
      <c r="M1393" s="527" t="s">
        <v>315</v>
      </c>
      <c r="N1393" s="528" t="s">
        <v>315</v>
      </c>
      <c r="O1393" s="663"/>
      <c r="P1393" s="529"/>
      <c r="Q1393" s="531"/>
      <c r="R1393" s="530"/>
      <c r="S1393" s="530" t="s">
        <v>315</v>
      </c>
      <c r="T1393" s="667"/>
    </row>
    <row r="1394" spans="1:20" s="508" customFormat="1" ht="90" hidden="1">
      <c r="A1394" s="518"/>
      <c r="B1394" s="506"/>
      <c r="C1394" s="506" t="s">
        <v>1994</v>
      </c>
      <c r="D1394" s="507" t="s">
        <v>2409</v>
      </c>
      <c r="E1394" s="509" t="str">
        <f>IF('GPS Anthro Tool'!$B$4=1,"North America FMVSS","")</f>
        <v>North America FMVSS</v>
      </c>
      <c r="F1394" s="507" t="s">
        <v>4242</v>
      </c>
      <c r="G1394" s="507" t="s">
        <v>1021</v>
      </c>
      <c r="H1394" s="507" t="s">
        <v>2410</v>
      </c>
      <c r="I1394" s="507"/>
      <c r="J1394" s="506" t="s">
        <v>3960</v>
      </c>
      <c r="K1394" s="527" t="s">
        <v>315</v>
      </c>
      <c r="L1394" s="526" t="s">
        <v>315</v>
      </c>
      <c r="M1394" s="527" t="s">
        <v>315</v>
      </c>
      <c r="N1394" s="528" t="s">
        <v>315</v>
      </c>
      <c r="O1394" s="663"/>
      <c r="P1394" s="529"/>
      <c r="Q1394" s="531"/>
      <c r="R1394" s="530"/>
      <c r="S1394" s="530" t="s">
        <v>315</v>
      </c>
      <c r="T1394" s="667"/>
    </row>
    <row r="1395" spans="1:20" s="508" customFormat="1" ht="30" hidden="1">
      <c r="A1395" s="518"/>
      <c r="B1395" s="506"/>
      <c r="C1395" s="506" t="s">
        <v>2411</v>
      </c>
      <c r="D1395" s="507" t="s">
        <v>2412</v>
      </c>
      <c r="E1395" s="509" t="str">
        <f>IF('GPS Anthro Tool'!$B$4=1,"North America FMVSS","")</f>
        <v>North America FMVSS</v>
      </c>
      <c r="F1395" s="507" t="s">
        <v>4242</v>
      </c>
      <c r="G1395" s="506"/>
      <c r="H1395" s="507" t="s">
        <v>2413</v>
      </c>
      <c r="I1395" s="507"/>
      <c r="J1395" s="506" t="s">
        <v>3960</v>
      </c>
      <c r="K1395" s="527" t="s">
        <v>315</v>
      </c>
      <c r="L1395" s="526" t="s">
        <v>315</v>
      </c>
      <c r="M1395" s="527" t="s">
        <v>315</v>
      </c>
      <c r="N1395" s="528" t="s">
        <v>315</v>
      </c>
      <c r="O1395" s="663"/>
      <c r="P1395" s="529"/>
      <c r="Q1395" s="531"/>
      <c r="R1395" s="530"/>
      <c r="S1395" s="530" t="s">
        <v>315</v>
      </c>
      <c r="T1395" s="667"/>
    </row>
    <row r="1396" spans="1:20" s="508" customFormat="1" ht="165" hidden="1">
      <c r="A1396" s="518"/>
      <c r="B1396" s="506"/>
      <c r="C1396" s="506" t="s">
        <v>2414</v>
      </c>
      <c r="D1396" s="507" t="s">
        <v>2415</v>
      </c>
      <c r="E1396" s="509" t="str">
        <f>IF('GPS Anthro Tool'!$B$4=1,"North America FMVSS","")</f>
        <v>North America FMVSS</v>
      </c>
      <c r="F1396" s="507" t="s">
        <v>4242</v>
      </c>
      <c r="G1396" s="507" t="s">
        <v>1043</v>
      </c>
      <c r="H1396" s="507" t="s">
        <v>2416</v>
      </c>
      <c r="I1396" s="507"/>
      <c r="J1396" s="506" t="s">
        <v>3960</v>
      </c>
      <c r="K1396" s="527" t="s">
        <v>315</v>
      </c>
      <c r="L1396" s="526" t="s">
        <v>315</v>
      </c>
      <c r="M1396" s="527" t="s">
        <v>315</v>
      </c>
      <c r="N1396" s="528" t="s">
        <v>315</v>
      </c>
      <c r="O1396" s="663"/>
      <c r="P1396" s="529"/>
      <c r="Q1396" s="531"/>
      <c r="R1396" s="530"/>
      <c r="S1396" s="530" t="s">
        <v>315</v>
      </c>
      <c r="T1396" s="667"/>
    </row>
    <row r="1397" spans="1:20" s="508" customFormat="1" ht="30" hidden="1">
      <c r="A1397" s="518"/>
      <c r="B1397" s="506"/>
      <c r="C1397" s="506" t="s">
        <v>2039</v>
      </c>
      <c r="D1397" s="507" t="s">
        <v>2417</v>
      </c>
      <c r="E1397" s="509" t="str">
        <f>IF('GPS Anthro Tool'!$B$4=1,"North America FMVSS","")</f>
        <v>North America FMVSS</v>
      </c>
      <c r="F1397" s="507" t="s">
        <v>4242</v>
      </c>
      <c r="G1397" s="507" t="s">
        <v>1045</v>
      </c>
      <c r="H1397" s="507" t="s">
        <v>2418</v>
      </c>
      <c r="I1397" s="507"/>
      <c r="J1397" s="506" t="s">
        <v>3960</v>
      </c>
      <c r="K1397" s="527" t="s">
        <v>315</v>
      </c>
      <c r="L1397" s="526" t="s">
        <v>315</v>
      </c>
      <c r="M1397" s="527" t="s">
        <v>315</v>
      </c>
      <c r="N1397" s="528" t="s">
        <v>315</v>
      </c>
      <c r="O1397" s="663"/>
      <c r="P1397" s="529"/>
      <c r="Q1397" s="531"/>
      <c r="R1397" s="530"/>
      <c r="S1397" s="530" t="s">
        <v>315</v>
      </c>
      <c r="T1397" s="667"/>
    </row>
    <row r="1398" spans="1:20" s="508" customFormat="1" ht="30" hidden="1">
      <c r="A1398" s="518"/>
      <c r="B1398" s="506"/>
      <c r="C1398" s="506" t="s">
        <v>2039</v>
      </c>
      <c r="D1398" s="507" t="s">
        <v>2419</v>
      </c>
      <c r="E1398" s="509" t="str">
        <f>IF('GPS Anthro Tool'!$B$4=1,"North America FMVSS","")</f>
        <v>North America FMVSS</v>
      </c>
      <c r="F1398" s="507" t="s">
        <v>4242</v>
      </c>
      <c r="G1398" s="507" t="s">
        <v>1045</v>
      </c>
      <c r="H1398" s="507" t="s">
        <v>2420</v>
      </c>
      <c r="I1398" s="507"/>
      <c r="J1398" s="506" t="s">
        <v>3960</v>
      </c>
      <c r="K1398" s="527" t="s">
        <v>315</v>
      </c>
      <c r="L1398" s="526" t="s">
        <v>315</v>
      </c>
      <c r="M1398" s="527" t="s">
        <v>315</v>
      </c>
      <c r="N1398" s="528" t="s">
        <v>315</v>
      </c>
      <c r="O1398" s="663"/>
      <c r="P1398" s="529"/>
      <c r="Q1398" s="531"/>
      <c r="R1398" s="530"/>
      <c r="S1398" s="530" t="s">
        <v>315</v>
      </c>
      <c r="T1398" s="667"/>
    </row>
    <row r="1399" spans="1:20" s="508" customFormat="1" ht="135" hidden="1">
      <c r="A1399" s="518"/>
      <c r="B1399" s="506"/>
      <c r="C1399" s="506" t="s">
        <v>2039</v>
      </c>
      <c r="D1399" s="507" t="s">
        <v>2421</v>
      </c>
      <c r="E1399" s="509" t="str">
        <f>IF('GPS Anthro Tool'!$B$4=1,"North America FMVSS","")</f>
        <v>North America FMVSS</v>
      </c>
      <c r="F1399" s="507" t="s">
        <v>4242</v>
      </c>
      <c r="G1399" s="507" t="s">
        <v>1045</v>
      </c>
      <c r="H1399" s="507" t="s">
        <v>2422</v>
      </c>
      <c r="I1399" s="507"/>
      <c r="J1399" s="506" t="s">
        <v>3960</v>
      </c>
      <c r="K1399" s="527" t="s">
        <v>315</v>
      </c>
      <c r="L1399" s="526" t="s">
        <v>315</v>
      </c>
      <c r="M1399" s="527" t="s">
        <v>315</v>
      </c>
      <c r="N1399" s="528" t="s">
        <v>315</v>
      </c>
      <c r="O1399" s="663"/>
      <c r="P1399" s="529"/>
      <c r="Q1399" s="531"/>
      <c r="R1399" s="530"/>
      <c r="S1399" s="530" t="s">
        <v>315</v>
      </c>
      <c r="T1399" s="667"/>
    </row>
    <row r="1400" spans="1:20" s="508" customFormat="1" ht="165" hidden="1">
      <c r="A1400" s="518"/>
      <c r="B1400" s="506"/>
      <c r="C1400" s="506" t="s">
        <v>2206</v>
      </c>
      <c r="D1400" s="507" t="s">
        <v>2423</v>
      </c>
      <c r="E1400" s="509" t="str">
        <f>IF('GPS Anthro Tool'!$B$4=1,"North America FMVSS","")</f>
        <v>North America FMVSS</v>
      </c>
      <c r="F1400" s="507" t="s">
        <v>4242</v>
      </c>
      <c r="G1400" s="507" t="s">
        <v>1049</v>
      </c>
      <c r="H1400" s="507" t="s">
        <v>2424</v>
      </c>
      <c r="I1400" s="507"/>
      <c r="J1400" s="506" t="s">
        <v>3960</v>
      </c>
      <c r="K1400" s="527" t="s">
        <v>315</v>
      </c>
      <c r="L1400" s="526" t="s">
        <v>315</v>
      </c>
      <c r="M1400" s="527" t="s">
        <v>315</v>
      </c>
      <c r="N1400" s="528" t="s">
        <v>315</v>
      </c>
      <c r="O1400" s="663"/>
      <c r="P1400" s="529"/>
      <c r="Q1400" s="531"/>
      <c r="R1400" s="530"/>
      <c r="S1400" s="530" t="s">
        <v>315</v>
      </c>
      <c r="T1400" s="667"/>
    </row>
    <row r="1401" spans="1:20" s="508" customFormat="1" ht="30" hidden="1">
      <c r="A1401" s="518"/>
      <c r="B1401" s="506"/>
      <c r="C1401" s="506" t="s">
        <v>2206</v>
      </c>
      <c r="D1401" s="507" t="s">
        <v>2425</v>
      </c>
      <c r="E1401" s="509" t="str">
        <f>IF('GPS Anthro Tool'!$B$4=1,"North America FMVSS","")</f>
        <v>North America FMVSS</v>
      </c>
      <c r="F1401" s="507" t="s">
        <v>4242</v>
      </c>
      <c r="G1401" s="507" t="s">
        <v>1049</v>
      </c>
      <c r="H1401" s="507" t="s">
        <v>2426</v>
      </c>
      <c r="I1401" s="507"/>
      <c r="J1401" s="506" t="s">
        <v>3960</v>
      </c>
      <c r="K1401" s="527" t="s">
        <v>315</v>
      </c>
      <c r="L1401" s="526" t="s">
        <v>315</v>
      </c>
      <c r="M1401" s="527" t="s">
        <v>315</v>
      </c>
      <c r="N1401" s="528" t="s">
        <v>315</v>
      </c>
      <c r="O1401" s="663"/>
      <c r="P1401" s="529"/>
      <c r="Q1401" s="531"/>
      <c r="R1401" s="530"/>
      <c r="S1401" s="530" t="s">
        <v>315</v>
      </c>
      <c r="T1401" s="667"/>
    </row>
    <row r="1402" spans="1:20" s="508" customFormat="1" ht="45" hidden="1">
      <c r="A1402" s="518"/>
      <c r="B1402" s="506"/>
      <c r="C1402" s="506" t="s">
        <v>2206</v>
      </c>
      <c r="D1402" s="507" t="s">
        <v>2427</v>
      </c>
      <c r="E1402" s="509" t="str">
        <f>IF('GPS Anthro Tool'!$B$4=1,"North America FMVSS","")</f>
        <v>North America FMVSS</v>
      </c>
      <c r="F1402" s="507" t="s">
        <v>4242</v>
      </c>
      <c r="G1402" s="507" t="s">
        <v>1049</v>
      </c>
      <c r="H1402" s="507" t="s">
        <v>2428</v>
      </c>
      <c r="I1402" s="507"/>
      <c r="J1402" s="506" t="s">
        <v>3960</v>
      </c>
      <c r="K1402" s="527" t="s">
        <v>315</v>
      </c>
      <c r="L1402" s="526" t="s">
        <v>315</v>
      </c>
      <c r="M1402" s="527" t="s">
        <v>315</v>
      </c>
      <c r="N1402" s="528" t="s">
        <v>315</v>
      </c>
      <c r="O1402" s="663"/>
      <c r="P1402" s="529"/>
      <c r="Q1402" s="531"/>
      <c r="R1402" s="530"/>
      <c r="S1402" s="530" t="s">
        <v>315</v>
      </c>
      <c r="T1402" s="667"/>
    </row>
    <row r="1403" spans="1:20" s="508" customFormat="1" ht="60" hidden="1">
      <c r="A1403" s="518"/>
      <c r="B1403" s="506"/>
      <c r="C1403" s="506" t="s">
        <v>2206</v>
      </c>
      <c r="D1403" s="507" t="s">
        <v>2429</v>
      </c>
      <c r="E1403" s="509" t="str">
        <f>IF('GPS Anthro Tool'!$B$4=1,"North America FMVSS","")</f>
        <v>North America FMVSS</v>
      </c>
      <c r="F1403" s="507" t="s">
        <v>4242</v>
      </c>
      <c r="G1403" s="507" t="s">
        <v>1049</v>
      </c>
      <c r="H1403" s="507" t="s">
        <v>2430</v>
      </c>
      <c r="I1403" s="507"/>
      <c r="J1403" s="506" t="s">
        <v>3960</v>
      </c>
      <c r="K1403" s="527" t="s">
        <v>315</v>
      </c>
      <c r="L1403" s="526" t="s">
        <v>315</v>
      </c>
      <c r="M1403" s="527" t="s">
        <v>315</v>
      </c>
      <c r="N1403" s="528" t="s">
        <v>315</v>
      </c>
      <c r="O1403" s="663"/>
      <c r="P1403" s="529"/>
      <c r="Q1403" s="531"/>
      <c r="R1403" s="530"/>
      <c r="S1403" s="530" t="s">
        <v>315</v>
      </c>
      <c r="T1403" s="667"/>
    </row>
    <row r="1404" spans="1:20" s="508" customFormat="1" ht="90" hidden="1">
      <c r="A1404" s="518"/>
      <c r="B1404" s="506"/>
      <c r="C1404" s="506" t="s">
        <v>2039</v>
      </c>
      <c r="D1404" s="507" t="s">
        <v>2431</v>
      </c>
      <c r="E1404" s="509" t="str">
        <f>IF('GPS Anthro Tool'!$B$4=1,"North America FMVSS","")</f>
        <v>North America FMVSS</v>
      </c>
      <c r="F1404" s="507" t="s">
        <v>4242</v>
      </c>
      <c r="G1404" s="507" t="s">
        <v>1053</v>
      </c>
      <c r="H1404" s="507" t="s">
        <v>2432</v>
      </c>
      <c r="I1404" s="507"/>
      <c r="J1404" s="506" t="s">
        <v>3960</v>
      </c>
      <c r="K1404" s="527" t="s">
        <v>315</v>
      </c>
      <c r="L1404" s="526" t="s">
        <v>315</v>
      </c>
      <c r="M1404" s="527" t="s">
        <v>315</v>
      </c>
      <c r="N1404" s="528" t="s">
        <v>315</v>
      </c>
      <c r="O1404" s="663"/>
      <c r="P1404" s="529"/>
      <c r="Q1404" s="531"/>
      <c r="R1404" s="530"/>
      <c r="S1404" s="530" t="s">
        <v>315</v>
      </c>
      <c r="T1404" s="667"/>
    </row>
    <row r="1405" spans="1:20" s="508" customFormat="1" ht="90" hidden="1">
      <c r="A1405" s="518"/>
      <c r="B1405" s="506"/>
      <c r="C1405" s="506" t="s">
        <v>2341</v>
      </c>
      <c r="D1405" s="507" t="s">
        <v>2433</v>
      </c>
      <c r="E1405" s="509" t="str">
        <f>IF('GPS Anthro Tool'!$B$4=1,"North America FMVSS","")</f>
        <v>North America FMVSS</v>
      </c>
      <c r="F1405" s="507" t="s">
        <v>4242</v>
      </c>
      <c r="G1405" s="507" t="s">
        <v>1053</v>
      </c>
      <c r="H1405" s="507" t="s">
        <v>2434</v>
      </c>
      <c r="I1405" s="507"/>
      <c r="J1405" s="506" t="s">
        <v>3960</v>
      </c>
      <c r="K1405" s="527" t="s">
        <v>315</v>
      </c>
      <c r="L1405" s="526" t="s">
        <v>315</v>
      </c>
      <c r="M1405" s="527" t="s">
        <v>315</v>
      </c>
      <c r="N1405" s="528" t="s">
        <v>315</v>
      </c>
      <c r="O1405" s="663"/>
      <c r="P1405" s="529"/>
      <c r="Q1405" s="531"/>
      <c r="R1405" s="530"/>
      <c r="S1405" s="530" t="s">
        <v>315</v>
      </c>
      <c r="T1405" s="667"/>
    </row>
    <row r="1406" spans="1:20" s="508" customFormat="1" ht="30" hidden="1">
      <c r="A1406" s="518"/>
      <c r="B1406" s="506"/>
      <c r="C1406" s="506" t="s">
        <v>426</v>
      </c>
      <c r="D1406" s="507" t="s">
        <v>2435</v>
      </c>
      <c r="E1406" s="509" t="str">
        <f>IF('GPS Anthro Tool'!$B$4=1,"North America FMVSS","")</f>
        <v>North America FMVSS</v>
      </c>
      <c r="F1406" s="507" t="s">
        <v>4242</v>
      </c>
      <c r="G1406" s="507" t="s">
        <v>2436</v>
      </c>
      <c r="H1406" s="507" t="s">
        <v>2437</v>
      </c>
      <c r="I1406" s="507"/>
      <c r="J1406" s="506" t="s">
        <v>3960</v>
      </c>
      <c r="K1406" s="527" t="s">
        <v>315</v>
      </c>
      <c r="L1406" s="526" t="s">
        <v>315</v>
      </c>
      <c r="M1406" s="527" t="s">
        <v>315</v>
      </c>
      <c r="N1406" s="528" t="s">
        <v>315</v>
      </c>
      <c r="O1406" s="663"/>
      <c r="P1406" s="529"/>
      <c r="Q1406" s="531"/>
      <c r="R1406" s="530"/>
      <c r="S1406" s="530" t="s">
        <v>315</v>
      </c>
      <c r="T1406" s="667"/>
    </row>
    <row r="1407" spans="1:20" s="508" customFormat="1" ht="90" hidden="1">
      <c r="A1407" s="518"/>
      <c r="B1407" s="506"/>
      <c r="C1407" s="506" t="s">
        <v>426</v>
      </c>
      <c r="D1407" s="507" t="s">
        <v>2438</v>
      </c>
      <c r="E1407" s="509" t="str">
        <f>IF('GPS Anthro Tool'!$B$4=1,"North America FMVSS","")</f>
        <v>North America FMVSS</v>
      </c>
      <c r="F1407" s="507" t="s">
        <v>4242</v>
      </c>
      <c r="G1407" s="507" t="s">
        <v>2436</v>
      </c>
      <c r="H1407" s="507" t="s">
        <v>2439</v>
      </c>
      <c r="I1407" s="507"/>
      <c r="J1407" s="506" t="s">
        <v>3960</v>
      </c>
      <c r="K1407" s="527" t="s">
        <v>315</v>
      </c>
      <c r="L1407" s="526" t="s">
        <v>315</v>
      </c>
      <c r="M1407" s="527" t="s">
        <v>315</v>
      </c>
      <c r="N1407" s="528" t="s">
        <v>315</v>
      </c>
      <c r="O1407" s="663"/>
      <c r="P1407" s="529"/>
      <c r="Q1407" s="531"/>
      <c r="R1407" s="530"/>
      <c r="S1407" s="530" t="s">
        <v>315</v>
      </c>
      <c r="T1407" s="667"/>
    </row>
    <row r="1408" spans="1:20" s="508" customFormat="1" ht="60" hidden="1">
      <c r="A1408" s="518"/>
      <c r="B1408" s="506"/>
      <c r="C1408" s="506" t="s">
        <v>426</v>
      </c>
      <c r="D1408" s="507" t="s">
        <v>2440</v>
      </c>
      <c r="E1408" s="509" t="str">
        <f>IF('GPS Anthro Tool'!$B$4=1,"North America FMVSS","")</f>
        <v>North America FMVSS</v>
      </c>
      <c r="F1408" s="507" t="s">
        <v>4242</v>
      </c>
      <c r="G1408" s="507" t="s">
        <v>2436</v>
      </c>
      <c r="H1408" s="507" t="s">
        <v>2441</v>
      </c>
      <c r="I1408" s="507"/>
      <c r="J1408" s="506" t="s">
        <v>3960</v>
      </c>
      <c r="K1408" s="527" t="s">
        <v>315</v>
      </c>
      <c r="L1408" s="526" t="s">
        <v>315</v>
      </c>
      <c r="M1408" s="527" t="s">
        <v>315</v>
      </c>
      <c r="N1408" s="528" t="s">
        <v>315</v>
      </c>
      <c r="O1408" s="663"/>
      <c r="P1408" s="529"/>
      <c r="Q1408" s="531"/>
      <c r="R1408" s="530"/>
      <c r="S1408" s="530" t="s">
        <v>315</v>
      </c>
      <c r="T1408" s="667"/>
    </row>
    <row r="1409" spans="1:20" s="508" customFormat="1" ht="90" hidden="1">
      <c r="A1409" s="518"/>
      <c r="B1409" s="506"/>
      <c r="C1409" s="506" t="s">
        <v>426</v>
      </c>
      <c r="D1409" s="507" t="s">
        <v>2442</v>
      </c>
      <c r="E1409" s="509" t="str">
        <f>IF('GPS Anthro Tool'!$B$4=1,"North America FMVSS","")</f>
        <v>North America FMVSS</v>
      </c>
      <c r="F1409" s="507" t="s">
        <v>4242</v>
      </c>
      <c r="G1409" s="507" t="s">
        <v>2436</v>
      </c>
      <c r="H1409" s="507" t="s">
        <v>2443</v>
      </c>
      <c r="I1409" s="507"/>
      <c r="J1409" s="506" t="s">
        <v>3960</v>
      </c>
      <c r="K1409" s="527" t="s">
        <v>315</v>
      </c>
      <c r="L1409" s="526" t="s">
        <v>315</v>
      </c>
      <c r="M1409" s="527" t="s">
        <v>315</v>
      </c>
      <c r="N1409" s="528" t="s">
        <v>315</v>
      </c>
      <c r="O1409" s="663"/>
      <c r="P1409" s="529"/>
      <c r="Q1409" s="531"/>
      <c r="R1409" s="530"/>
      <c r="S1409" s="530" t="s">
        <v>315</v>
      </c>
      <c r="T1409" s="667"/>
    </row>
    <row r="1410" spans="1:20" s="508" customFormat="1" ht="165" hidden="1">
      <c r="A1410" s="518"/>
      <c r="B1410" s="506"/>
      <c r="C1410" s="506" t="s">
        <v>426</v>
      </c>
      <c r="D1410" s="507" t="s">
        <v>2444</v>
      </c>
      <c r="E1410" s="509" t="str">
        <f>IF('GPS Anthro Tool'!$B$4=1,"North America FMVSS","")</f>
        <v>North America FMVSS</v>
      </c>
      <c r="F1410" s="507" t="s">
        <v>4242</v>
      </c>
      <c r="G1410" s="507" t="s">
        <v>2436</v>
      </c>
      <c r="H1410" s="507" t="s">
        <v>2445</v>
      </c>
      <c r="I1410" s="507"/>
      <c r="J1410" s="506" t="s">
        <v>3960</v>
      </c>
      <c r="K1410" s="527" t="s">
        <v>315</v>
      </c>
      <c r="L1410" s="526" t="s">
        <v>315</v>
      </c>
      <c r="M1410" s="527" t="s">
        <v>315</v>
      </c>
      <c r="N1410" s="528" t="s">
        <v>315</v>
      </c>
      <c r="O1410" s="663"/>
      <c r="P1410" s="529"/>
      <c r="Q1410" s="531"/>
      <c r="R1410" s="530"/>
      <c r="S1410" s="530" t="s">
        <v>315</v>
      </c>
      <c r="T1410" s="667"/>
    </row>
    <row r="1411" spans="1:20" s="508" customFormat="1" ht="135" hidden="1">
      <c r="A1411" s="518"/>
      <c r="B1411" s="506"/>
      <c r="C1411" s="506" t="s">
        <v>426</v>
      </c>
      <c r="D1411" s="507" t="s">
        <v>2446</v>
      </c>
      <c r="E1411" s="509" t="str">
        <f>IF('GPS Anthro Tool'!$B$4=1,"North America FMVSS","")</f>
        <v>North America FMVSS</v>
      </c>
      <c r="F1411" s="507" t="s">
        <v>4242</v>
      </c>
      <c r="G1411" s="507" t="s">
        <v>2436</v>
      </c>
      <c r="H1411" s="507" t="s">
        <v>2447</v>
      </c>
      <c r="I1411" s="507"/>
      <c r="J1411" s="506" t="s">
        <v>3960</v>
      </c>
      <c r="K1411" s="527" t="s">
        <v>315</v>
      </c>
      <c r="L1411" s="526" t="s">
        <v>315</v>
      </c>
      <c r="M1411" s="527" t="s">
        <v>315</v>
      </c>
      <c r="N1411" s="528" t="s">
        <v>315</v>
      </c>
      <c r="O1411" s="663"/>
      <c r="P1411" s="529"/>
      <c r="Q1411" s="531"/>
      <c r="R1411" s="530"/>
      <c r="S1411" s="530" t="s">
        <v>315</v>
      </c>
      <c r="T1411" s="667"/>
    </row>
    <row r="1412" spans="1:20" s="508" customFormat="1" ht="90" hidden="1">
      <c r="A1412" s="518"/>
      <c r="B1412" s="506"/>
      <c r="C1412" s="506" t="s">
        <v>426</v>
      </c>
      <c r="D1412" s="507" t="s">
        <v>2448</v>
      </c>
      <c r="E1412" s="509" t="str">
        <f>IF('GPS Anthro Tool'!$B$4=1,"North America FMVSS","")</f>
        <v>North America FMVSS</v>
      </c>
      <c r="F1412" s="507" t="s">
        <v>4242</v>
      </c>
      <c r="G1412" s="507" t="s">
        <v>2436</v>
      </c>
      <c r="H1412" s="507" t="s">
        <v>2449</v>
      </c>
      <c r="I1412" s="507"/>
      <c r="J1412" s="506" t="s">
        <v>3960</v>
      </c>
      <c r="K1412" s="527" t="s">
        <v>315</v>
      </c>
      <c r="L1412" s="526" t="s">
        <v>315</v>
      </c>
      <c r="M1412" s="527" t="s">
        <v>315</v>
      </c>
      <c r="N1412" s="528" t="s">
        <v>315</v>
      </c>
      <c r="O1412" s="663"/>
      <c r="P1412" s="529"/>
      <c r="Q1412" s="531"/>
      <c r="R1412" s="530"/>
      <c r="S1412" s="530" t="s">
        <v>315</v>
      </c>
      <c r="T1412" s="667"/>
    </row>
    <row r="1413" spans="1:20" s="508" customFormat="1" ht="75" hidden="1">
      <c r="A1413" s="518"/>
      <c r="B1413" s="506"/>
      <c r="C1413" s="506" t="s">
        <v>426</v>
      </c>
      <c r="D1413" s="507" t="s">
        <v>2450</v>
      </c>
      <c r="E1413" s="509" t="str">
        <f>IF('GPS Anthro Tool'!$B$4=1,"North America FMVSS","")</f>
        <v>North America FMVSS</v>
      </c>
      <c r="F1413" s="507" t="s">
        <v>4242</v>
      </c>
      <c r="G1413" s="507" t="s">
        <v>2451</v>
      </c>
      <c r="H1413" s="507" t="s">
        <v>2452</v>
      </c>
      <c r="I1413" s="507"/>
      <c r="J1413" s="506" t="s">
        <v>3960</v>
      </c>
      <c r="K1413" s="527" t="s">
        <v>315</v>
      </c>
      <c r="L1413" s="526" t="s">
        <v>315</v>
      </c>
      <c r="M1413" s="527" t="s">
        <v>315</v>
      </c>
      <c r="N1413" s="528" t="s">
        <v>315</v>
      </c>
      <c r="O1413" s="663"/>
      <c r="P1413" s="529"/>
      <c r="Q1413" s="531"/>
      <c r="R1413" s="530"/>
      <c r="S1413" s="530" t="s">
        <v>315</v>
      </c>
      <c r="T1413" s="667"/>
    </row>
    <row r="1414" spans="1:20" s="508" customFormat="1" ht="195" hidden="1">
      <c r="A1414" s="518"/>
      <c r="B1414" s="506"/>
      <c r="C1414" s="506" t="s">
        <v>426</v>
      </c>
      <c r="D1414" s="507" t="s">
        <v>2453</v>
      </c>
      <c r="E1414" s="509" t="str">
        <f>IF('GPS Anthro Tool'!$B$4=1,"North America FMVSS","")</f>
        <v>North America FMVSS</v>
      </c>
      <c r="F1414" s="507" t="s">
        <v>4242</v>
      </c>
      <c r="G1414" s="507" t="s">
        <v>2451</v>
      </c>
      <c r="H1414" s="507" t="s">
        <v>2454</v>
      </c>
      <c r="I1414" s="507"/>
      <c r="J1414" s="506" t="s">
        <v>3960</v>
      </c>
      <c r="K1414" s="527" t="s">
        <v>315</v>
      </c>
      <c r="L1414" s="526" t="s">
        <v>315</v>
      </c>
      <c r="M1414" s="527" t="s">
        <v>315</v>
      </c>
      <c r="N1414" s="528" t="s">
        <v>315</v>
      </c>
      <c r="O1414" s="663"/>
      <c r="P1414" s="529"/>
      <c r="Q1414" s="531"/>
      <c r="R1414" s="530"/>
      <c r="S1414" s="530" t="s">
        <v>315</v>
      </c>
      <c r="T1414" s="667"/>
    </row>
    <row r="1415" spans="1:20" s="508" customFormat="1" ht="240" hidden="1">
      <c r="A1415" s="518"/>
      <c r="B1415" s="506"/>
      <c r="C1415" s="506" t="s">
        <v>426</v>
      </c>
      <c r="D1415" s="507" t="s">
        <v>2455</v>
      </c>
      <c r="E1415" s="509" t="str">
        <f>IF('GPS Anthro Tool'!$B$4=1,"North America FMVSS","")</f>
        <v>North America FMVSS</v>
      </c>
      <c r="F1415" s="507" t="s">
        <v>4242</v>
      </c>
      <c r="G1415" s="507" t="s">
        <v>2436</v>
      </c>
      <c r="H1415" s="507" t="s">
        <v>2456</v>
      </c>
      <c r="I1415" s="507"/>
      <c r="J1415" s="506" t="s">
        <v>3960</v>
      </c>
      <c r="K1415" s="527" t="s">
        <v>315</v>
      </c>
      <c r="L1415" s="526" t="s">
        <v>315</v>
      </c>
      <c r="M1415" s="527" t="s">
        <v>315</v>
      </c>
      <c r="N1415" s="528" t="s">
        <v>315</v>
      </c>
      <c r="O1415" s="663"/>
      <c r="P1415" s="529"/>
      <c r="Q1415" s="531"/>
      <c r="R1415" s="530"/>
      <c r="S1415" s="530" t="s">
        <v>315</v>
      </c>
      <c r="T1415" s="667"/>
    </row>
    <row r="1416" spans="1:20" s="508" customFormat="1" ht="30" hidden="1">
      <c r="A1416" s="518"/>
      <c r="B1416" s="506"/>
      <c r="C1416" s="506" t="s">
        <v>2457</v>
      </c>
      <c r="D1416" s="507" t="s">
        <v>2458</v>
      </c>
      <c r="E1416" s="509" t="str">
        <f>IF('GPS Anthro Tool'!$B$4=1,"North America FMVSS","")</f>
        <v>North America FMVSS</v>
      </c>
      <c r="F1416" s="507" t="s">
        <v>4242</v>
      </c>
      <c r="G1416" s="507" t="s">
        <v>2459</v>
      </c>
      <c r="H1416" s="507" t="s">
        <v>2460</v>
      </c>
      <c r="I1416" s="507"/>
      <c r="J1416" s="506" t="s">
        <v>3960</v>
      </c>
      <c r="K1416" s="527" t="s">
        <v>315</v>
      </c>
      <c r="L1416" s="526" t="s">
        <v>315</v>
      </c>
      <c r="M1416" s="527" t="s">
        <v>315</v>
      </c>
      <c r="N1416" s="528" t="s">
        <v>315</v>
      </c>
      <c r="O1416" s="663"/>
      <c r="P1416" s="529"/>
      <c r="Q1416" s="531"/>
      <c r="R1416" s="530"/>
      <c r="S1416" s="530" t="s">
        <v>315</v>
      </c>
      <c r="T1416" s="667"/>
    </row>
    <row r="1417" spans="1:20" s="508" customFormat="1" ht="135" hidden="1">
      <c r="A1417" s="518"/>
      <c r="B1417" s="506"/>
      <c r="C1417" s="506" t="s">
        <v>2457</v>
      </c>
      <c r="D1417" s="507" t="s">
        <v>2461</v>
      </c>
      <c r="E1417" s="509" t="str">
        <f>IF('GPS Anthro Tool'!$B$4=1,"North America FMVSS","")</f>
        <v>North America FMVSS</v>
      </c>
      <c r="F1417" s="507" t="s">
        <v>4242</v>
      </c>
      <c r="G1417" s="507" t="s">
        <v>2459</v>
      </c>
      <c r="H1417" s="507" t="s">
        <v>2462</v>
      </c>
      <c r="I1417" s="507"/>
      <c r="J1417" s="506" t="s">
        <v>3960</v>
      </c>
      <c r="K1417" s="527" t="s">
        <v>315</v>
      </c>
      <c r="L1417" s="526" t="s">
        <v>315</v>
      </c>
      <c r="M1417" s="527" t="s">
        <v>315</v>
      </c>
      <c r="N1417" s="528" t="s">
        <v>315</v>
      </c>
      <c r="O1417" s="663"/>
      <c r="P1417" s="529"/>
      <c r="Q1417" s="531"/>
      <c r="R1417" s="530"/>
      <c r="S1417" s="530" t="s">
        <v>315</v>
      </c>
      <c r="T1417" s="667"/>
    </row>
    <row r="1418" spans="1:20" s="508" customFormat="1" ht="165" hidden="1">
      <c r="A1418" s="518"/>
      <c r="B1418" s="506"/>
      <c r="C1418" s="506" t="s">
        <v>2457</v>
      </c>
      <c r="D1418" s="507" t="s">
        <v>2463</v>
      </c>
      <c r="E1418" s="509" t="str">
        <f>IF('GPS Anthro Tool'!$B$4=1,"North America FMVSS","")</f>
        <v>North America FMVSS</v>
      </c>
      <c r="F1418" s="507" t="s">
        <v>4242</v>
      </c>
      <c r="G1418" s="507" t="s">
        <v>2459</v>
      </c>
      <c r="H1418" s="507" t="s">
        <v>2464</v>
      </c>
      <c r="I1418" s="507"/>
      <c r="J1418" s="506" t="s">
        <v>3960</v>
      </c>
      <c r="K1418" s="527" t="s">
        <v>315</v>
      </c>
      <c r="L1418" s="526" t="s">
        <v>315</v>
      </c>
      <c r="M1418" s="527" t="s">
        <v>315</v>
      </c>
      <c r="N1418" s="528" t="s">
        <v>315</v>
      </c>
      <c r="O1418" s="663"/>
      <c r="P1418" s="529"/>
      <c r="Q1418" s="531"/>
      <c r="R1418" s="530"/>
      <c r="S1418" s="530" t="s">
        <v>315</v>
      </c>
      <c r="T1418" s="667"/>
    </row>
    <row r="1419" spans="1:20" s="508" customFormat="1" ht="60" hidden="1">
      <c r="A1419" s="518"/>
      <c r="B1419" s="506"/>
      <c r="C1419" s="506" t="s">
        <v>2457</v>
      </c>
      <c r="D1419" s="507" t="s">
        <v>2465</v>
      </c>
      <c r="E1419" s="509" t="str">
        <f>IF('GPS Anthro Tool'!$B$4=1,"North America FMVSS","")</f>
        <v>North America FMVSS</v>
      </c>
      <c r="F1419" s="507" t="s">
        <v>4242</v>
      </c>
      <c r="G1419" s="507" t="s">
        <v>2459</v>
      </c>
      <c r="H1419" s="507" t="s">
        <v>2466</v>
      </c>
      <c r="I1419" s="507"/>
      <c r="J1419" s="506" t="s">
        <v>3960</v>
      </c>
      <c r="K1419" s="527" t="s">
        <v>315</v>
      </c>
      <c r="L1419" s="526" t="s">
        <v>315</v>
      </c>
      <c r="M1419" s="527" t="s">
        <v>315</v>
      </c>
      <c r="N1419" s="528" t="s">
        <v>315</v>
      </c>
      <c r="O1419" s="663"/>
      <c r="P1419" s="529"/>
      <c r="Q1419" s="531"/>
      <c r="R1419" s="530"/>
      <c r="S1419" s="530" t="s">
        <v>315</v>
      </c>
      <c r="T1419" s="667"/>
    </row>
    <row r="1420" spans="1:20" s="508" customFormat="1" ht="60" hidden="1">
      <c r="A1420" s="518"/>
      <c r="B1420" s="506"/>
      <c r="C1420" s="506" t="s">
        <v>2457</v>
      </c>
      <c r="D1420" s="507" t="s">
        <v>2467</v>
      </c>
      <c r="E1420" s="509" t="str">
        <f>IF('GPS Anthro Tool'!$B$4=1,"North America FMVSS","")</f>
        <v>North America FMVSS</v>
      </c>
      <c r="F1420" s="507" t="s">
        <v>4242</v>
      </c>
      <c r="G1420" s="507" t="s">
        <v>2459</v>
      </c>
      <c r="H1420" s="507" t="s">
        <v>2468</v>
      </c>
      <c r="I1420" s="507"/>
      <c r="J1420" s="506" t="s">
        <v>3960</v>
      </c>
      <c r="K1420" s="527" t="s">
        <v>315</v>
      </c>
      <c r="L1420" s="526" t="s">
        <v>315</v>
      </c>
      <c r="M1420" s="527" t="s">
        <v>315</v>
      </c>
      <c r="N1420" s="528" t="s">
        <v>315</v>
      </c>
      <c r="O1420" s="663"/>
      <c r="P1420" s="529"/>
      <c r="Q1420" s="531"/>
      <c r="R1420" s="530"/>
      <c r="S1420" s="530" t="s">
        <v>315</v>
      </c>
      <c r="T1420" s="667"/>
    </row>
    <row r="1421" spans="1:20" s="508" customFormat="1" ht="30" hidden="1">
      <c r="A1421" s="518"/>
      <c r="B1421" s="506"/>
      <c r="C1421" s="506" t="s">
        <v>2457</v>
      </c>
      <c r="D1421" s="507" t="s">
        <v>2469</v>
      </c>
      <c r="E1421" s="509" t="str">
        <f>IF('GPS Anthro Tool'!$B$4=1,"North America FMVSS","")</f>
        <v>North America FMVSS</v>
      </c>
      <c r="F1421" s="507" t="s">
        <v>4242</v>
      </c>
      <c r="G1421" s="507" t="s">
        <v>2459</v>
      </c>
      <c r="H1421" s="507" t="s">
        <v>2470</v>
      </c>
      <c r="I1421" s="507"/>
      <c r="J1421" s="506" t="s">
        <v>3960</v>
      </c>
      <c r="K1421" s="527" t="s">
        <v>315</v>
      </c>
      <c r="L1421" s="526" t="s">
        <v>315</v>
      </c>
      <c r="M1421" s="527" t="s">
        <v>315</v>
      </c>
      <c r="N1421" s="528" t="s">
        <v>315</v>
      </c>
      <c r="O1421" s="663"/>
      <c r="P1421" s="529"/>
      <c r="Q1421" s="531"/>
      <c r="R1421" s="530"/>
      <c r="S1421" s="530" t="s">
        <v>315</v>
      </c>
      <c r="T1421" s="667"/>
    </row>
    <row r="1422" spans="1:20" s="508" customFormat="1" ht="90" hidden="1">
      <c r="A1422" s="518"/>
      <c r="B1422" s="506"/>
      <c r="C1422" s="506" t="s">
        <v>2457</v>
      </c>
      <c r="D1422" s="507" t="s">
        <v>2471</v>
      </c>
      <c r="E1422" s="509" t="str">
        <f>IF('GPS Anthro Tool'!$B$4=1,"North America FMVSS","")</f>
        <v>North America FMVSS</v>
      </c>
      <c r="F1422" s="507" t="s">
        <v>4242</v>
      </c>
      <c r="G1422" s="507" t="s">
        <v>2459</v>
      </c>
      <c r="H1422" s="507" t="s">
        <v>2472</v>
      </c>
      <c r="I1422" s="507"/>
      <c r="J1422" s="506" t="s">
        <v>3960</v>
      </c>
      <c r="K1422" s="527" t="s">
        <v>315</v>
      </c>
      <c r="L1422" s="526" t="s">
        <v>315</v>
      </c>
      <c r="M1422" s="527" t="s">
        <v>315</v>
      </c>
      <c r="N1422" s="528" t="s">
        <v>315</v>
      </c>
      <c r="O1422" s="663"/>
      <c r="P1422" s="529"/>
      <c r="Q1422" s="531"/>
      <c r="R1422" s="530"/>
      <c r="S1422" s="530" t="s">
        <v>315</v>
      </c>
      <c r="T1422" s="667"/>
    </row>
    <row r="1423" spans="1:20" s="508" customFormat="1" ht="30" hidden="1">
      <c r="A1423" s="518"/>
      <c r="B1423" s="506"/>
      <c r="C1423" s="506" t="s">
        <v>2457</v>
      </c>
      <c r="D1423" s="507" t="s">
        <v>2471</v>
      </c>
      <c r="E1423" s="509" t="str">
        <f>IF('GPS Anthro Tool'!$B$4=1,"North America FMVSS","")</f>
        <v>North America FMVSS</v>
      </c>
      <c r="F1423" s="507" t="s">
        <v>4242</v>
      </c>
      <c r="G1423" s="507" t="s">
        <v>2459</v>
      </c>
      <c r="H1423" s="507" t="s">
        <v>2473</v>
      </c>
      <c r="I1423" s="507"/>
      <c r="J1423" s="506" t="s">
        <v>3960</v>
      </c>
      <c r="K1423" s="527" t="s">
        <v>315</v>
      </c>
      <c r="L1423" s="526" t="s">
        <v>315</v>
      </c>
      <c r="M1423" s="527" t="s">
        <v>315</v>
      </c>
      <c r="N1423" s="528" t="s">
        <v>315</v>
      </c>
      <c r="O1423" s="663"/>
      <c r="P1423" s="529"/>
      <c r="Q1423" s="531"/>
      <c r="R1423" s="530"/>
      <c r="S1423" s="530" t="s">
        <v>315</v>
      </c>
      <c r="T1423" s="667"/>
    </row>
    <row r="1424" spans="1:20" s="508" customFormat="1" ht="45" hidden="1">
      <c r="A1424" s="518"/>
      <c r="B1424" s="506"/>
      <c r="C1424" s="506" t="s">
        <v>2457</v>
      </c>
      <c r="D1424" s="507" t="s">
        <v>2474</v>
      </c>
      <c r="E1424" s="509" t="str">
        <f>IF('GPS Anthro Tool'!$B$4=1,"North America FMVSS","")</f>
        <v>North America FMVSS</v>
      </c>
      <c r="F1424" s="507" t="s">
        <v>4242</v>
      </c>
      <c r="G1424" s="507" t="s">
        <v>2459</v>
      </c>
      <c r="H1424" s="507" t="s">
        <v>2475</v>
      </c>
      <c r="I1424" s="507"/>
      <c r="J1424" s="506" t="s">
        <v>3960</v>
      </c>
      <c r="K1424" s="527" t="s">
        <v>315</v>
      </c>
      <c r="L1424" s="526" t="s">
        <v>315</v>
      </c>
      <c r="M1424" s="527" t="s">
        <v>315</v>
      </c>
      <c r="N1424" s="528" t="s">
        <v>315</v>
      </c>
      <c r="O1424" s="663"/>
      <c r="P1424" s="529"/>
      <c r="Q1424" s="531"/>
      <c r="R1424" s="530"/>
      <c r="S1424" s="530" t="s">
        <v>315</v>
      </c>
      <c r="T1424" s="667"/>
    </row>
    <row r="1425" spans="1:20" s="508" customFormat="1" ht="30" hidden="1">
      <c r="A1425" s="518"/>
      <c r="B1425" s="506"/>
      <c r="C1425" s="506" t="s">
        <v>2457</v>
      </c>
      <c r="D1425" s="507" t="s">
        <v>2476</v>
      </c>
      <c r="E1425" s="509" t="str">
        <f>IF('GPS Anthro Tool'!$B$4=1,"North America FMVSS","")</f>
        <v>North America FMVSS</v>
      </c>
      <c r="F1425" s="507" t="s">
        <v>4242</v>
      </c>
      <c r="G1425" s="507" t="s">
        <v>2459</v>
      </c>
      <c r="H1425" s="507" t="s">
        <v>2477</v>
      </c>
      <c r="I1425" s="507"/>
      <c r="J1425" s="506" t="s">
        <v>3960</v>
      </c>
      <c r="K1425" s="527" t="s">
        <v>315</v>
      </c>
      <c r="L1425" s="526" t="s">
        <v>315</v>
      </c>
      <c r="M1425" s="527" t="s">
        <v>315</v>
      </c>
      <c r="N1425" s="528" t="s">
        <v>315</v>
      </c>
      <c r="O1425" s="663"/>
      <c r="P1425" s="529"/>
      <c r="Q1425" s="531"/>
      <c r="R1425" s="530"/>
      <c r="S1425" s="530" t="s">
        <v>315</v>
      </c>
      <c r="T1425" s="667"/>
    </row>
    <row r="1426" spans="1:20" s="508" customFormat="1" ht="30" hidden="1">
      <c r="A1426" s="518"/>
      <c r="B1426" s="506"/>
      <c r="C1426" s="506" t="s">
        <v>2457</v>
      </c>
      <c r="D1426" s="507" t="s">
        <v>2478</v>
      </c>
      <c r="E1426" s="509" t="str">
        <f>IF('GPS Anthro Tool'!$B$4=1,"North America FMVSS","")</f>
        <v>North America FMVSS</v>
      </c>
      <c r="F1426" s="507" t="s">
        <v>4242</v>
      </c>
      <c r="G1426" s="507" t="s">
        <v>2459</v>
      </c>
      <c r="H1426" s="507" t="s">
        <v>2479</v>
      </c>
      <c r="I1426" s="507"/>
      <c r="J1426" s="506" t="s">
        <v>3960</v>
      </c>
      <c r="K1426" s="527" t="s">
        <v>315</v>
      </c>
      <c r="L1426" s="526" t="s">
        <v>315</v>
      </c>
      <c r="M1426" s="527" t="s">
        <v>315</v>
      </c>
      <c r="N1426" s="528" t="s">
        <v>315</v>
      </c>
      <c r="O1426" s="663"/>
      <c r="P1426" s="529"/>
      <c r="Q1426" s="531"/>
      <c r="R1426" s="530"/>
      <c r="S1426" s="530" t="s">
        <v>315</v>
      </c>
      <c r="T1426" s="667"/>
    </row>
    <row r="1427" spans="1:20" s="508" customFormat="1" ht="30" hidden="1">
      <c r="A1427" s="518"/>
      <c r="B1427" s="506"/>
      <c r="C1427" s="506" t="s">
        <v>2457</v>
      </c>
      <c r="D1427" s="507" t="s">
        <v>2480</v>
      </c>
      <c r="E1427" s="509" t="str">
        <f>IF('GPS Anthro Tool'!$B$4=1,"North America FMVSS","")</f>
        <v>North America FMVSS</v>
      </c>
      <c r="F1427" s="507" t="s">
        <v>4242</v>
      </c>
      <c r="G1427" s="507" t="s">
        <v>2459</v>
      </c>
      <c r="H1427" s="507" t="s">
        <v>2481</v>
      </c>
      <c r="I1427" s="507"/>
      <c r="J1427" s="506" t="s">
        <v>3960</v>
      </c>
      <c r="K1427" s="527" t="s">
        <v>315</v>
      </c>
      <c r="L1427" s="526" t="s">
        <v>315</v>
      </c>
      <c r="M1427" s="527" t="s">
        <v>315</v>
      </c>
      <c r="N1427" s="528" t="s">
        <v>315</v>
      </c>
      <c r="O1427" s="663"/>
      <c r="P1427" s="529"/>
      <c r="Q1427" s="531"/>
      <c r="R1427" s="530"/>
      <c r="S1427" s="530" t="s">
        <v>315</v>
      </c>
      <c r="T1427" s="667"/>
    </row>
    <row r="1428" spans="1:20" s="508" customFormat="1" ht="30" hidden="1">
      <c r="A1428" s="518"/>
      <c r="B1428" s="506"/>
      <c r="C1428" s="506" t="s">
        <v>2457</v>
      </c>
      <c r="D1428" s="507" t="s">
        <v>2482</v>
      </c>
      <c r="E1428" s="509" t="str">
        <f>IF('GPS Anthro Tool'!$B$4=1,"North America FMVSS","")</f>
        <v>North America FMVSS</v>
      </c>
      <c r="F1428" s="507" t="s">
        <v>4242</v>
      </c>
      <c r="G1428" s="507" t="s">
        <v>2459</v>
      </c>
      <c r="H1428" s="507" t="s">
        <v>2483</v>
      </c>
      <c r="I1428" s="507"/>
      <c r="J1428" s="506" t="s">
        <v>3960</v>
      </c>
      <c r="K1428" s="527" t="s">
        <v>315</v>
      </c>
      <c r="L1428" s="526" t="s">
        <v>315</v>
      </c>
      <c r="M1428" s="527" t="s">
        <v>315</v>
      </c>
      <c r="N1428" s="528" t="s">
        <v>315</v>
      </c>
      <c r="O1428" s="663"/>
      <c r="P1428" s="529"/>
      <c r="Q1428" s="531"/>
      <c r="R1428" s="530"/>
      <c r="S1428" s="530" t="s">
        <v>315</v>
      </c>
      <c r="T1428" s="667"/>
    </row>
    <row r="1429" spans="1:20" s="508" customFormat="1" ht="90" hidden="1">
      <c r="A1429" s="518"/>
      <c r="B1429" s="506"/>
      <c r="C1429" s="506" t="s">
        <v>2457</v>
      </c>
      <c r="D1429" s="507" t="s">
        <v>2484</v>
      </c>
      <c r="E1429" s="509" t="str">
        <f>IF('GPS Anthro Tool'!$B$4=1,"North America FMVSS","")</f>
        <v>North America FMVSS</v>
      </c>
      <c r="F1429" s="507" t="s">
        <v>4242</v>
      </c>
      <c r="G1429" s="507" t="s">
        <v>2459</v>
      </c>
      <c r="H1429" s="507" t="s">
        <v>2485</v>
      </c>
      <c r="I1429" s="507"/>
      <c r="J1429" s="506" t="s">
        <v>3960</v>
      </c>
      <c r="K1429" s="527" t="s">
        <v>315</v>
      </c>
      <c r="L1429" s="526" t="s">
        <v>315</v>
      </c>
      <c r="M1429" s="527" t="s">
        <v>315</v>
      </c>
      <c r="N1429" s="528" t="s">
        <v>315</v>
      </c>
      <c r="O1429" s="663"/>
      <c r="P1429" s="529"/>
      <c r="Q1429" s="531"/>
      <c r="R1429" s="530"/>
      <c r="S1429" s="530" t="s">
        <v>315</v>
      </c>
      <c r="T1429" s="667"/>
    </row>
    <row r="1430" spans="1:20" s="508" customFormat="1" ht="30" hidden="1">
      <c r="A1430" s="518"/>
      <c r="B1430" s="506"/>
      <c r="C1430" s="506" t="s">
        <v>2457</v>
      </c>
      <c r="D1430" s="507" t="s">
        <v>2486</v>
      </c>
      <c r="E1430" s="509" t="str">
        <f>IF('GPS Anthro Tool'!$B$4=1,"North America FMVSS","")</f>
        <v>North America FMVSS</v>
      </c>
      <c r="F1430" s="507" t="s">
        <v>4242</v>
      </c>
      <c r="G1430" s="507" t="s">
        <v>2459</v>
      </c>
      <c r="H1430" s="507" t="s">
        <v>2487</v>
      </c>
      <c r="I1430" s="507"/>
      <c r="J1430" s="506" t="s">
        <v>3960</v>
      </c>
      <c r="K1430" s="527" t="s">
        <v>315</v>
      </c>
      <c r="L1430" s="526" t="s">
        <v>315</v>
      </c>
      <c r="M1430" s="527" t="s">
        <v>315</v>
      </c>
      <c r="N1430" s="528" t="s">
        <v>315</v>
      </c>
      <c r="O1430" s="663"/>
      <c r="P1430" s="529"/>
      <c r="Q1430" s="531"/>
      <c r="R1430" s="530"/>
      <c r="S1430" s="530" t="s">
        <v>315</v>
      </c>
      <c r="T1430" s="667"/>
    </row>
    <row r="1431" spans="1:20" s="508" customFormat="1" ht="60" hidden="1">
      <c r="A1431" s="518"/>
      <c r="B1431" s="506"/>
      <c r="C1431" s="506" t="s">
        <v>2457</v>
      </c>
      <c r="D1431" s="507" t="s">
        <v>2488</v>
      </c>
      <c r="E1431" s="509" t="str">
        <f>IF('GPS Anthro Tool'!$B$4=1,"North America FMVSS","")</f>
        <v>North America FMVSS</v>
      </c>
      <c r="F1431" s="507" t="s">
        <v>4242</v>
      </c>
      <c r="G1431" s="507" t="s">
        <v>2459</v>
      </c>
      <c r="H1431" s="507" t="s">
        <v>2489</v>
      </c>
      <c r="I1431" s="507"/>
      <c r="J1431" s="506" t="s">
        <v>3960</v>
      </c>
      <c r="K1431" s="527" t="s">
        <v>315</v>
      </c>
      <c r="L1431" s="526" t="s">
        <v>315</v>
      </c>
      <c r="M1431" s="527" t="s">
        <v>315</v>
      </c>
      <c r="N1431" s="528" t="s">
        <v>315</v>
      </c>
      <c r="O1431" s="663"/>
      <c r="P1431" s="529"/>
      <c r="Q1431" s="531"/>
      <c r="R1431" s="530"/>
      <c r="S1431" s="530" t="s">
        <v>315</v>
      </c>
      <c r="T1431" s="667"/>
    </row>
    <row r="1432" spans="1:20" s="508" customFormat="1" ht="30" hidden="1">
      <c r="A1432" s="518"/>
      <c r="B1432" s="506"/>
      <c r="C1432" s="506" t="s">
        <v>2457</v>
      </c>
      <c r="D1432" s="507" t="s">
        <v>2490</v>
      </c>
      <c r="E1432" s="509" t="str">
        <f>IF('GPS Anthro Tool'!$B$4=1,"North America FMVSS","")</f>
        <v>North America FMVSS</v>
      </c>
      <c r="F1432" s="507" t="s">
        <v>4242</v>
      </c>
      <c r="G1432" s="507" t="s">
        <v>2459</v>
      </c>
      <c r="H1432" s="507" t="s">
        <v>2481</v>
      </c>
      <c r="I1432" s="507"/>
      <c r="J1432" s="506" t="s">
        <v>3960</v>
      </c>
      <c r="K1432" s="527" t="s">
        <v>315</v>
      </c>
      <c r="L1432" s="526" t="s">
        <v>315</v>
      </c>
      <c r="M1432" s="527" t="s">
        <v>315</v>
      </c>
      <c r="N1432" s="528" t="s">
        <v>315</v>
      </c>
      <c r="O1432" s="663"/>
      <c r="P1432" s="529"/>
      <c r="Q1432" s="531"/>
      <c r="R1432" s="530"/>
      <c r="S1432" s="530" t="s">
        <v>315</v>
      </c>
      <c r="T1432" s="667"/>
    </row>
    <row r="1433" spans="1:20" s="508" customFormat="1" ht="60" hidden="1">
      <c r="A1433" s="518"/>
      <c r="B1433" s="506"/>
      <c r="C1433" s="506" t="s">
        <v>2457</v>
      </c>
      <c r="D1433" s="507" t="s">
        <v>2491</v>
      </c>
      <c r="E1433" s="509" t="str">
        <f>IF('GPS Anthro Tool'!$B$4=1,"North America FMVSS","")</f>
        <v>North America FMVSS</v>
      </c>
      <c r="F1433" s="507" t="s">
        <v>4242</v>
      </c>
      <c r="G1433" s="507" t="s">
        <v>2459</v>
      </c>
      <c r="H1433" s="507" t="s">
        <v>2492</v>
      </c>
      <c r="I1433" s="507"/>
      <c r="J1433" s="506" t="s">
        <v>3960</v>
      </c>
      <c r="K1433" s="527" t="s">
        <v>315</v>
      </c>
      <c r="L1433" s="526" t="s">
        <v>315</v>
      </c>
      <c r="M1433" s="527" t="s">
        <v>315</v>
      </c>
      <c r="N1433" s="528" t="s">
        <v>315</v>
      </c>
      <c r="O1433" s="663"/>
      <c r="P1433" s="529"/>
      <c r="Q1433" s="531"/>
      <c r="R1433" s="530"/>
      <c r="S1433" s="530" t="s">
        <v>315</v>
      </c>
      <c r="T1433" s="667"/>
    </row>
    <row r="1434" spans="1:20" s="508" customFormat="1" ht="45" hidden="1">
      <c r="A1434" s="518"/>
      <c r="B1434" s="506"/>
      <c r="C1434" s="506" t="s">
        <v>2457</v>
      </c>
      <c r="D1434" s="507" t="s">
        <v>2493</v>
      </c>
      <c r="E1434" s="509" t="str">
        <f>IF('GPS Anthro Tool'!$B$4=1,"North America FMVSS","")</f>
        <v>North America FMVSS</v>
      </c>
      <c r="F1434" s="507" t="s">
        <v>4242</v>
      </c>
      <c r="G1434" s="507" t="s">
        <v>2459</v>
      </c>
      <c r="H1434" s="507" t="s">
        <v>2494</v>
      </c>
      <c r="I1434" s="507"/>
      <c r="J1434" s="506" t="s">
        <v>3960</v>
      </c>
      <c r="K1434" s="527" t="s">
        <v>315</v>
      </c>
      <c r="L1434" s="526" t="s">
        <v>315</v>
      </c>
      <c r="M1434" s="527" t="s">
        <v>315</v>
      </c>
      <c r="N1434" s="528" t="s">
        <v>315</v>
      </c>
      <c r="O1434" s="663"/>
      <c r="P1434" s="529"/>
      <c r="Q1434" s="531"/>
      <c r="R1434" s="530"/>
      <c r="S1434" s="530" t="s">
        <v>315</v>
      </c>
      <c r="T1434" s="667"/>
    </row>
    <row r="1435" spans="1:20" s="508" customFormat="1" ht="30" hidden="1">
      <c r="A1435" s="518"/>
      <c r="B1435" s="506"/>
      <c r="C1435" s="506" t="s">
        <v>2457</v>
      </c>
      <c r="D1435" s="507" t="s">
        <v>2495</v>
      </c>
      <c r="E1435" s="509" t="str">
        <f>IF('GPS Anthro Tool'!$B$4=1,"North America FMVSS","")</f>
        <v>North America FMVSS</v>
      </c>
      <c r="F1435" s="507" t="s">
        <v>4242</v>
      </c>
      <c r="G1435" s="507" t="s">
        <v>2459</v>
      </c>
      <c r="H1435" s="507" t="s">
        <v>2481</v>
      </c>
      <c r="I1435" s="507"/>
      <c r="J1435" s="506" t="s">
        <v>3960</v>
      </c>
      <c r="K1435" s="527" t="s">
        <v>315</v>
      </c>
      <c r="L1435" s="526" t="s">
        <v>315</v>
      </c>
      <c r="M1435" s="527" t="s">
        <v>315</v>
      </c>
      <c r="N1435" s="528" t="s">
        <v>315</v>
      </c>
      <c r="O1435" s="663"/>
      <c r="P1435" s="529"/>
      <c r="Q1435" s="531"/>
      <c r="R1435" s="530"/>
      <c r="S1435" s="530" t="s">
        <v>315</v>
      </c>
      <c r="T1435" s="667"/>
    </row>
    <row r="1436" spans="1:20" s="508" customFormat="1" ht="60" hidden="1">
      <c r="A1436" s="518"/>
      <c r="B1436" s="506"/>
      <c r="C1436" s="506" t="s">
        <v>2167</v>
      </c>
      <c r="D1436" s="507" t="s">
        <v>2496</v>
      </c>
      <c r="E1436" s="509" t="str">
        <f>IF('GPS Anthro Tool'!$B$4=1,"North America FMVSS","")</f>
        <v>North America FMVSS</v>
      </c>
      <c r="F1436" s="507" t="s">
        <v>4242</v>
      </c>
      <c r="G1436" s="507" t="s">
        <v>2497</v>
      </c>
      <c r="H1436" s="507" t="s">
        <v>2498</v>
      </c>
      <c r="I1436" s="507"/>
      <c r="J1436" s="506" t="s">
        <v>3960</v>
      </c>
      <c r="K1436" s="527" t="s">
        <v>315</v>
      </c>
      <c r="L1436" s="526" t="s">
        <v>315</v>
      </c>
      <c r="M1436" s="527" t="s">
        <v>315</v>
      </c>
      <c r="N1436" s="528" t="s">
        <v>315</v>
      </c>
      <c r="O1436" s="663"/>
      <c r="P1436" s="529"/>
      <c r="Q1436" s="531"/>
      <c r="R1436" s="530"/>
      <c r="S1436" s="530" t="s">
        <v>315</v>
      </c>
      <c r="T1436" s="667"/>
    </row>
    <row r="1437" spans="1:20" s="508" customFormat="1" ht="90" hidden="1">
      <c r="A1437" s="518"/>
      <c r="B1437" s="506"/>
      <c r="C1437" s="506" t="s">
        <v>2167</v>
      </c>
      <c r="D1437" s="507" t="s">
        <v>2499</v>
      </c>
      <c r="E1437" s="509" t="str">
        <f>IF('GPS Anthro Tool'!$B$4=1,"North America FMVSS","")</f>
        <v>North America FMVSS</v>
      </c>
      <c r="F1437" s="507" t="s">
        <v>4242</v>
      </c>
      <c r="G1437" s="507" t="s">
        <v>2497</v>
      </c>
      <c r="H1437" s="507" t="s">
        <v>2500</v>
      </c>
      <c r="I1437" s="507"/>
      <c r="J1437" s="506" t="s">
        <v>3960</v>
      </c>
      <c r="K1437" s="527" t="s">
        <v>315</v>
      </c>
      <c r="L1437" s="526" t="s">
        <v>315</v>
      </c>
      <c r="M1437" s="527" t="s">
        <v>315</v>
      </c>
      <c r="N1437" s="528" t="s">
        <v>315</v>
      </c>
      <c r="O1437" s="663"/>
      <c r="P1437" s="529"/>
      <c r="Q1437" s="531"/>
      <c r="R1437" s="530"/>
      <c r="S1437" s="530" t="s">
        <v>315</v>
      </c>
      <c r="T1437" s="667"/>
    </row>
    <row r="1438" spans="1:20" s="508" customFormat="1" ht="150" hidden="1">
      <c r="A1438" s="518"/>
      <c r="B1438" s="506"/>
      <c r="C1438" s="506" t="s">
        <v>2167</v>
      </c>
      <c r="D1438" s="507" t="s">
        <v>2501</v>
      </c>
      <c r="E1438" s="509" t="str">
        <f>IF('GPS Anthro Tool'!$B$4=1,"North America FMVSS","")</f>
        <v>North America FMVSS</v>
      </c>
      <c r="F1438" s="507" t="s">
        <v>4242</v>
      </c>
      <c r="G1438" s="507" t="s">
        <v>2497</v>
      </c>
      <c r="H1438" s="507" t="s">
        <v>2502</v>
      </c>
      <c r="I1438" s="507"/>
      <c r="J1438" s="506" t="s">
        <v>3960</v>
      </c>
      <c r="K1438" s="527" t="s">
        <v>315</v>
      </c>
      <c r="L1438" s="526" t="s">
        <v>315</v>
      </c>
      <c r="M1438" s="527" t="s">
        <v>315</v>
      </c>
      <c r="N1438" s="528" t="s">
        <v>315</v>
      </c>
      <c r="O1438" s="663"/>
      <c r="P1438" s="529"/>
      <c r="Q1438" s="531"/>
      <c r="R1438" s="530"/>
      <c r="S1438" s="530" t="s">
        <v>315</v>
      </c>
      <c r="T1438" s="667"/>
    </row>
    <row r="1439" spans="1:20" s="508" customFormat="1" ht="75" hidden="1">
      <c r="A1439" s="518"/>
      <c r="B1439" s="506"/>
      <c r="C1439" s="506" t="s">
        <v>2167</v>
      </c>
      <c r="D1439" s="507" t="s">
        <v>2503</v>
      </c>
      <c r="E1439" s="509" t="str">
        <f>IF('GPS Anthro Tool'!$B$4=1,"North America FMVSS","")</f>
        <v>North America FMVSS</v>
      </c>
      <c r="F1439" s="507" t="s">
        <v>4242</v>
      </c>
      <c r="G1439" s="507" t="s">
        <v>2497</v>
      </c>
      <c r="H1439" s="507" t="s">
        <v>2504</v>
      </c>
      <c r="I1439" s="507"/>
      <c r="J1439" s="506" t="s">
        <v>3960</v>
      </c>
      <c r="K1439" s="527" t="s">
        <v>315</v>
      </c>
      <c r="L1439" s="526" t="s">
        <v>315</v>
      </c>
      <c r="M1439" s="527" t="s">
        <v>315</v>
      </c>
      <c r="N1439" s="528" t="s">
        <v>315</v>
      </c>
      <c r="O1439" s="663"/>
      <c r="P1439" s="529"/>
      <c r="Q1439" s="531"/>
      <c r="R1439" s="530"/>
      <c r="S1439" s="530" t="s">
        <v>315</v>
      </c>
      <c r="T1439" s="667"/>
    </row>
    <row r="1440" spans="1:20" s="508" customFormat="1" ht="60" hidden="1">
      <c r="A1440" s="518"/>
      <c r="B1440" s="506"/>
      <c r="C1440" s="506" t="s">
        <v>2167</v>
      </c>
      <c r="D1440" s="507" t="s">
        <v>2505</v>
      </c>
      <c r="E1440" s="509" t="str">
        <f>IF('GPS Anthro Tool'!$B$4=1,"North America FMVSS","")</f>
        <v>North America FMVSS</v>
      </c>
      <c r="F1440" s="507" t="s">
        <v>4242</v>
      </c>
      <c r="G1440" s="507" t="s">
        <v>2497</v>
      </c>
      <c r="H1440" s="507" t="s">
        <v>2506</v>
      </c>
      <c r="I1440" s="507"/>
      <c r="J1440" s="506" t="s">
        <v>3960</v>
      </c>
      <c r="K1440" s="527" t="s">
        <v>315</v>
      </c>
      <c r="L1440" s="526" t="s">
        <v>315</v>
      </c>
      <c r="M1440" s="527" t="s">
        <v>315</v>
      </c>
      <c r="N1440" s="528" t="s">
        <v>315</v>
      </c>
      <c r="O1440" s="663"/>
      <c r="P1440" s="529"/>
      <c r="Q1440" s="531"/>
      <c r="R1440" s="530"/>
      <c r="S1440" s="530" t="s">
        <v>315</v>
      </c>
      <c r="T1440" s="667"/>
    </row>
    <row r="1441" spans="1:20" s="508" customFormat="1" ht="30" hidden="1">
      <c r="A1441" s="518"/>
      <c r="B1441" s="506"/>
      <c r="C1441" s="506" t="s">
        <v>2167</v>
      </c>
      <c r="D1441" s="507" t="s">
        <v>2507</v>
      </c>
      <c r="E1441" s="507" t="str">
        <f>IF('GPS Anthro Tool'!$B$4=1,"North America FMVSS","")</f>
        <v>North America FMVSS</v>
      </c>
      <c r="F1441" s="507" t="s">
        <v>4242</v>
      </c>
      <c r="G1441" s="507" t="s">
        <v>2497</v>
      </c>
      <c r="H1441" s="507" t="s">
        <v>2508</v>
      </c>
      <c r="I1441" s="507"/>
      <c r="J1441" s="506" t="s">
        <v>3960</v>
      </c>
      <c r="K1441" s="527" t="s">
        <v>315</v>
      </c>
      <c r="L1441" s="526" t="s">
        <v>315</v>
      </c>
      <c r="M1441" s="527" t="s">
        <v>315</v>
      </c>
      <c r="N1441" s="528" t="s">
        <v>315</v>
      </c>
      <c r="O1441" s="663"/>
      <c r="P1441" s="529"/>
      <c r="Q1441" s="531"/>
      <c r="R1441" s="530" t="s">
        <v>315</v>
      </c>
      <c r="S1441" s="530" t="s">
        <v>315</v>
      </c>
      <c r="T1441" s="667"/>
    </row>
    <row r="1442" spans="1:20" s="508" customFormat="1" ht="30" hidden="1">
      <c r="A1442" s="518"/>
      <c r="B1442" s="506"/>
      <c r="C1442" s="506" t="s">
        <v>2509</v>
      </c>
      <c r="D1442" s="507" t="s">
        <v>2510</v>
      </c>
      <c r="E1442" s="509" t="str">
        <f>IF('GPS Anthro Tool'!$B$4=1,"North America FMVSS","")</f>
        <v>North America FMVSS</v>
      </c>
      <c r="F1442" s="507" t="s">
        <v>4242</v>
      </c>
      <c r="G1442" s="507" t="s">
        <v>1058</v>
      </c>
      <c r="H1442" s="507" t="s">
        <v>2511</v>
      </c>
      <c r="I1442" s="507"/>
      <c r="J1442" s="506" t="s">
        <v>3960</v>
      </c>
      <c r="K1442" s="527" t="s">
        <v>315</v>
      </c>
      <c r="L1442" s="526" t="s">
        <v>315</v>
      </c>
      <c r="M1442" s="527" t="s">
        <v>315</v>
      </c>
      <c r="N1442" s="528" t="s">
        <v>315</v>
      </c>
      <c r="O1442" s="663"/>
      <c r="P1442" s="529"/>
      <c r="Q1442" s="531"/>
      <c r="R1442" s="530"/>
      <c r="S1442" s="530" t="s">
        <v>315</v>
      </c>
      <c r="T1442" s="667"/>
    </row>
    <row r="1443" spans="1:20" s="508" customFormat="1" ht="120" hidden="1">
      <c r="A1443" s="518"/>
      <c r="B1443" s="506"/>
      <c r="C1443" s="506" t="s">
        <v>2509</v>
      </c>
      <c r="D1443" s="507" t="s">
        <v>2510</v>
      </c>
      <c r="E1443" s="509" t="str">
        <f>IF('GPS Anthro Tool'!$B$4=1,"North America FMVSS","")</f>
        <v>North America FMVSS</v>
      </c>
      <c r="F1443" s="507" t="s">
        <v>4242</v>
      </c>
      <c r="G1443" s="507" t="s">
        <v>1058</v>
      </c>
      <c r="H1443" s="507" t="s">
        <v>2512</v>
      </c>
      <c r="I1443" s="507"/>
      <c r="J1443" s="506" t="s">
        <v>3960</v>
      </c>
      <c r="K1443" s="527" t="s">
        <v>315</v>
      </c>
      <c r="L1443" s="526" t="s">
        <v>315</v>
      </c>
      <c r="M1443" s="527" t="s">
        <v>315</v>
      </c>
      <c r="N1443" s="528" t="s">
        <v>315</v>
      </c>
      <c r="O1443" s="663"/>
      <c r="P1443" s="529"/>
      <c r="Q1443" s="531"/>
      <c r="R1443" s="530"/>
      <c r="S1443" s="530" t="s">
        <v>315</v>
      </c>
      <c r="T1443" s="667"/>
    </row>
    <row r="1444" spans="1:20" s="508" customFormat="1" ht="45" hidden="1">
      <c r="A1444" s="518"/>
      <c r="B1444" s="506"/>
      <c r="C1444" s="506" t="s">
        <v>2509</v>
      </c>
      <c r="D1444" s="507" t="s">
        <v>2513</v>
      </c>
      <c r="E1444" s="509" t="str">
        <f>IF('GPS Anthro Tool'!$B$4=1,"North America FMVSS","")</f>
        <v>North America FMVSS</v>
      </c>
      <c r="F1444" s="507" t="s">
        <v>4242</v>
      </c>
      <c r="G1444" s="507" t="s">
        <v>1058</v>
      </c>
      <c r="H1444" s="507" t="s">
        <v>2514</v>
      </c>
      <c r="I1444" s="507"/>
      <c r="J1444" s="506" t="s">
        <v>3960</v>
      </c>
      <c r="K1444" s="527" t="s">
        <v>315</v>
      </c>
      <c r="L1444" s="526" t="s">
        <v>315</v>
      </c>
      <c r="M1444" s="527" t="s">
        <v>315</v>
      </c>
      <c r="N1444" s="528" t="s">
        <v>315</v>
      </c>
      <c r="O1444" s="663"/>
      <c r="P1444" s="529"/>
      <c r="Q1444" s="531"/>
      <c r="R1444" s="530"/>
      <c r="S1444" s="530" t="s">
        <v>315</v>
      </c>
      <c r="T1444" s="667"/>
    </row>
    <row r="1445" spans="1:20" s="508" customFormat="1" ht="150" hidden="1">
      <c r="A1445" s="518"/>
      <c r="B1445" s="506"/>
      <c r="C1445" s="506" t="s">
        <v>2509</v>
      </c>
      <c r="D1445" s="507" t="s">
        <v>2515</v>
      </c>
      <c r="E1445" s="509" t="str">
        <f>IF('GPS Anthro Tool'!$B$4=1,"North America FMVSS","")</f>
        <v>North America FMVSS</v>
      </c>
      <c r="F1445" s="507" t="s">
        <v>4242</v>
      </c>
      <c r="G1445" s="507" t="s">
        <v>1058</v>
      </c>
      <c r="H1445" s="507" t="s">
        <v>2516</v>
      </c>
      <c r="I1445" s="507"/>
      <c r="J1445" s="506" t="s">
        <v>3960</v>
      </c>
      <c r="K1445" s="527" t="s">
        <v>315</v>
      </c>
      <c r="L1445" s="526" t="s">
        <v>315</v>
      </c>
      <c r="M1445" s="527" t="s">
        <v>315</v>
      </c>
      <c r="N1445" s="528" t="s">
        <v>315</v>
      </c>
      <c r="O1445" s="663"/>
      <c r="P1445" s="529"/>
      <c r="Q1445" s="531"/>
      <c r="R1445" s="530"/>
      <c r="S1445" s="530" t="s">
        <v>315</v>
      </c>
      <c r="T1445" s="667"/>
    </row>
    <row r="1446" spans="1:20" s="508" customFormat="1" ht="30" hidden="1">
      <c r="A1446" s="518"/>
      <c r="B1446" s="506"/>
      <c r="C1446" s="506" t="s">
        <v>2509</v>
      </c>
      <c r="D1446" s="507" t="s">
        <v>2517</v>
      </c>
      <c r="E1446" s="509" t="str">
        <f>IF('GPS Anthro Tool'!$B$4=1,"North America FMVSS","")</f>
        <v>North America FMVSS</v>
      </c>
      <c r="F1446" s="507" t="s">
        <v>4242</v>
      </c>
      <c r="G1446" s="507" t="s">
        <v>1058</v>
      </c>
      <c r="H1446" s="506" t="s">
        <v>2518</v>
      </c>
      <c r="I1446" s="506"/>
      <c r="J1446" s="506" t="s">
        <v>3960</v>
      </c>
      <c r="K1446" s="527" t="s">
        <v>315</v>
      </c>
      <c r="L1446" s="526" t="s">
        <v>315</v>
      </c>
      <c r="M1446" s="527" t="s">
        <v>315</v>
      </c>
      <c r="N1446" s="528" t="s">
        <v>315</v>
      </c>
      <c r="O1446" s="663"/>
      <c r="P1446" s="529"/>
      <c r="Q1446" s="531"/>
      <c r="R1446" s="530"/>
      <c r="S1446" s="530" t="s">
        <v>315</v>
      </c>
      <c r="T1446" s="667"/>
    </row>
    <row r="1447" spans="1:20" s="508" customFormat="1" ht="105" hidden="1">
      <c r="A1447" s="518"/>
      <c r="B1447" s="506"/>
      <c r="C1447" s="506" t="s">
        <v>2509</v>
      </c>
      <c r="D1447" s="507" t="s">
        <v>2519</v>
      </c>
      <c r="E1447" s="509" t="str">
        <f>IF('GPS Anthro Tool'!$B$4=1,"North America FMVSS","")</f>
        <v>North America FMVSS</v>
      </c>
      <c r="F1447" s="507" t="s">
        <v>4242</v>
      </c>
      <c r="G1447" s="507" t="s">
        <v>1058</v>
      </c>
      <c r="H1447" s="507" t="s">
        <v>2520</v>
      </c>
      <c r="I1447" s="507"/>
      <c r="J1447" s="506" t="s">
        <v>3960</v>
      </c>
      <c r="K1447" s="527" t="s">
        <v>315</v>
      </c>
      <c r="L1447" s="526" t="s">
        <v>315</v>
      </c>
      <c r="M1447" s="527" t="s">
        <v>315</v>
      </c>
      <c r="N1447" s="528" t="s">
        <v>315</v>
      </c>
      <c r="O1447" s="663"/>
      <c r="P1447" s="529"/>
      <c r="Q1447" s="531"/>
      <c r="R1447" s="530"/>
      <c r="S1447" s="530" t="s">
        <v>315</v>
      </c>
      <c r="T1447" s="667"/>
    </row>
    <row r="1448" spans="1:20" s="508" customFormat="1" ht="45" hidden="1">
      <c r="A1448" s="518"/>
      <c r="B1448" s="506"/>
      <c r="C1448" s="506" t="s">
        <v>2509</v>
      </c>
      <c r="D1448" s="507" t="s">
        <v>2521</v>
      </c>
      <c r="E1448" s="509" t="str">
        <f>IF('GPS Anthro Tool'!$B$4=1,"North America FMVSS","")</f>
        <v>North America FMVSS</v>
      </c>
      <c r="F1448" s="507" t="s">
        <v>4242</v>
      </c>
      <c r="G1448" s="507" t="s">
        <v>1058</v>
      </c>
      <c r="H1448" s="507" t="s">
        <v>2522</v>
      </c>
      <c r="I1448" s="507"/>
      <c r="J1448" s="506" t="s">
        <v>3960</v>
      </c>
      <c r="K1448" s="527" t="s">
        <v>315</v>
      </c>
      <c r="L1448" s="526" t="s">
        <v>315</v>
      </c>
      <c r="M1448" s="527" t="s">
        <v>315</v>
      </c>
      <c r="N1448" s="528" t="s">
        <v>315</v>
      </c>
      <c r="O1448" s="663"/>
      <c r="P1448" s="529"/>
      <c r="Q1448" s="531"/>
      <c r="R1448" s="530"/>
      <c r="S1448" s="530" t="s">
        <v>315</v>
      </c>
      <c r="T1448" s="667"/>
    </row>
    <row r="1449" spans="1:20" s="508" customFormat="1" ht="90" hidden="1">
      <c r="A1449" s="518"/>
      <c r="B1449" s="506"/>
      <c r="C1449" s="506" t="s">
        <v>2509</v>
      </c>
      <c r="D1449" s="507" t="s">
        <v>2523</v>
      </c>
      <c r="E1449" s="509" t="str">
        <f>IF('GPS Anthro Tool'!$B$4=1,"North America FMVSS","")</f>
        <v>North America FMVSS</v>
      </c>
      <c r="F1449" s="507" t="s">
        <v>4242</v>
      </c>
      <c r="G1449" s="507" t="s">
        <v>1058</v>
      </c>
      <c r="H1449" s="507" t="s">
        <v>2524</v>
      </c>
      <c r="I1449" s="507"/>
      <c r="J1449" s="506" t="s">
        <v>3960</v>
      </c>
      <c r="K1449" s="527" t="s">
        <v>315</v>
      </c>
      <c r="L1449" s="526" t="s">
        <v>315</v>
      </c>
      <c r="M1449" s="527" t="s">
        <v>315</v>
      </c>
      <c r="N1449" s="528" t="s">
        <v>315</v>
      </c>
      <c r="O1449" s="663"/>
      <c r="P1449" s="529"/>
      <c r="Q1449" s="531"/>
      <c r="R1449" s="530"/>
      <c r="S1449" s="530" t="s">
        <v>315</v>
      </c>
      <c r="T1449" s="667"/>
    </row>
    <row r="1450" spans="1:20" s="508" customFormat="1" ht="45" hidden="1">
      <c r="A1450" s="518"/>
      <c r="B1450" s="506"/>
      <c r="C1450" s="506" t="s">
        <v>2509</v>
      </c>
      <c r="D1450" s="507" t="s">
        <v>2525</v>
      </c>
      <c r="E1450" s="509" t="str">
        <f>IF('GPS Anthro Tool'!$B$4=1,"North America FMVSS","")</f>
        <v>North America FMVSS</v>
      </c>
      <c r="F1450" s="507" t="s">
        <v>4242</v>
      </c>
      <c r="G1450" s="507" t="s">
        <v>1058</v>
      </c>
      <c r="H1450" s="507" t="s">
        <v>2526</v>
      </c>
      <c r="I1450" s="507"/>
      <c r="J1450" s="506" t="s">
        <v>3960</v>
      </c>
      <c r="K1450" s="527" t="s">
        <v>315</v>
      </c>
      <c r="L1450" s="526" t="s">
        <v>315</v>
      </c>
      <c r="M1450" s="527" t="s">
        <v>315</v>
      </c>
      <c r="N1450" s="528" t="s">
        <v>315</v>
      </c>
      <c r="O1450" s="663"/>
      <c r="P1450" s="529"/>
      <c r="Q1450" s="531"/>
      <c r="R1450" s="530"/>
      <c r="S1450" s="530" t="s">
        <v>315</v>
      </c>
      <c r="T1450" s="667"/>
    </row>
    <row r="1451" spans="1:20" s="508" customFormat="1" ht="180" hidden="1">
      <c r="A1451" s="518"/>
      <c r="B1451" s="506"/>
      <c r="C1451" s="506" t="s">
        <v>2509</v>
      </c>
      <c r="D1451" s="507" t="s">
        <v>2527</v>
      </c>
      <c r="E1451" s="509" t="str">
        <f>IF('GPS Anthro Tool'!$B$4=1,"North America FMVSS","")</f>
        <v>North America FMVSS</v>
      </c>
      <c r="F1451" s="507" t="s">
        <v>4242</v>
      </c>
      <c r="G1451" s="507" t="s">
        <v>1058</v>
      </c>
      <c r="H1451" s="507" t="s">
        <v>2528</v>
      </c>
      <c r="I1451" s="507"/>
      <c r="J1451" s="506" t="s">
        <v>3960</v>
      </c>
      <c r="K1451" s="527" t="s">
        <v>315</v>
      </c>
      <c r="L1451" s="526" t="s">
        <v>315</v>
      </c>
      <c r="M1451" s="527" t="s">
        <v>315</v>
      </c>
      <c r="N1451" s="528" t="s">
        <v>315</v>
      </c>
      <c r="O1451" s="663"/>
      <c r="P1451" s="529"/>
      <c r="Q1451" s="531"/>
      <c r="R1451" s="530"/>
      <c r="S1451" s="530" t="s">
        <v>315</v>
      </c>
      <c r="T1451" s="667"/>
    </row>
    <row r="1452" spans="1:20" s="508" customFormat="1" ht="75" hidden="1">
      <c r="A1452" s="518"/>
      <c r="B1452" s="506"/>
      <c r="C1452" s="506" t="s">
        <v>2509</v>
      </c>
      <c r="D1452" s="507" t="s">
        <v>2529</v>
      </c>
      <c r="E1452" s="509" t="str">
        <f>IF('GPS Anthro Tool'!$B$4=1,"North America FMVSS","")</f>
        <v>North America FMVSS</v>
      </c>
      <c r="F1452" s="507" t="s">
        <v>4242</v>
      </c>
      <c r="G1452" s="507" t="s">
        <v>1058</v>
      </c>
      <c r="H1452" s="507" t="s">
        <v>2530</v>
      </c>
      <c r="I1452" s="507"/>
      <c r="J1452" s="506" t="s">
        <v>3960</v>
      </c>
      <c r="K1452" s="527" t="s">
        <v>315</v>
      </c>
      <c r="L1452" s="526" t="s">
        <v>315</v>
      </c>
      <c r="M1452" s="527" t="s">
        <v>315</v>
      </c>
      <c r="N1452" s="528" t="s">
        <v>315</v>
      </c>
      <c r="O1452" s="663"/>
      <c r="P1452" s="529"/>
      <c r="Q1452" s="531"/>
      <c r="R1452" s="530"/>
      <c r="S1452" s="530" t="s">
        <v>315</v>
      </c>
      <c r="T1452" s="667"/>
    </row>
    <row r="1453" spans="1:20" s="508" customFormat="1" ht="105" hidden="1">
      <c r="A1453" s="518"/>
      <c r="B1453" s="506"/>
      <c r="C1453" s="506" t="s">
        <v>2509</v>
      </c>
      <c r="D1453" s="507" t="s">
        <v>2531</v>
      </c>
      <c r="E1453" s="509" t="str">
        <f>IF('GPS Anthro Tool'!$B$4=1,"North America FMVSS","")</f>
        <v>North America FMVSS</v>
      </c>
      <c r="F1453" s="507" t="s">
        <v>4242</v>
      </c>
      <c r="G1453" s="507" t="s">
        <v>1058</v>
      </c>
      <c r="H1453" s="507" t="s">
        <v>2532</v>
      </c>
      <c r="I1453" s="507"/>
      <c r="J1453" s="506" t="s">
        <v>3960</v>
      </c>
      <c r="K1453" s="527" t="s">
        <v>315</v>
      </c>
      <c r="L1453" s="526" t="s">
        <v>315</v>
      </c>
      <c r="M1453" s="527" t="s">
        <v>315</v>
      </c>
      <c r="N1453" s="528" t="s">
        <v>315</v>
      </c>
      <c r="O1453" s="663"/>
      <c r="P1453" s="529"/>
      <c r="Q1453" s="531"/>
      <c r="R1453" s="530"/>
      <c r="S1453" s="530" t="s">
        <v>315</v>
      </c>
      <c r="T1453" s="667"/>
    </row>
    <row r="1454" spans="1:20" s="508" customFormat="1" ht="90" hidden="1">
      <c r="A1454" s="518"/>
      <c r="B1454" s="506"/>
      <c r="C1454" s="506" t="s">
        <v>2509</v>
      </c>
      <c r="D1454" s="507" t="s">
        <v>2533</v>
      </c>
      <c r="E1454" s="509" t="str">
        <f>IF('GPS Anthro Tool'!$B$4=1,"North America FMVSS","")</f>
        <v>North America FMVSS</v>
      </c>
      <c r="F1454" s="507" t="s">
        <v>4242</v>
      </c>
      <c r="G1454" s="507" t="s">
        <v>1058</v>
      </c>
      <c r="H1454" s="507" t="s">
        <v>2534</v>
      </c>
      <c r="I1454" s="507"/>
      <c r="J1454" s="506" t="s">
        <v>3960</v>
      </c>
      <c r="K1454" s="527" t="s">
        <v>315</v>
      </c>
      <c r="L1454" s="526" t="s">
        <v>315</v>
      </c>
      <c r="M1454" s="527" t="s">
        <v>315</v>
      </c>
      <c r="N1454" s="528" t="s">
        <v>315</v>
      </c>
      <c r="O1454" s="663"/>
      <c r="P1454" s="529"/>
      <c r="Q1454" s="531"/>
      <c r="R1454" s="530"/>
      <c r="S1454" s="530" t="s">
        <v>315</v>
      </c>
      <c r="T1454" s="667"/>
    </row>
    <row r="1455" spans="1:20" s="508" customFormat="1" ht="105" hidden="1">
      <c r="A1455" s="518"/>
      <c r="B1455" s="506"/>
      <c r="C1455" s="506" t="s">
        <v>2509</v>
      </c>
      <c r="D1455" s="507" t="s">
        <v>2535</v>
      </c>
      <c r="E1455" s="509" t="str">
        <f>IF('GPS Anthro Tool'!$B$4=1,"North America FMVSS","")</f>
        <v>North America FMVSS</v>
      </c>
      <c r="F1455" s="507" t="s">
        <v>4242</v>
      </c>
      <c r="G1455" s="507" t="s">
        <v>1058</v>
      </c>
      <c r="H1455" s="507" t="s">
        <v>2536</v>
      </c>
      <c r="I1455" s="507"/>
      <c r="J1455" s="506" t="s">
        <v>3960</v>
      </c>
      <c r="K1455" s="527" t="s">
        <v>315</v>
      </c>
      <c r="L1455" s="526" t="s">
        <v>315</v>
      </c>
      <c r="M1455" s="527" t="s">
        <v>315</v>
      </c>
      <c r="N1455" s="528" t="s">
        <v>315</v>
      </c>
      <c r="O1455" s="663"/>
      <c r="P1455" s="529"/>
      <c r="Q1455" s="531"/>
      <c r="R1455" s="530"/>
      <c r="S1455" s="530" t="s">
        <v>315</v>
      </c>
      <c r="T1455" s="667"/>
    </row>
    <row r="1456" spans="1:20" s="508" customFormat="1" ht="75" hidden="1">
      <c r="A1456" s="518"/>
      <c r="B1456" s="506"/>
      <c r="C1456" s="506" t="s">
        <v>2509</v>
      </c>
      <c r="D1456" s="507" t="s">
        <v>2537</v>
      </c>
      <c r="E1456" s="509" t="str">
        <f>IF('GPS Anthro Tool'!$B$4=1,"North America FMVSS","")</f>
        <v>North America FMVSS</v>
      </c>
      <c r="F1456" s="507" t="s">
        <v>4242</v>
      </c>
      <c r="G1456" s="507" t="s">
        <v>1058</v>
      </c>
      <c r="H1456" s="507" t="s">
        <v>2538</v>
      </c>
      <c r="I1456" s="507"/>
      <c r="J1456" s="506" t="s">
        <v>3960</v>
      </c>
      <c r="K1456" s="527" t="s">
        <v>315</v>
      </c>
      <c r="L1456" s="526" t="s">
        <v>315</v>
      </c>
      <c r="M1456" s="527" t="s">
        <v>315</v>
      </c>
      <c r="N1456" s="528" t="s">
        <v>315</v>
      </c>
      <c r="O1456" s="663"/>
      <c r="P1456" s="529"/>
      <c r="Q1456" s="531"/>
      <c r="R1456" s="530"/>
      <c r="S1456" s="530" t="s">
        <v>315</v>
      </c>
      <c r="T1456" s="667"/>
    </row>
    <row r="1457" spans="1:20" s="508" customFormat="1" ht="90" hidden="1">
      <c r="A1457" s="518"/>
      <c r="B1457" s="506"/>
      <c r="C1457" s="506" t="s">
        <v>2509</v>
      </c>
      <c r="D1457" s="507" t="s">
        <v>2539</v>
      </c>
      <c r="E1457" s="509" t="str">
        <f>IF('GPS Anthro Tool'!$B$4=1,"North America FMVSS","")</f>
        <v>North America FMVSS</v>
      </c>
      <c r="F1457" s="507" t="s">
        <v>4242</v>
      </c>
      <c r="G1457" s="507" t="s">
        <v>1058</v>
      </c>
      <c r="H1457" s="507" t="s">
        <v>2540</v>
      </c>
      <c r="I1457" s="507"/>
      <c r="J1457" s="506" t="s">
        <v>3960</v>
      </c>
      <c r="K1457" s="527" t="s">
        <v>315</v>
      </c>
      <c r="L1457" s="526" t="s">
        <v>315</v>
      </c>
      <c r="M1457" s="527" t="s">
        <v>315</v>
      </c>
      <c r="N1457" s="528" t="s">
        <v>315</v>
      </c>
      <c r="O1457" s="663"/>
      <c r="P1457" s="529"/>
      <c r="Q1457" s="531"/>
      <c r="R1457" s="530"/>
      <c r="S1457" s="530" t="s">
        <v>315</v>
      </c>
      <c r="T1457" s="667"/>
    </row>
    <row r="1458" spans="1:20" s="508" customFormat="1" ht="409.5" hidden="1">
      <c r="A1458" s="518"/>
      <c r="B1458" s="506"/>
      <c r="C1458" s="506" t="s">
        <v>2509</v>
      </c>
      <c r="D1458" s="507" t="s">
        <v>2541</v>
      </c>
      <c r="E1458" s="509" t="str">
        <f>IF('GPS Anthro Tool'!$B$4=1,"North America FMVSS","")</f>
        <v>North America FMVSS</v>
      </c>
      <c r="F1458" s="507" t="s">
        <v>4242</v>
      </c>
      <c r="G1458" s="507" t="s">
        <v>1058</v>
      </c>
      <c r="H1458" s="507" t="s">
        <v>2542</v>
      </c>
      <c r="I1458" s="507"/>
      <c r="J1458" s="506" t="s">
        <v>3960</v>
      </c>
      <c r="K1458" s="527" t="s">
        <v>315</v>
      </c>
      <c r="L1458" s="526" t="s">
        <v>315</v>
      </c>
      <c r="M1458" s="527" t="s">
        <v>315</v>
      </c>
      <c r="N1458" s="528" t="s">
        <v>315</v>
      </c>
      <c r="O1458" s="663"/>
      <c r="P1458" s="529"/>
      <c r="Q1458" s="531"/>
      <c r="R1458" s="530"/>
      <c r="S1458" s="530" t="s">
        <v>315</v>
      </c>
      <c r="T1458" s="667"/>
    </row>
    <row r="1459" spans="1:20" s="508" customFormat="1" ht="75" hidden="1">
      <c r="A1459" s="518"/>
      <c r="B1459" s="506"/>
      <c r="C1459" s="506" t="s">
        <v>2509</v>
      </c>
      <c r="D1459" s="507" t="s">
        <v>2543</v>
      </c>
      <c r="E1459" s="509" t="str">
        <f>IF('GPS Anthro Tool'!$B$4=1,"North America FMVSS","")</f>
        <v>North America FMVSS</v>
      </c>
      <c r="F1459" s="507" t="s">
        <v>4242</v>
      </c>
      <c r="G1459" s="507" t="s">
        <v>1058</v>
      </c>
      <c r="H1459" s="507" t="s">
        <v>2544</v>
      </c>
      <c r="I1459" s="507"/>
      <c r="J1459" s="506" t="s">
        <v>3960</v>
      </c>
      <c r="K1459" s="527" t="s">
        <v>315</v>
      </c>
      <c r="L1459" s="526" t="s">
        <v>315</v>
      </c>
      <c r="M1459" s="527" t="s">
        <v>315</v>
      </c>
      <c r="N1459" s="528" t="s">
        <v>315</v>
      </c>
      <c r="O1459" s="663"/>
      <c r="P1459" s="529"/>
      <c r="Q1459" s="531"/>
      <c r="R1459" s="530"/>
      <c r="S1459" s="530" t="s">
        <v>315</v>
      </c>
      <c r="T1459" s="667"/>
    </row>
    <row r="1460" spans="1:20" s="508" customFormat="1" ht="30" hidden="1">
      <c r="A1460" s="518"/>
      <c r="B1460" s="506"/>
      <c r="C1460" s="506" t="s">
        <v>2509</v>
      </c>
      <c r="D1460" s="507" t="s">
        <v>2545</v>
      </c>
      <c r="E1460" s="509" t="str">
        <f>IF('GPS Anthro Tool'!$B$4=1,"North America FMVSS","")</f>
        <v>North America FMVSS</v>
      </c>
      <c r="F1460" s="507" t="s">
        <v>4242</v>
      </c>
      <c r="G1460" s="506"/>
      <c r="H1460" s="507" t="s">
        <v>2546</v>
      </c>
      <c r="I1460" s="507"/>
      <c r="J1460" s="506" t="s">
        <v>3960</v>
      </c>
      <c r="K1460" s="527" t="s">
        <v>315</v>
      </c>
      <c r="L1460" s="526" t="s">
        <v>315</v>
      </c>
      <c r="M1460" s="527" t="s">
        <v>315</v>
      </c>
      <c r="N1460" s="528" t="s">
        <v>315</v>
      </c>
      <c r="O1460" s="663"/>
      <c r="P1460" s="529"/>
      <c r="Q1460" s="531"/>
      <c r="R1460" s="530"/>
      <c r="S1460" s="530" t="s">
        <v>315</v>
      </c>
      <c r="T1460" s="667"/>
    </row>
    <row r="1461" spans="1:20" s="508" customFormat="1" ht="60" hidden="1">
      <c r="A1461" s="518"/>
      <c r="B1461" s="506"/>
      <c r="C1461" s="506" t="s">
        <v>2509</v>
      </c>
      <c r="D1461" s="507" t="s">
        <v>2547</v>
      </c>
      <c r="E1461" s="509" t="str">
        <f>IF('GPS Anthro Tool'!$B$4=1,"North America FMVSS","")</f>
        <v>North America FMVSS</v>
      </c>
      <c r="F1461" s="507" t="s">
        <v>4242</v>
      </c>
      <c r="G1461" s="507" t="s">
        <v>1058</v>
      </c>
      <c r="H1461" s="507" t="s">
        <v>2548</v>
      </c>
      <c r="I1461" s="507"/>
      <c r="J1461" s="506" t="s">
        <v>3960</v>
      </c>
      <c r="K1461" s="527" t="s">
        <v>315</v>
      </c>
      <c r="L1461" s="526" t="s">
        <v>315</v>
      </c>
      <c r="M1461" s="527" t="s">
        <v>315</v>
      </c>
      <c r="N1461" s="528" t="s">
        <v>315</v>
      </c>
      <c r="O1461" s="663"/>
      <c r="P1461" s="529"/>
      <c r="Q1461" s="531"/>
      <c r="R1461" s="530"/>
      <c r="S1461" s="530" t="s">
        <v>315</v>
      </c>
      <c r="T1461" s="667"/>
    </row>
    <row r="1462" spans="1:20" s="508" customFormat="1" ht="255" hidden="1">
      <c r="A1462" s="518"/>
      <c r="B1462" s="506"/>
      <c r="C1462" s="506" t="s">
        <v>2509</v>
      </c>
      <c r="D1462" s="507" t="s">
        <v>2549</v>
      </c>
      <c r="E1462" s="509" t="str">
        <f>IF('GPS Anthro Tool'!$B$4=1,"North America FMVSS","")</f>
        <v>North America FMVSS</v>
      </c>
      <c r="F1462" s="507" t="s">
        <v>4242</v>
      </c>
      <c r="G1462" s="507" t="s">
        <v>1058</v>
      </c>
      <c r="H1462" s="507" t="s">
        <v>2550</v>
      </c>
      <c r="I1462" s="507"/>
      <c r="J1462" s="506" t="s">
        <v>3960</v>
      </c>
      <c r="K1462" s="527" t="s">
        <v>315</v>
      </c>
      <c r="L1462" s="526" t="s">
        <v>315</v>
      </c>
      <c r="M1462" s="527" t="s">
        <v>315</v>
      </c>
      <c r="N1462" s="528" t="s">
        <v>315</v>
      </c>
      <c r="O1462" s="663"/>
      <c r="P1462" s="529"/>
      <c r="Q1462" s="531"/>
      <c r="R1462" s="530"/>
      <c r="S1462" s="530" t="s">
        <v>315</v>
      </c>
      <c r="T1462" s="667"/>
    </row>
    <row r="1463" spans="1:20" s="508" customFormat="1" ht="90" hidden="1">
      <c r="A1463" s="518"/>
      <c r="B1463" s="506"/>
      <c r="C1463" s="506" t="s">
        <v>2509</v>
      </c>
      <c r="D1463" s="507" t="s">
        <v>2551</v>
      </c>
      <c r="E1463" s="509" t="str">
        <f>IF('GPS Anthro Tool'!$B$4=1,"North America FMVSS","")</f>
        <v>North America FMVSS</v>
      </c>
      <c r="F1463" s="507" t="s">
        <v>4242</v>
      </c>
      <c r="G1463" s="507" t="s">
        <v>1058</v>
      </c>
      <c r="H1463" s="507" t="s">
        <v>2552</v>
      </c>
      <c r="I1463" s="507"/>
      <c r="J1463" s="506" t="s">
        <v>3960</v>
      </c>
      <c r="K1463" s="527" t="s">
        <v>315</v>
      </c>
      <c r="L1463" s="526" t="s">
        <v>315</v>
      </c>
      <c r="M1463" s="527" t="s">
        <v>315</v>
      </c>
      <c r="N1463" s="528" t="s">
        <v>315</v>
      </c>
      <c r="O1463" s="663"/>
      <c r="P1463" s="529"/>
      <c r="Q1463" s="531"/>
      <c r="R1463" s="530"/>
      <c r="S1463" s="530" t="s">
        <v>315</v>
      </c>
      <c r="T1463" s="667"/>
    </row>
    <row r="1464" spans="1:20" s="508" customFormat="1" ht="60" hidden="1">
      <c r="A1464" s="518"/>
      <c r="B1464" s="506"/>
      <c r="C1464" s="506" t="s">
        <v>2509</v>
      </c>
      <c r="D1464" s="507" t="s">
        <v>2553</v>
      </c>
      <c r="E1464" s="509" t="str">
        <f>IF('GPS Anthro Tool'!$B$4=1,"North America FMVSS","")</f>
        <v>North America FMVSS</v>
      </c>
      <c r="F1464" s="507" t="s">
        <v>4242</v>
      </c>
      <c r="G1464" s="507" t="s">
        <v>1058</v>
      </c>
      <c r="H1464" s="507" t="s">
        <v>2554</v>
      </c>
      <c r="I1464" s="507"/>
      <c r="J1464" s="506" t="s">
        <v>3960</v>
      </c>
      <c r="K1464" s="527" t="s">
        <v>315</v>
      </c>
      <c r="L1464" s="526" t="s">
        <v>315</v>
      </c>
      <c r="M1464" s="527" t="s">
        <v>315</v>
      </c>
      <c r="N1464" s="528" t="s">
        <v>315</v>
      </c>
      <c r="O1464" s="663"/>
      <c r="P1464" s="529"/>
      <c r="Q1464" s="531"/>
      <c r="R1464" s="530"/>
      <c r="S1464" s="530" t="s">
        <v>315</v>
      </c>
      <c r="T1464" s="667"/>
    </row>
    <row r="1465" spans="1:20" s="508" customFormat="1" ht="45" hidden="1">
      <c r="A1465" s="518"/>
      <c r="B1465" s="506"/>
      <c r="C1465" s="506" t="s">
        <v>2509</v>
      </c>
      <c r="D1465" s="507" t="s">
        <v>2555</v>
      </c>
      <c r="E1465" s="509" t="str">
        <f>IF('GPS Anthro Tool'!$B$4=1,"North America FMVSS","")</f>
        <v>North America FMVSS</v>
      </c>
      <c r="F1465" s="507" t="s">
        <v>4242</v>
      </c>
      <c r="G1465" s="507" t="s">
        <v>1058</v>
      </c>
      <c r="H1465" s="507" t="s">
        <v>2556</v>
      </c>
      <c r="I1465" s="507"/>
      <c r="J1465" s="506" t="s">
        <v>3960</v>
      </c>
      <c r="K1465" s="527" t="s">
        <v>315</v>
      </c>
      <c r="L1465" s="526" t="s">
        <v>315</v>
      </c>
      <c r="M1465" s="527" t="s">
        <v>315</v>
      </c>
      <c r="N1465" s="528" t="s">
        <v>315</v>
      </c>
      <c r="O1465" s="663"/>
      <c r="P1465" s="529"/>
      <c r="Q1465" s="531"/>
      <c r="R1465" s="530"/>
      <c r="S1465" s="530" t="s">
        <v>315</v>
      </c>
      <c r="T1465" s="667"/>
    </row>
    <row r="1466" spans="1:20" s="508" customFormat="1" ht="75" hidden="1">
      <c r="A1466" s="518"/>
      <c r="B1466" s="506"/>
      <c r="C1466" s="506" t="s">
        <v>2509</v>
      </c>
      <c r="D1466" s="507" t="s">
        <v>2557</v>
      </c>
      <c r="E1466" s="509" t="str">
        <f>IF('GPS Anthro Tool'!$B$4=1,"North America FMVSS","")</f>
        <v>North America FMVSS</v>
      </c>
      <c r="F1466" s="507" t="s">
        <v>4242</v>
      </c>
      <c r="G1466" s="507" t="s">
        <v>1058</v>
      </c>
      <c r="H1466" s="507" t="s">
        <v>2558</v>
      </c>
      <c r="I1466" s="507"/>
      <c r="J1466" s="506" t="s">
        <v>3960</v>
      </c>
      <c r="K1466" s="527" t="s">
        <v>315</v>
      </c>
      <c r="L1466" s="526" t="s">
        <v>315</v>
      </c>
      <c r="M1466" s="527" t="s">
        <v>315</v>
      </c>
      <c r="N1466" s="528" t="s">
        <v>315</v>
      </c>
      <c r="O1466" s="663"/>
      <c r="P1466" s="529"/>
      <c r="Q1466" s="531"/>
      <c r="R1466" s="530"/>
      <c r="S1466" s="530" t="s">
        <v>315</v>
      </c>
      <c r="T1466" s="667"/>
    </row>
    <row r="1467" spans="1:20" s="508" customFormat="1" ht="240" hidden="1">
      <c r="A1467" s="518"/>
      <c r="B1467" s="506"/>
      <c r="C1467" s="506" t="s">
        <v>2509</v>
      </c>
      <c r="D1467" s="507" t="s">
        <v>2559</v>
      </c>
      <c r="E1467" s="509" t="str">
        <f>IF('GPS Anthro Tool'!$B$4=1,"North America FMVSS","")</f>
        <v>North America FMVSS</v>
      </c>
      <c r="F1467" s="507" t="s">
        <v>4242</v>
      </c>
      <c r="G1467" s="507" t="s">
        <v>1058</v>
      </c>
      <c r="H1467" s="507" t="s">
        <v>2560</v>
      </c>
      <c r="I1467" s="507"/>
      <c r="J1467" s="506" t="s">
        <v>3960</v>
      </c>
      <c r="K1467" s="527" t="s">
        <v>315</v>
      </c>
      <c r="L1467" s="526" t="s">
        <v>315</v>
      </c>
      <c r="M1467" s="527" t="s">
        <v>315</v>
      </c>
      <c r="N1467" s="528" t="s">
        <v>315</v>
      </c>
      <c r="O1467" s="663"/>
      <c r="P1467" s="529"/>
      <c r="Q1467" s="531"/>
      <c r="R1467" s="530"/>
      <c r="S1467" s="530" t="s">
        <v>315</v>
      </c>
      <c r="T1467" s="667"/>
    </row>
    <row r="1468" spans="1:20" s="508" customFormat="1" ht="180" hidden="1">
      <c r="A1468" s="518"/>
      <c r="B1468" s="506"/>
      <c r="C1468" s="506" t="s">
        <v>2509</v>
      </c>
      <c r="D1468" s="507" t="s">
        <v>2561</v>
      </c>
      <c r="E1468" s="509" t="str">
        <f>IF('GPS Anthro Tool'!$B$4=1,"North America FMVSS","")</f>
        <v>North America FMVSS</v>
      </c>
      <c r="F1468" s="507" t="s">
        <v>4242</v>
      </c>
      <c r="G1468" s="507" t="s">
        <v>1058</v>
      </c>
      <c r="H1468" s="507" t="s">
        <v>2562</v>
      </c>
      <c r="I1468" s="507"/>
      <c r="J1468" s="506" t="s">
        <v>3960</v>
      </c>
      <c r="K1468" s="527" t="s">
        <v>315</v>
      </c>
      <c r="L1468" s="526" t="s">
        <v>315</v>
      </c>
      <c r="M1468" s="527" t="s">
        <v>315</v>
      </c>
      <c r="N1468" s="528" t="s">
        <v>315</v>
      </c>
      <c r="O1468" s="663"/>
      <c r="P1468" s="529"/>
      <c r="Q1468" s="531"/>
      <c r="R1468" s="530"/>
      <c r="S1468" s="530" t="s">
        <v>315</v>
      </c>
      <c r="T1468" s="667"/>
    </row>
    <row r="1469" spans="1:20" s="508" customFormat="1" ht="60" hidden="1">
      <c r="A1469" s="518"/>
      <c r="B1469" s="506"/>
      <c r="C1469" s="506" t="s">
        <v>2509</v>
      </c>
      <c r="D1469" s="507" t="s">
        <v>2563</v>
      </c>
      <c r="E1469" s="509" t="str">
        <f>IF('GPS Anthro Tool'!$B$4=1,"North America FMVSS","")</f>
        <v>North America FMVSS</v>
      </c>
      <c r="F1469" s="507" t="s">
        <v>4242</v>
      </c>
      <c r="G1469" s="507" t="s">
        <v>1058</v>
      </c>
      <c r="H1469" s="507" t="s">
        <v>2564</v>
      </c>
      <c r="I1469" s="507"/>
      <c r="J1469" s="506" t="s">
        <v>3960</v>
      </c>
      <c r="K1469" s="527" t="s">
        <v>315</v>
      </c>
      <c r="L1469" s="526" t="s">
        <v>315</v>
      </c>
      <c r="M1469" s="527" t="s">
        <v>315</v>
      </c>
      <c r="N1469" s="528" t="s">
        <v>315</v>
      </c>
      <c r="O1469" s="663"/>
      <c r="P1469" s="529"/>
      <c r="Q1469" s="531"/>
      <c r="R1469" s="530"/>
      <c r="S1469" s="530" t="s">
        <v>315</v>
      </c>
      <c r="T1469" s="667"/>
    </row>
    <row r="1470" spans="1:20" s="508" customFormat="1" ht="60" hidden="1">
      <c r="A1470" s="518"/>
      <c r="B1470" s="506"/>
      <c r="C1470" s="506" t="s">
        <v>2509</v>
      </c>
      <c r="D1470" s="507" t="s">
        <v>2565</v>
      </c>
      <c r="E1470" s="509" t="str">
        <f>IF('GPS Anthro Tool'!$B$4=1,"North America FMVSS","")</f>
        <v>North America FMVSS</v>
      </c>
      <c r="F1470" s="507" t="s">
        <v>4242</v>
      </c>
      <c r="G1470" s="507" t="s">
        <v>1058</v>
      </c>
      <c r="H1470" s="507" t="s">
        <v>2566</v>
      </c>
      <c r="I1470" s="507"/>
      <c r="J1470" s="506" t="s">
        <v>3960</v>
      </c>
      <c r="K1470" s="527" t="s">
        <v>315</v>
      </c>
      <c r="L1470" s="526" t="s">
        <v>315</v>
      </c>
      <c r="M1470" s="527" t="s">
        <v>315</v>
      </c>
      <c r="N1470" s="528" t="s">
        <v>315</v>
      </c>
      <c r="O1470" s="663"/>
      <c r="P1470" s="529"/>
      <c r="Q1470" s="531"/>
      <c r="R1470" s="530"/>
      <c r="S1470" s="530" t="s">
        <v>315</v>
      </c>
      <c r="T1470" s="667"/>
    </row>
    <row r="1471" spans="1:20" s="508" customFormat="1" ht="105" hidden="1">
      <c r="A1471" s="518"/>
      <c r="B1471" s="506"/>
      <c r="C1471" s="506" t="s">
        <v>2509</v>
      </c>
      <c r="D1471" s="507" t="s">
        <v>2567</v>
      </c>
      <c r="E1471" s="509" t="str">
        <f>IF('GPS Anthro Tool'!$B$4=1,"North America FMVSS","")</f>
        <v>North America FMVSS</v>
      </c>
      <c r="F1471" s="507" t="s">
        <v>4242</v>
      </c>
      <c r="G1471" s="507" t="s">
        <v>1058</v>
      </c>
      <c r="H1471" s="507" t="s">
        <v>2568</v>
      </c>
      <c r="I1471" s="507"/>
      <c r="J1471" s="506" t="s">
        <v>3960</v>
      </c>
      <c r="K1471" s="527" t="s">
        <v>315</v>
      </c>
      <c r="L1471" s="526" t="s">
        <v>315</v>
      </c>
      <c r="M1471" s="527" t="s">
        <v>315</v>
      </c>
      <c r="N1471" s="528" t="s">
        <v>315</v>
      </c>
      <c r="O1471" s="663"/>
      <c r="P1471" s="529"/>
      <c r="Q1471" s="531"/>
      <c r="R1471" s="530"/>
      <c r="S1471" s="530" t="s">
        <v>315</v>
      </c>
      <c r="T1471" s="667"/>
    </row>
    <row r="1472" spans="1:20" s="508" customFormat="1" ht="225" hidden="1">
      <c r="A1472" s="518"/>
      <c r="B1472" s="506"/>
      <c r="C1472" s="506" t="s">
        <v>2509</v>
      </c>
      <c r="D1472" s="507" t="s">
        <v>2569</v>
      </c>
      <c r="E1472" s="509" t="str">
        <f>IF('GPS Anthro Tool'!$B$4=1,"North America FMVSS","")</f>
        <v>North America FMVSS</v>
      </c>
      <c r="F1472" s="507" t="s">
        <v>4242</v>
      </c>
      <c r="G1472" s="507" t="s">
        <v>1058</v>
      </c>
      <c r="H1472" s="507" t="s">
        <v>2570</v>
      </c>
      <c r="I1472" s="507"/>
      <c r="J1472" s="506" t="s">
        <v>3960</v>
      </c>
      <c r="K1472" s="527" t="s">
        <v>315</v>
      </c>
      <c r="L1472" s="526" t="s">
        <v>315</v>
      </c>
      <c r="M1472" s="527" t="s">
        <v>315</v>
      </c>
      <c r="N1472" s="528" t="s">
        <v>315</v>
      </c>
      <c r="O1472" s="663"/>
      <c r="P1472" s="529"/>
      <c r="Q1472" s="531"/>
      <c r="R1472" s="530"/>
      <c r="S1472" s="530" t="s">
        <v>315</v>
      </c>
      <c r="T1472" s="667"/>
    </row>
    <row r="1473" spans="1:20" s="508" customFormat="1" ht="45" hidden="1">
      <c r="A1473" s="518"/>
      <c r="B1473" s="506"/>
      <c r="C1473" s="506" t="s">
        <v>2509</v>
      </c>
      <c r="D1473" s="507" t="s">
        <v>2571</v>
      </c>
      <c r="E1473" s="509" t="str">
        <f>IF('GPS Anthro Tool'!$B$4=1,"North America FMVSS","")</f>
        <v>North America FMVSS</v>
      </c>
      <c r="F1473" s="507" t="s">
        <v>4242</v>
      </c>
      <c r="G1473" s="507" t="s">
        <v>1058</v>
      </c>
      <c r="H1473" s="507" t="s">
        <v>2572</v>
      </c>
      <c r="I1473" s="507"/>
      <c r="J1473" s="506" t="s">
        <v>3960</v>
      </c>
      <c r="K1473" s="527" t="s">
        <v>315</v>
      </c>
      <c r="L1473" s="526" t="s">
        <v>315</v>
      </c>
      <c r="M1473" s="527" t="s">
        <v>315</v>
      </c>
      <c r="N1473" s="528" t="s">
        <v>315</v>
      </c>
      <c r="O1473" s="663"/>
      <c r="P1473" s="529"/>
      <c r="Q1473" s="531"/>
      <c r="R1473" s="530"/>
      <c r="S1473" s="530" t="s">
        <v>315</v>
      </c>
      <c r="T1473" s="667"/>
    </row>
    <row r="1474" spans="1:20" s="508" customFormat="1" ht="45" hidden="1">
      <c r="A1474" s="518"/>
      <c r="B1474" s="506"/>
      <c r="C1474" s="506" t="s">
        <v>2509</v>
      </c>
      <c r="D1474" s="507" t="s">
        <v>2573</v>
      </c>
      <c r="E1474" s="509" t="str">
        <f>IF('GPS Anthro Tool'!$B$4=1,"North America FMVSS","")</f>
        <v>North America FMVSS</v>
      </c>
      <c r="F1474" s="507" t="s">
        <v>4242</v>
      </c>
      <c r="G1474" s="507" t="s">
        <v>1058</v>
      </c>
      <c r="H1474" s="507" t="s">
        <v>2574</v>
      </c>
      <c r="I1474" s="507"/>
      <c r="J1474" s="506" t="s">
        <v>3960</v>
      </c>
      <c r="K1474" s="527" t="s">
        <v>315</v>
      </c>
      <c r="L1474" s="526" t="s">
        <v>315</v>
      </c>
      <c r="M1474" s="527" t="s">
        <v>315</v>
      </c>
      <c r="N1474" s="528" t="s">
        <v>315</v>
      </c>
      <c r="O1474" s="663"/>
      <c r="P1474" s="529"/>
      <c r="Q1474" s="531"/>
      <c r="R1474" s="530"/>
      <c r="S1474" s="530" t="s">
        <v>315</v>
      </c>
      <c r="T1474" s="667"/>
    </row>
    <row r="1475" spans="1:20" s="508" customFormat="1" ht="60" hidden="1">
      <c r="A1475" s="518"/>
      <c r="B1475" s="506"/>
      <c r="C1475" s="506" t="s">
        <v>2509</v>
      </c>
      <c r="D1475" s="507" t="s">
        <v>2575</v>
      </c>
      <c r="E1475" s="509" t="str">
        <f>IF('GPS Anthro Tool'!$B$4=1,"North America FMVSS","")</f>
        <v>North America FMVSS</v>
      </c>
      <c r="F1475" s="507" t="s">
        <v>4242</v>
      </c>
      <c r="G1475" s="507" t="s">
        <v>1058</v>
      </c>
      <c r="H1475" s="507" t="s">
        <v>2576</v>
      </c>
      <c r="I1475" s="507"/>
      <c r="J1475" s="506" t="s">
        <v>3960</v>
      </c>
      <c r="K1475" s="527" t="s">
        <v>315</v>
      </c>
      <c r="L1475" s="526" t="s">
        <v>315</v>
      </c>
      <c r="M1475" s="527" t="s">
        <v>315</v>
      </c>
      <c r="N1475" s="528" t="s">
        <v>315</v>
      </c>
      <c r="O1475" s="663"/>
      <c r="P1475" s="529"/>
      <c r="Q1475" s="531"/>
      <c r="R1475" s="530"/>
      <c r="S1475" s="530" t="s">
        <v>315</v>
      </c>
      <c r="T1475" s="667"/>
    </row>
    <row r="1476" spans="1:20" s="508" customFormat="1" ht="150" hidden="1">
      <c r="A1476" s="518"/>
      <c r="B1476" s="506"/>
      <c r="C1476" s="506" t="s">
        <v>2509</v>
      </c>
      <c r="D1476" s="507" t="s">
        <v>2577</v>
      </c>
      <c r="E1476" s="509" t="str">
        <f>IF('GPS Anthro Tool'!$B$4=1,"North America FMVSS","")</f>
        <v>North America FMVSS</v>
      </c>
      <c r="F1476" s="507" t="s">
        <v>4242</v>
      </c>
      <c r="G1476" s="507" t="s">
        <v>1058</v>
      </c>
      <c r="H1476" s="507" t="s">
        <v>2578</v>
      </c>
      <c r="I1476" s="507"/>
      <c r="J1476" s="506" t="s">
        <v>3960</v>
      </c>
      <c r="K1476" s="527" t="s">
        <v>315</v>
      </c>
      <c r="L1476" s="526" t="s">
        <v>315</v>
      </c>
      <c r="M1476" s="527" t="s">
        <v>315</v>
      </c>
      <c r="N1476" s="528" t="s">
        <v>315</v>
      </c>
      <c r="O1476" s="663"/>
      <c r="P1476" s="529"/>
      <c r="Q1476" s="531"/>
      <c r="R1476" s="530"/>
      <c r="S1476" s="530" t="s">
        <v>315</v>
      </c>
      <c r="T1476" s="667"/>
    </row>
    <row r="1477" spans="1:20" s="508" customFormat="1" ht="30" hidden="1">
      <c r="A1477" s="518"/>
      <c r="B1477" s="506"/>
      <c r="C1477" s="506" t="s">
        <v>2509</v>
      </c>
      <c r="D1477" s="507" t="s">
        <v>2579</v>
      </c>
      <c r="E1477" s="509" t="str">
        <f>IF('GPS Anthro Tool'!$B$4=1,"North America FMVSS","")</f>
        <v>North America FMVSS</v>
      </c>
      <c r="F1477" s="507" t="s">
        <v>4242</v>
      </c>
      <c r="G1477" s="507" t="s">
        <v>1058</v>
      </c>
      <c r="H1477" s="507" t="s">
        <v>2580</v>
      </c>
      <c r="I1477" s="507"/>
      <c r="J1477" s="506" t="s">
        <v>3960</v>
      </c>
      <c r="K1477" s="527" t="s">
        <v>315</v>
      </c>
      <c r="L1477" s="526" t="s">
        <v>315</v>
      </c>
      <c r="M1477" s="527" t="s">
        <v>315</v>
      </c>
      <c r="N1477" s="528" t="s">
        <v>315</v>
      </c>
      <c r="O1477" s="663"/>
      <c r="P1477" s="529"/>
      <c r="Q1477" s="531"/>
      <c r="R1477" s="530"/>
      <c r="S1477" s="530" t="s">
        <v>315</v>
      </c>
      <c r="T1477" s="667"/>
    </row>
    <row r="1478" spans="1:20" s="508" customFormat="1" ht="30" hidden="1">
      <c r="A1478" s="518"/>
      <c r="B1478" s="506"/>
      <c r="C1478" s="506" t="s">
        <v>2509</v>
      </c>
      <c r="D1478" s="507" t="s">
        <v>2581</v>
      </c>
      <c r="E1478" s="509" t="str">
        <f>IF('GPS Anthro Tool'!$B$4=1,"North America FMVSS","")</f>
        <v>North America FMVSS</v>
      </c>
      <c r="F1478" s="507" t="s">
        <v>4242</v>
      </c>
      <c r="G1478" s="507" t="s">
        <v>1058</v>
      </c>
      <c r="H1478" s="507" t="s">
        <v>2582</v>
      </c>
      <c r="I1478" s="507"/>
      <c r="J1478" s="506" t="s">
        <v>3960</v>
      </c>
      <c r="K1478" s="527" t="s">
        <v>315</v>
      </c>
      <c r="L1478" s="526" t="s">
        <v>315</v>
      </c>
      <c r="M1478" s="527" t="s">
        <v>315</v>
      </c>
      <c r="N1478" s="528" t="s">
        <v>315</v>
      </c>
      <c r="O1478" s="663"/>
      <c r="P1478" s="529"/>
      <c r="Q1478" s="531"/>
      <c r="R1478" s="530"/>
      <c r="S1478" s="530" t="s">
        <v>315</v>
      </c>
      <c r="T1478" s="667"/>
    </row>
    <row r="1479" spans="1:20" s="508" customFormat="1" ht="45" hidden="1">
      <c r="A1479" s="518"/>
      <c r="B1479" s="506"/>
      <c r="C1479" s="506" t="s">
        <v>2509</v>
      </c>
      <c r="D1479" s="507" t="s">
        <v>2583</v>
      </c>
      <c r="E1479" s="509" t="str">
        <f>IF('GPS Anthro Tool'!$B$4=1,"North America FMVSS","")</f>
        <v>North America FMVSS</v>
      </c>
      <c r="F1479" s="507" t="s">
        <v>4242</v>
      </c>
      <c r="G1479" s="507" t="s">
        <v>1058</v>
      </c>
      <c r="H1479" s="507" t="s">
        <v>2584</v>
      </c>
      <c r="I1479" s="507"/>
      <c r="J1479" s="506" t="s">
        <v>3960</v>
      </c>
      <c r="K1479" s="527" t="s">
        <v>315</v>
      </c>
      <c r="L1479" s="526" t="s">
        <v>315</v>
      </c>
      <c r="M1479" s="527" t="s">
        <v>315</v>
      </c>
      <c r="N1479" s="528" t="s">
        <v>315</v>
      </c>
      <c r="O1479" s="663"/>
      <c r="P1479" s="529"/>
      <c r="Q1479" s="531"/>
      <c r="R1479" s="530"/>
      <c r="S1479" s="530" t="s">
        <v>315</v>
      </c>
      <c r="T1479" s="667"/>
    </row>
    <row r="1480" spans="1:20" s="508" customFormat="1" ht="30" hidden="1">
      <c r="A1480" s="518"/>
      <c r="B1480" s="506"/>
      <c r="C1480" s="506" t="s">
        <v>2509</v>
      </c>
      <c r="D1480" s="507" t="s">
        <v>2585</v>
      </c>
      <c r="E1480" s="509" t="str">
        <f>IF('GPS Anthro Tool'!$B$4=1,"North America FMVSS","")</f>
        <v>North America FMVSS</v>
      </c>
      <c r="F1480" s="507" t="s">
        <v>4242</v>
      </c>
      <c r="G1480" s="507" t="s">
        <v>1058</v>
      </c>
      <c r="H1480" s="507" t="s">
        <v>2586</v>
      </c>
      <c r="I1480" s="507"/>
      <c r="J1480" s="506" t="s">
        <v>3960</v>
      </c>
      <c r="K1480" s="527" t="s">
        <v>315</v>
      </c>
      <c r="L1480" s="526" t="s">
        <v>315</v>
      </c>
      <c r="M1480" s="527" t="s">
        <v>315</v>
      </c>
      <c r="N1480" s="528" t="s">
        <v>315</v>
      </c>
      <c r="O1480" s="663"/>
      <c r="P1480" s="529"/>
      <c r="Q1480" s="531"/>
      <c r="R1480" s="530"/>
      <c r="S1480" s="530" t="s">
        <v>315</v>
      </c>
      <c r="T1480" s="667"/>
    </row>
    <row r="1481" spans="1:20" s="508" customFormat="1" ht="105" hidden="1">
      <c r="A1481" s="518"/>
      <c r="B1481" s="506"/>
      <c r="C1481" s="506" t="s">
        <v>2509</v>
      </c>
      <c r="D1481" s="507" t="s">
        <v>2587</v>
      </c>
      <c r="E1481" s="509" t="str">
        <f>IF('GPS Anthro Tool'!$B$4=1,"North America FMVSS","")</f>
        <v>North America FMVSS</v>
      </c>
      <c r="F1481" s="507" t="s">
        <v>4242</v>
      </c>
      <c r="G1481" s="507" t="s">
        <v>1058</v>
      </c>
      <c r="H1481" s="507" t="s">
        <v>2588</v>
      </c>
      <c r="I1481" s="507"/>
      <c r="J1481" s="506" t="s">
        <v>3960</v>
      </c>
      <c r="K1481" s="527" t="s">
        <v>315</v>
      </c>
      <c r="L1481" s="526" t="s">
        <v>315</v>
      </c>
      <c r="M1481" s="527" t="s">
        <v>315</v>
      </c>
      <c r="N1481" s="528" t="s">
        <v>315</v>
      </c>
      <c r="O1481" s="663"/>
      <c r="P1481" s="529"/>
      <c r="Q1481" s="531"/>
      <c r="R1481" s="530"/>
      <c r="S1481" s="530" t="s">
        <v>315</v>
      </c>
      <c r="T1481" s="667"/>
    </row>
    <row r="1482" spans="1:20" s="508" customFormat="1" ht="105" hidden="1">
      <c r="A1482" s="518"/>
      <c r="B1482" s="506"/>
      <c r="C1482" s="506" t="s">
        <v>2509</v>
      </c>
      <c r="D1482" s="507" t="s">
        <v>2587</v>
      </c>
      <c r="E1482" s="509" t="str">
        <f>IF('GPS Anthro Tool'!$B$4=1,"North America FMVSS","")</f>
        <v>North America FMVSS</v>
      </c>
      <c r="F1482" s="507" t="s">
        <v>4242</v>
      </c>
      <c r="G1482" s="507" t="s">
        <v>1058</v>
      </c>
      <c r="H1482" s="507" t="s">
        <v>2589</v>
      </c>
      <c r="I1482" s="507"/>
      <c r="J1482" s="506" t="s">
        <v>3960</v>
      </c>
      <c r="K1482" s="527" t="s">
        <v>315</v>
      </c>
      <c r="L1482" s="526" t="s">
        <v>315</v>
      </c>
      <c r="M1482" s="527" t="s">
        <v>315</v>
      </c>
      <c r="N1482" s="528" t="s">
        <v>315</v>
      </c>
      <c r="O1482" s="663"/>
      <c r="P1482" s="529"/>
      <c r="Q1482" s="531"/>
      <c r="R1482" s="530"/>
      <c r="S1482" s="530" t="s">
        <v>315</v>
      </c>
      <c r="T1482" s="667"/>
    </row>
    <row r="1483" spans="1:20" s="508" customFormat="1" ht="105" hidden="1">
      <c r="A1483" s="518"/>
      <c r="B1483" s="506"/>
      <c r="C1483" s="506" t="s">
        <v>2509</v>
      </c>
      <c r="D1483" s="507" t="s">
        <v>2590</v>
      </c>
      <c r="E1483" s="509" t="str">
        <f>IF('GPS Anthro Tool'!$B$4=1,"North America FMVSS","")</f>
        <v>North America FMVSS</v>
      </c>
      <c r="F1483" s="507" t="s">
        <v>4242</v>
      </c>
      <c r="G1483" s="507" t="s">
        <v>1058</v>
      </c>
      <c r="H1483" s="507" t="s">
        <v>2591</v>
      </c>
      <c r="I1483" s="507"/>
      <c r="J1483" s="506" t="s">
        <v>3960</v>
      </c>
      <c r="K1483" s="527" t="s">
        <v>315</v>
      </c>
      <c r="L1483" s="526" t="s">
        <v>315</v>
      </c>
      <c r="M1483" s="527" t="s">
        <v>315</v>
      </c>
      <c r="N1483" s="528" t="s">
        <v>315</v>
      </c>
      <c r="O1483" s="663"/>
      <c r="P1483" s="529"/>
      <c r="Q1483" s="531"/>
      <c r="R1483" s="530"/>
      <c r="S1483" s="530" t="s">
        <v>315</v>
      </c>
      <c r="T1483" s="667"/>
    </row>
    <row r="1484" spans="1:20" s="508" customFormat="1" ht="135" hidden="1">
      <c r="A1484" s="518"/>
      <c r="B1484" s="506"/>
      <c r="C1484" s="506" t="s">
        <v>2206</v>
      </c>
      <c r="D1484" s="509" t="s">
        <v>2592</v>
      </c>
      <c r="E1484" s="509" t="str">
        <f>IF('GPS Anthro Tool'!$B$4=1,"North America FMVSS","")</f>
        <v>North America FMVSS</v>
      </c>
      <c r="F1484" s="506" t="s">
        <v>4242</v>
      </c>
      <c r="G1484" s="509" t="s">
        <v>2207</v>
      </c>
      <c r="H1484" s="507" t="s">
        <v>2593</v>
      </c>
      <c r="I1484" s="507"/>
      <c r="J1484" s="506" t="s">
        <v>3960</v>
      </c>
      <c r="K1484" s="527" t="s">
        <v>315</v>
      </c>
      <c r="L1484" s="526" t="s">
        <v>315</v>
      </c>
      <c r="M1484" s="527" t="s">
        <v>315</v>
      </c>
      <c r="N1484" s="528" t="s">
        <v>315</v>
      </c>
      <c r="O1484" s="663"/>
      <c r="P1484" s="529"/>
      <c r="Q1484" s="531"/>
      <c r="R1484" s="530"/>
      <c r="S1484" s="530" t="s">
        <v>315</v>
      </c>
      <c r="T1484" s="667"/>
    </row>
    <row r="1485" spans="1:20" s="508" customFormat="1" ht="195" hidden="1">
      <c r="A1485" s="518"/>
      <c r="B1485" s="506"/>
      <c r="C1485" s="506" t="s">
        <v>1614</v>
      </c>
      <c r="D1485" s="507" t="s">
        <v>2594</v>
      </c>
      <c r="E1485" s="509" t="str">
        <f>IF('GPS Anthro Tool'!$B$4=1,"North America FMVSS","")</f>
        <v>North America FMVSS</v>
      </c>
      <c r="F1485" s="507" t="s">
        <v>4242</v>
      </c>
      <c r="G1485" s="507" t="s">
        <v>1058</v>
      </c>
      <c r="H1485" s="507" t="s">
        <v>2595</v>
      </c>
      <c r="I1485" s="507"/>
      <c r="J1485" s="506" t="s">
        <v>3960</v>
      </c>
      <c r="K1485" s="527" t="s">
        <v>315</v>
      </c>
      <c r="L1485" s="526" t="s">
        <v>315</v>
      </c>
      <c r="M1485" s="527" t="s">
        <v>315</v>
      </c>
      <c r="N1485" s="528" t="s">
        <v>315</v>
      </c>
      <c r="O1485" s="663"/>
      <c r="P1485" s="529"/>
      <c r="Q1485" s="531"/>
      <c r="R1485" s="530"/>
      <c r="S1485" s="530" t="s">
        <v>315</v>
      </c>
      <c r="T1485" s="667"/>
    </row>
    <row r="1486" spans="1:20" s="508" customFormat="1" ht="240" hidden="1">
      <c r="A1486" s="518"/>
      <c r="B1486" s="506"/>
      <c r="C1486" s="506" t="s">
        <v>1614</v>
      </c>
      <c r="D1486" s="507" t="s">
        <v>2596</v>
      </c>
      <c r="E1486" s="509" t="str">
        <f>IF('GPS Anthro Tool'!$B$4=1,"North America FMVSS","")</f>
        <v>North America FMVSS</v>
      </c>
      <c r="F1486" s="507" t="s">
        <v>4242</v>
      </c>
      <c r="G1486" s="507" t="s">
        <v>1058</v>
      </c>
      <c r="H1486" s="507" t="s">
        <v>2597</v>
      </c>
      <c r="I1486" s="507"/>
      <c r="J1486" s="506" t="s">
        <v>3960</v>
      </c>
      <c r="K1486" s="527" t="s">
        <v>315</v>
      </c>
      <c r="L1486" s="526" t="s">
        <v>315</v>
      </c>
      <c r="M1486" s="527" t="s">
        <v>315</v>
      </c>
      <c r="N1486" s="528" t="s">
        <v>315</v>
      </c>
      <c r="O1486" s="663"/>
      <c r="P1486" s="529"/>
      <c r="Q1486" s="531"/>
      <c r="R1486" s="530"/>
      <c r="S1486" s="530" t="s">
        <v>315</v>
      </c>
      <c r="T1486" s="667"/>
    </row>
    <row r="1487" spans="1:20" s="508" customFormat="1" ht="90" hidden="1">
      <c r="A1487" s="518"/>
      <c r="B1487" s="506"/>
      <c r="C1487" s="506" t="s">
        <v>1614</v>
      </c>
      <c r="D1487" s="507" t="s">
        <v>2598</v>
      </c>
      <c r="E1487" s="509" t="str">
        <f>IF('GPS Anthro Tool'!$B$4=1,"North America FMVSS","")</f>
        <v>North America FMVSS</v>
      </c>
      <c r="F1487" s="507" t="s">
        <v>4242</v>
      </c>
      <c r="G1487" s="507" t="s">
        <v>1058</v>
      </c>
      <c r="H1487" s="507" t="s">
        <v>2599</v>
      </c>
      <c r="I1487" s="507"/>
      <c r="J1487" s="506" t="s">
        <v>3960</v>
      </c>
      <c r="K1487" s="527" t="s">
        <v>315</v>
      </c>
      <c r="L1487" s="526" t="s">
        <v>315</v>
      </c>
      <c r="M1487" s="527" t="s">
        <v>315</v>
      </c>
      <c r="N1487" s="528" t="s">
        <v>315</v>
      </c>
      <c r="O1487" s="663"/>
      <c r="P1487" s="529"/>
      <c r="Q1487" s="531"/>
      <c r="R1487" s="530"/>
      <c r="S1487" s="530" t="s">
        <v>315</v>
      </c>
      <c r="T1487" s="667"/>
    </row>
    <row r="1488" spans="1:20" s="508" customFormat="1" ht="90" hidden="1">
      <c r="A1488" s="518"/>
      <c r="B1488" s="506"/>
      <c r="C1488" s="506" t="s">
        <v>1614</v>
      </c>
      <c r="D1488" s="507" t="s">
        <v>2600</v>
      </c>
      <c r="E1488" s="509" t="str">
        <f>IF('GPS Anthro Tool'!$B$4=1,"North America FMVSS","")</f>
        <v>North America FMVSS</v>
      </c>
      <c r="F1488" s="507" t="s">
        <v>4242</v>
      </c>
      <c r="G1488" s="507" t="s">
        <v>1058</v>
      </c>
      <c r="H1488" s="507" t="s">
        <v>2601</v>
      </c>
      <c r="I1488" s="507"/>
      <c r="J1488" s="506" t="s">
        <v>3960</v>
      </c>
      <c r="K1488" s="527" t="s">
        <v>315</v>
      </c>
      <c r="L1488" s="526" t="s">
        <v>315</v>
      </c>
      <c r="M1488" s="527" t="s">
        <v>315</v>
      </c>
      <c r="N1488" s="528" t="s">
        <v>315</v>
      </c>
      <c r="O1488" s="663"/>
      <c r="P1488" s="529"/>
      <c r="Q1488" s="531"/>
      <c r="R1488" s="530"/>
      <c r="S1488" s="530" t="s">
        <v>315</v>
      </c>
      <c r="T1488" s="667"/>
    </row>
    <row r="1489" spans="1:20" s="508" customFormat="1" ht="45" hidden="1">
      <c r="A1489" s="518"/>
      <c r="B1489" s="506"/>
      <c r="C1489" s="506" t="s">
        <v>1614</v>
      </c>
      <c r="D1489" s="507" t="s">
        <v>2602</v>
      </c>
      <c r="E1489" s="509" t="str">
        <f>IF('GPS Anthro Tool'!$B$4=1,"North America FMVSS","")</f>
        <v>North America FMVSS</v>
      </c>
      <c r="F1489" s="507" t="s">
        <v>4242</v>
      </c>
      <c r="G1489" s="507" t="s">
        <v>1058</v>
      </c>
      <c r="H1489" s="507" t="s">
        <v>2603</v>
      </c>
      <c r="I1489" s="507"/>
      <c r="J1489" s="506" t="s">
        <v>3960</v>
      </c>
      <c r="K1489" s="527" t="s">
        <v>315</v>
      </c>
      <c r="L1489" s="526" t="s">
        <v>315</v>
      </c>
      <c r="M1489" s="527" t="s">
        <v>315</v>
      </c>
      <c r="N1489" s="528" t="s">
        <v>315</v>
      </c>
      <c r="O1489" s="663"/>
      <c r="P1489" s="529"/>
      <c r="Q1489" s="531"/>
      <c r="R1489" s="530"/>
      <c r="S1489" s="530" t="s">
        <v>315</v>
      </c>
      <c r="T1489" s="667"/>
    </row>
    <row r="1490" spans="1:20" s="508" customFormat="1" ht="75" hidden="1">
      <c r="A1490" s="518"/>
      <c r="B1490" s="506"/>
      <c r="C1490" s="506" t="s">
        <v>1614</v>
      </c>
      <c r="D1490" s="507" t="s">
        <v>2604</v>
      </c>
      <c r="E1490" s="509" t="str">
        <f>IF('GPS Anthro Tool'!$B$4=1,"North America FMVSS","")</f>
        <v>North America FMVSS</v>
      </c>
      <c r="F1490" s="507" t="s">
        <v>4242</v>
      </c>
      <c r="G1490" s="507" t="s">
        <v>1058</v>
      </c>
      <c r="H1490" s="507" t="s">
        <v>2605</v>
      </c>
      <c r="I1490" s="507"/>
      <c r="J1490" s="506" t="s">
        <v>3960</v>
      </c>
      <c r="K1490" s="527" t="s">
        <v>315</v>
      </c>
      <c r="L1490" s="526" t="s">
        <v>315</v>
      </c>
      <c r="M1490" s="527" t="s">
        <v>315</v>
      </c>
      <c r="N1490" s="528" t="s">
        <v>315</v>
      </c>
      <c r="O1490" s="663"/>
      <c r="P1490" s="529"/>
      <c r="Q1490" s="531"/>
      <c r="R1490" s="530"/>
      <c r="S1490" s="530" t="s">
        <v>315</v>
      </c>
      <c r="T1490" s="667"/>
    </row>
    <row r="1491" spans="1:20" s="508" customFormat="1" ht="255" hidden="1">
      <c r="A1491" s="518"/>
      <c r="B1491" s="506"/>
      <c r="C1491" s="506" t="s">
        <v>1614</v>
      </c>
      <c r="D1491" s="507" t="s">
        <v>2606</v>
      </c>
      <c r="E1491" s="509" t="str">
        <f>IF('GPS Anthro Tool'!$B$4=1,"North America FMVSS","")</f>
        <v>North America FMVSS</v>
      </c>
      <c r="F1491" s="507" t="s">
        <v>4242</v>
      </c>
      <c r="G1491" s="507" t="s">
        <v>1058</v>
      </c>
      <c r="H1491" s="507" t="s">
        <v>2607</v>
      </c>
      <c r="I1491" s="507"/>
      <c r="J1491" s="506" t="s">
        <v>3960</v>
      </c>
      <c r="K1491" s="527" t="s">
        <v>315</v>
      </c>
      <c r="L1491" s="526" t="s">
        <v>315</v>
      </c>
      <c r="M1491" s="527" t="s">
        <v>315</v>
      </c>
      <c r="N1491" s="528" t="s">
        <v>315</v>
      </c>
      <c r="O1491" s="663"/>
      <c r="P1491" s="529"/>
      <c r="Q1491" s="531"/>
      <c r="R1491" s="530"/>
      <c r="S1491" s="530" t="s">
        <v>315</v>
      </c>
      <c r="T1491" s="667"/>
    </row>
    <row r="1492" spans="1:20" s="508" customFormat="1" ht="195" hidden="1">
      <c r="A1492" s="518"/>
      <c r="B1492" s="506"/>
      <c r="C1492" s="506" t="s">
        <v>1614</v>
      </c>
      <c r="D1492" s="507" t="s">
        <v>2608</v>
      </c>
      <c r="E1492" s="509" t="str">
        <f>IF('GPS Anthro Tool'!$B$4=1,"North America FMVSS","")</f>
        <v>North America FMVSS</v>
      </c>
      <c r="F1492" s="507" t="s">
        <v>4242</v>
      </c>
      <c r="G1492" s="507" t="s">
        <v>1058</v>
      </c>
      <c r="H1492" s="507" t="s">
        <v>2609</v>
      </c>
      <c r="I1492" s="507"/>
      <c r="J1492" s="506" t="s">
        <v>3960</v>
      </c>
      <c r="K1492" s="527" t="s">
        <v>315</v>
      </c>
      <c r="L1492" s="526" t="s">
        <v>315</v>
      </c>
      <c r="M1492" s="527" t="s">
        <v>315</v>
      </c>
      <c r="N1492" s="528" t="s">
        <v>315</v>
      </c>
      <c r="O1492" s="663"/>
      <c r="P1492" s="529"/>
      <c r="Q1492" s="531"/>
      <c r="R1492" s="530"/>
      <c r="S1492" s="530" t="s">
        <v>315</v>
      </c>
      <c r="T1492" s="667"/>
    </row>
    <row r="1493" spans="1:20" s="508" customFormat="1" ht="60" hidden="1">
      <c r="A1493" s="518"/>
      <c r="B1493" s="506"/>
      <c r="C1493" s="506" t="s">
        <v>1614</v>
      </c>
      <c r="D1493" s="507" t="s">
        <v>2610</v>
      </c>
      <c r="E1493" s="509" t="str">
        <f>IF('GPS Anthro Tool'!$B$4=1,"North America FMVSS","")</f>
        <v>North America FMVSS</v>
      </c>
      <c r="F1493" s="507" t="s">
        <v>4242</v>
      </c>
      <c r="G1493" s="507" t="s">
        <v>1058</v>
      </c>
      <c r="H1493" s="507" t="s">
        <v>2611</v>
      </c>
      <c r="I1493" s="507"/>
      <c r="J1493" s="506" t="s">
        <v>3960</v>
      </c>
      <c r="K1493" s="527" t="s">
        <v>315</v>
      </c>
      <c r="L1493" s="526" t="s">
        <v>315</v>
      </c>
      <c r="M1493" s="527" t="s">
        <v>315</v>
      </c>
      <c r="N1493" s="528" t="s">
        <v>315</v>
      </c>
      <c r="O1493" s="663"/>
      <c r="P1493" s="529"/>
      <c r="Q1493" s="531"/>
      <c r="R1493" s="530"/>
      <c r="S1493" s="530" t="s">
        <v>315</v>
      </c>
      <c r="T1493" s="667"/>
    </row>
    <row r="1494" spans="1:20" s="508" customFormat="1" ht="315" hidden="1">
      <c r="A1494" s="518"/>
      <c r="B1494" s="506"/>
      <c r="C1494" s="506" t="s">
        <v>1614</v>
      </c>
      <c r="D1494" s="507" t="s">
        <v>2612</v>
      </c>
      <c r="E1494" s="509" t="str">
        <f>IF('GPS Anthro Tool'!$B$4=1,"North America FMVSS","")</f>
        <v>North America FMVSS</v>
      </c>
      <c r="F1494" s="507" t="s">
        <v>4242</v>
      </c>
      <c r="G1494" s="507" t="s">
        <v>1058</v>
      </c>
      <c r="H1494" s="507" t="s">
        <v>2613</v>
      </c>
      <c r="I1494" s="507"/>
      <c r="J1494" s="506" t="s">
        <v>3960</v>
      </c>
      <c r="K1494" s="527" t="s">
        <v>315</v>
      </c>
      <c r="L1494" s="526" t="s">
        <v>315</v>
      </c>
      <c r="M1494" s="527" t="s">
        <v>315</v>
      </c>
      <c r="N1494" s="528" t="s">
        <v>315</v>
      </c>
      <c r="O1494" s="663"/>
      <c r="P1494" s="529"/>
      <c r="Q1494" s="531"/>
      <c r="R1494" s="530"/>
      <c r="S1494" s="530" t="s">
        <v>315</v>
      </c>
      <c r="T1494" s="667"/>
    </row>
    <row r="1495" spans="1:20" s="508" customFormat="1" ht="75" hidden="1">
      <c r="A1495" s="518"/>
      <c r="B1495" s="506"/>
      <c r="C1495" s="506" t="s">
        <v>1614</v>
      </c>
      <c r="D1495" s="507" t="s">
        <v>2614</v>
      </c>
      <c r="E1495" s="509" t="str">
        <f>IF('GPS Anthro Tool'!$B$4=1,"North America FMVSS","")</f>
        <v>North America FMVSS</v>
      </c>
      <c r="F1495" s="507" t="s">
        <v>4242</v>
      </c>
      <c r="G1495" s="507" t="s">
        <v>1058</v>
      </c>
      <c r="H1495" s="507" t="s">
        <v>2615</v>
      </c>
      <c r="I1495" s="507"/>
      <c r="J1495" s="506" t="s">
        <v>3960</v>
      </c>
      <c r="K1495" s="527" t="s">
        <v>315</v>
      </c>
      <c r="L1495" s="526" t="s">
        <v>315</v>
      </c>
      <c r="M1495" s="527" t="s">
        <v>315</v>
      </c>
      <c r="N1495" s="528" t="s">
        <v>315</v>
      </c>
      <c r="O1495" s="663"/>
      <c r="P1495" s="529"/>
      <c r="Q1495" s="531"/>
      <c r="R1495" s="530"/>
      <c r="S1495" s="530" t="s">
        <v>315</v>
      </c>
      <c r="T1495" s="667"/>
    </row>
    <row r="1496" spans="1:20" s="508" customFormat="1" ht="75" hidden="1">
      <c r="A1496" s="518"/>
      <c r="B1496" s="506"/>
      <c r="C1496" s="506" t="s">
        <v>1614</v>
      </c>
      <c r="D1496" s="507" t="s">
        <v>2616</v>
      </c>
      <c r="E1496" s="509" t="str">
        <f>IF('GPS Anthro Tool'!$B$4=1,"North America FMVSS","")</f>
        <v>North America FMVSS</v>
      </c>
      <c r="F1496" s="507" t="s">
        <v>4242</v>
      </c>
      <c r="G1496" s="507" t="s">
        <v>1058</v>
      </c>
      <c r="H1496" s="507" t="s">
        <v>2617</v>
      </c>
      <c r="I1496" s="507"/>
      <c r="J1496" s="506" t="s">
        <v>3960</v>
      </c>
      <c r="K1496" s="527" t="s">
        <v>315</v>
      </c>
      <c r="L1496" s="526" t="s">
        <v>315</v>
      </c>
      <c r="M1496" s="527" t="s">
        <v>315</v>
      </c>
      <c r="N1496" s="528" t="s">
        <v>315</v>
      </c>
      <c r="O1496" s="663"/>
      <c r="P1496" s="529"/>
      <c r="Q1496" s="531"/>
      <c r="R1496" s="530"/>
      <c r="S1496" s="530" t="s">
        <v>315</v>
      </c>
      <c r="T1496" s="667"/>
    </row>
    <row r="1497" spans="1:20" s="508" customFormat="1" ht="75" hidden="1">
      <c r="A1497" s="518"/>
      <c r="B1497" s="506"/>
      <c r="C1497" s="506" t="s">
        <v>1614</v>
      </c>
      <c r="D1497" s="507" t="s">
        <v>2618</v>
      </c>
      <c r="E1497" s="509" t="str">
        <f>IF('GPS Anthro Tool'!$B$4=1,"North America FMVSS","")</f>
        <v>North America FMVSS</v>
      </c>
      <c r="F1497" s="507" t="s">
        <v>4242</v>
      </c>
      <c r="G1497" s="507" t="s">
        <v>1058</v>
      </c>
      <c r="H1497" s="507" t="s">
        <v>2619</v>
      </c>
      <c r="I1497" s="507"/>
      <c r="J1497" s="506" t="s">
        <v>3960</v>
      </c>
      <c r="K1497" s="527" t="s">
        <v>315</v>
      </c>
      <c r="L1497" s="526" t="s">
        <v>315</v>
      </c>
      <c r="M1497" s="527" t="s">
        <v>315</v>
      </c>
      <c r="N1497" s="528" t="s">
        <v>315</v>
      </c>
      <c r="O1497" s="663"/>
      <c r="P1497" s="529"/>
      <c r="Q1497" s="531"/>
      <c r="R1497" s="530"/>
      <c r="S1497" s="530" t="s">
        <v>315</v>
      </c>
      <c r="T1497" s="667"/>
    </row>
    <row r="1498" spans="1:20" s="508" customFormat="1" ht="60" hidden="1">
      <c r="A1498" s="518"/>
      <c r="B1498" s="506"/>
      <c r="C1498" s="506" t="s">
        <v>1614</v>
      </c>
      <c r="D1498" s="507" t="s">
        <v>2620</v>
      </c>
      <c r="E1498" s="509" t="str">
        <f>IF('GPS Anthro Tool'!$B$4=1,"North America FMVSS","")</f>
        <v>North America FMVSS</v>
      </c>
      <c r="F1498" s="507" t="s">
        <v>4242</v>
      </c>
      <c r="G1498" s="507" t="s">
        <v>1058</v>
      </c>
      <c r="H1498" s="507" t="s">
        <v>2621</v>
      </c>
      <c r="I1498" s="507"/>
      <c r="J1498" s="506" t="s">
        <v>3960</v>
      </c>
      <c r="K1498" s="527" t="s">
        <v>315</v>
      </c>
      <c r="L1498" s="526" t="s">
        <v>315</v>
      </c>
      <c r="M1498" s="527" t="s">
        <v>315</v>
      </c>
      <c r="N1498" s="528" t="s">
        <v>315</v>
      </c>
      <c r="O1498" s="663"/>
      <c r="P1498" s="529"/>
      <c r="Q1498" s="531"/>
      <c r="R1498" s="530"/>
      <c r="S1498" s="530" t="s">
        <v>315</v>
      </c>
      <c r="T1498" s="667"/>
    </row>
    <row r="1499" spans="1:20" s="508" customFormat="1" ht="90" hidden="1">
      <c r="A1499" s="518"/>
      <c r="B1499" s="506"/>
      <c r="C1499" s="506" t="s">
        <v>1614</v>
      </c>
      <c r="D1499" s="507" t="s">
        <v>2622</v>
      </c>
      <c r="E1499" s="509" t="str">
        <f>IF('GPS Anthro Tool'!$B$4=1,"North America FMVSS","")</f>
        <v>North America FMVSS</v>
      </c>
      <c r="F1499" s="507" t="s">
        <v>4242</v>
      </c>
      <c r="G1499" s="507" t="s">
        <v>1058</v>
      </c>
      <c r="H1499" s="507" t="s">
        <v>2623</v>
      </c>
      <c r="I1499" s="507"/>
      <c r="J1499" s="506" t="s">
        <v>3960</v>
      </c>
      <c r="K1499" s="527" t="s">
        <v>315</v>
      </c>
      <c r="L1499" s="526" t="s">
        <v>315</v>
      </c>
      <c r="M1499" s="527" t="s">
        <v>315</v>
      </c>
      <c r="N1499" s="528" t="s">
        <v>315</v>
      </c>
      <c r="O1499" s="663"/>
      <c r="P1499" s="529"/>
      <c r="Q1499" s="531"/>
      <c r="R1499" s="530"/>
      <c r="S1499" s="530" t="s">
        <v>315</v>
      </c>
      <c r="T1499" s="667"/>
    </row>
    <row r="1500" spans="1:20" s="508" customFormat="1" ht="45" hidden="1">
      <c r="A1500" s="518"/>
      <c r="B1500" s="506"/>
      <c r="C1500" s="506" t="s">
        <v>1614</v>
      </c>
      <c r="D1500" s="507" t="s">
        <v>2624</v>
      </c>
      <c r="E1500" s="509" t="str">
        <f>IF('GPS Anthro Tool'!$B$4=1,"North America FMVSS","")</f>
        <v>North America FMVSS</v>
      </c>
      <c r="F1500" s="507" t="s">
        <v>4242</v>
      </c>
      <c r="G1500" s="507" t="s">
        <v>1058</v>
      </c>
      <c r="H1500" s="507" t="s">
        <v>2625</v>
      </c>
      <c r="I1500" s="507"/>
      <c r="J1500" s="506" t="s">
        <v>3960</v>
      </c>
      <c r="K1500" s="527" t="s">
        <v>315</v>
      </c>
      <c r="L1500" s="526" t="s">
        <v>315</v>
      </c>
      <c r="M1500" s="527" t="s">
        <v>315</v>
      </c>
      <c r="N1500" s="528" t="s">
        <v>315</v>
      </c>
      <c r="O1500" s="663"/>
      <c r="P1500" s="529"/>
      <c r="Q1500" s="531"/>
      <c r="R1500" s="530"/>
      <c r="S1500" s="530" t="s">
        <v>315</v>
      </c>
      <c r="T1500" s="667"/>
    </row>
    <row r="1501" spans="1:20" s="508" customFormat="1" ht="90" hidden="1">
      <c r="A1501" s="518"/>
      <c r="B1501" s="506"/>
      <c r="C1501" s="506" t="s">
        <v>1614</v>
      </c>
      <c r="D1501" s="507" t="s">
        <v>2626</v>
      </c>
      <c r="E1501" s="509" t="str">
        <f>IF('GPS Anthro Tool'!$B$4=1,"North America FMVSS","")</f>
        <v>North America FMVSS</v>
      </c>
      <c r="F1501" s="507" t="s">
        <v>4242</v>
      </c>
      <c r="G1501" s="507" t="s">
        <v>1058</v>
      </c>
      <c r="H1501" s="507" t="s">
        <v>2627</v>
      </c>
      <c r="I1501" s="507"/>
      <c r="J1501" s="506" t="s">
        <v>3960</v>
      </c>
      <c r="K1501" s="527" t="s">
        <v>315</v>
      </c>
      <c r="L1501" s="526" t="s">
        <v>315</v>
      </c>
      <c r="M1501" s="527" t="s">
        <v>315</v>
      </c>
      <c r="N1501" s="528" t="s">
        <v>315</v>
      </c>
      <c r="O1501" s="663"/>
      <c r="P1501" s="529"/>
      <c r="Q1501" s="531"/>
      <c r="R1501" s="530"/>
      <c r="S1501" s="530" t="s">
        <v>315</v>
      </c>
      <c r="T1501" s="667"/>
    </row>
    <row r="1502" spans="1:20" s="508" customFormat="1" ht="180" hidden="1">
      <c r="A1502" s="518"/>
      <c r="B1502" s="506"/>
      <c r="C1502" s="506" t="s">
        <v>1614</v>
      </c>
      <c r="D1502" s="507" t="s">
        <v>2628</v>
      </c>
      <c r="E1502" s="509" t="str">
        <f>IF('GPS Anthro Tool'!$B$4=1,"North America FMVSS","")</f>
        <v>North America FMVSS</v>
      </c>
      <c r="F1502" s="507" t="s">
        <v>4242</v>
      </c>
      <c r="G1502" s="507" t="s">
        <v>1058</v>
      </c>
      <c r="H1502" s="507" t="s">
        <v>2629</v>
      </c>
      <c r="I1502" s="507"/>
      <c r="J1502" s="506" t="s">
        <v>3960</v>
      </c>
      <c r="K1502" s="527" t="s">
        <v>315</v>
      </c>
      <c r="L1502" s="526" t="s">
        <v>315</v>
      </c>
      <c r="M1502" s="527" t="s">
        <v>315</v>
      </c>
      <c r="N1502" s="528" t="s">
        <v>315</v>
      </c>
      <c r="O1502" s="663"/>
      <c r="P1502" s="529"/>
      <c r="Q1502" s="531"/>
      <c r="R1502" s="530"/>
      <c r="S1502" s="530" t="s">
        <v>315</v>
      </c>
      <c r="T1502" s="667"/>
    </row>
    <row r="1503" spans="1:20" s="508" customFormat="1" ht="210" hidden="1">
      <c r="A1503" s="518"/>
      <c r="B1503" s="506"/>
      <c r="C1503" s="506" t="s">
        <v>1614</v>
      </c>
      <c r="D1503" s="507" t="s">
        <v>2630</v>
      </c>
      <c r="E1503" s="509" t="str">
        <f>IF('GPS Anthro Tool'!$B$4=1,"North America FMVSS","")</f>
        <v>North America FMVSS</v>
      </c>
      <c r="F1503" s="507" t="s">
        <v>4242</v>
      </c>
      <c r="G1503" s="507" t="s">
        <v>1058</v>
      </c>
      <c r="H1503" s="507" t="s">
        <v>2631</v>
      </c>
      <c r="I1503" s="507"/>
      <c r="J1503" s="506" t="s">
        <v>3960</v>
      </c>
      <c r="K1503" s="527" t="s">
        <v>315</v>
      </c>
      <c r="L1503" s="526" t="s">
        <v>315</v>
      </c>
      <c r="M1503" s="527" t="s">
        <v>315</v>
      </c>
      <c r="N1503" s="528" t="s">
        <v>315</v>
      </c>
      <c r="O1503" s="663"/>
      <c r="P1503" s="529"/>
      <c r="Q1503" s="531"/>
      <c r="R1503" s="530"/>
      <c r="S1503" s="530" t="s">
        <v>315</v>
      </c>
      <c r="T1503" s="667"/>
    </row>
    <row r="1504" spans="1:20" s="508" customFormat="1" ht="195" hidden="1">
      <c r="A1504" s="518"/>
      <c r="B1504" s="506"/>
      <c r="C1504" s="506" t="s">
        <v>1614</v>
      </c>
      <c r="D1504" s="507" t="s">
        <v>2632</v>
      </c>
      <c r="E1504" s="509" t="str">
        <f>IF('GPS Anthro Tool'!$B$4=1,"North America FMVSS","")</f>
        <v>North America FMVSS</v>
      </c>
      <c r="F1504" s="507" t="s">
        <v>4242</v>
      </c>
      <c r="G1504" s="507" t="s">
        <v>1058</v>
      </c>
      <c r="H1504" s="507" t="s">
        <v>2633</v>
      </c>
      <c r="I1504" s="507"/>
      <c r="J1504" s="506" t="s">
        <v>3960</v>
      </c>
      <c r="K1504" s="527" t="s">
        <v>315</v>
      </c>
      <c r="L1504" s="526" t="s">
        <v>315</v>
      </c>
      <c r="M1504" s="527" t="s">
        <v>315</v>
      </c>
      <c r="N1504" s="528" t="s">
        <v>315</v>
      </c>
      <c r="O1504" s="663"/>
      <c r="P1504" s="529"/>
      <c r="Q1504" s="531"/>
      <c r="R1504" s="530"/>
      <c r="S1504" s="530" t="s">
        <v>315</v>
      </c>
      <c r="T1504" s="667"/>
    </row>
    <row r="1505" spans="1:20" s="508" customFormat="1" ht="135" hidden="1">
      <c r="A1505" s="518"/>
      <c r="B1505" s="506"/>
      <c r="C1505" s="506" t="s">
        <v>1614</v>
      </c>
      <c r="D1505" s="507" t="s">
        <v>2634</v>
      </c>
      <c r="E1505" s="509" t="str">
        <f>IF('GPS Anthro Tool'!$B$4=1,"North America FMVSS","")</f>
        <v>North America FMVSS</v>
      </c>
      <c r="F1505" s="507" t="s">
        <v>4242</v>
      </c>
      <c r="G1505" s="507" t="s">
        <v>1058</v>
      </c>
      <c r="H1505" s="507" t="s">
        <v>2635</v>
      </c>
      <c r="I1505" s="507"/>
      <c r="J1505" s="506" t="s">
        <v>3960</v>
      </c>
      <c r="K1505" s="527" t="s">
        <v>315</v>
      </c>
      <c r="L1505" s="526" t="s">
        <v>315</v>
      </c>
      <c r="M1505" s="527" t="s">
        <v>315</v>
      </c>
      <c r="N1505" s="528" t="s">
        <v>315</v>
      </c>
      <c r="O1505" s="663"/>
      <c r="P1505" s="529"/>
      <c r="Q1505" s="531"/>
      <c r="R1505" s="530"/>
      <c r="S1505" s="530" t="s">
        <v>315</v>
      </c>
      <c r="T1505" s="667"/>
    </row>
    <row r="1506" spans="1:20" s="508" customFormat="1" ht="165" hidden="1">
      <c r="A1506" s="518"/>
      <c r="B1506" s="506"/>
      <c r="C1506" s="506" t="s">
        <v>1614</v>
      </c>
      <c r="D1506" s="507" t="s">
        <v>2636</v>
      </c>
      <c r="E1506" s="509" t="str">
        <f>IF('GPS Anthro Tool'!$B$4=1,"North America FMVSS","")</f>
        <v>North America FMVSS</v>
      </c>
      <c r="F1506" s="507" t="s">
        <v>4242</v>
      </c>
      <c r="G1506" s="507" t="s">
        <v>1058</v>
      </c>
      <c r="H1506" s="507" t="s">
        <v>2637</v>
      </c>
      <c r="I1506" s="507"/>
      <c r="J1506" s="506" t="s">
        <v>3960</v>
      </c>
      <c r="K1506" s="527" t="s">
        <v>315</v>
      </c>
      <c r="L1506" s="526" t="s">
        <v>315</v>
      </c>
      <c r="M1506" s="527" t="s">
        <v>315</v>
      </c>
      <c r="N1506" s="528" t="s">
        <v>315</v>
      </c>
      <c r="O1506" s="663"/>
      <c r="P1506" s="529"/>
      <c r="Q1506" s="531"/>
      <c r="R1506" s="530"/>
      <c r="S1506" s="530" t="s">
        <v>315</v>
      </c>
      <c r="T1506" s="667"/>
    </row>
    <row r="1507" spans="1:20" s="508" customFormat="1" ht="45" hidden="1">
      <c r="A1507" s="518"/>
      <c r="B1507" s="506"/>
      <c r="C1507" s="506" t="s">
        <v>2638</v>
      </c>
      <c r="D1507" s="507" t="s">
        <v>2639</v>
      </c>
      <c r="E1507" s="509" t="str">
        <f>IF('GPS Anthro Tool'!$B$4=1,"North America FMVSS","")</f>
        <v>North America FMVSS</v>
      </c>
      <c r="F1507" s="507" t="s">
        <v>4242</v>
      </c>
      <c r="G1507" s="507" t="s">
        <v>1058</v>
      </c>
      <c r="H1507" s="507" t="s">
        <v>2640</v>
      </c>
      <c r="I1507" s="507"/>
      <c r="J1507" s="506" t="s">
        <v>3960</v>
      </c>
      <c r="K1507" s="527" t="s">
        <v>315</v>
      </c>
      <c r="L1507" s="526" t="s">
        <v>315</v>
      </c>
      <c r="M1507" s="527" t="s">
        <v>315</v>
      </c>
      <c r="N1507" s="528" t="s">
        <v>315</v>
      </c>
      <c r="O1507" s="663"/>
      <c r="P1507" s="529"/>
      <c r="Q1507" s="531"/>
      <c r="R1507" s="530"/>
      <c r="S1507" s="530" t="s">
        <v>315</v>
      </c>
      <c r="T1507" s="667"/>
    </row>
    <row r="1508" spans="1:20" s="508" customFormat="1" ht="30" hidden="1">
      <c r="A1508" s="518"/>
      <c r="B1508" s="506"/>
      <c r="C1508" s="506" t="s">
        <v>2638</v>
      </c>
      <c r="D1508" s="507" t="s">
        <v>2641</v>
      </c>
      <c r="E1508" s="509" t="str">
        <f>IF('GPS Anthro Tool'!$B$4=1,"North America FMVSS","")</f>
        <v>North America FMVSS</v>
      </c>
      <c r="F1508" s="507" t="s">
        <v>4242</v>
      </c>
      <c r="G1508" s="507" t="s">
        <v>1058</v>
      </c>
      <c r="H1508" s="507" t="s">
        <v>2642</v>
      </c>
      <c r="I1508" s="507"/>
      <c r="J1508" s="506" t="s">
        <v>3960</v>
      </c>
      <c r="K1508" s="527" t="s">
        <v>315</v>
      </c>
      <c r="L1508" s="526" t="s">
        <v>315</v>
      </c>
      <c r="M1508" s="527" t="s">
        <v>315</v>
      </c>
      <c r="N1508" s="528" t="s">
        <v>315</v>
      </c>
      <c r="O1508" s="663"/>
      <c r="P1508" s="529"/>
      <c r="Q1508" s="531"/>
      <c r="R1508" s="530"/>
      <c r="S1508" s="530" t="s">
        <v>315</v>
      </c>
      <c r="T1508" s="667"/>
    </row>
    <row r="1509" spans="1:20" ht="105" hidden="1">
      <c r="A1509" s="518"/>
      <c r="B1509" s="506"/>
      <c r="C1509" s="506" t="s">
        <v>2638</v>
      </c>
      <c r="D1509" s="507" t="s">
        <v>2643</v>
      </c>
      <c r="E1509" s="509" t="str">
        <f>IF('GPS Anthro Tool'!$B$4=1,"North America FMVSS","")</f>
        <v>North America FMVSS</v>
      </c>
      <c r="F1509" s="507" t="s">
        <v>4242</v>
      </c>
      <c r="G1509" s="507" t="s">
        <v>1058</v>
      </c>
      <c r="H1509" s="507" t="s">
        <v>2644</v>
      </c>
      <c r="I1509" s="507"/>
      <c r="J1509" s="506" t="s">
        <v>3960</v>
      </c>
      <c r="K1509" s="519" t="s">
        <v>315</v>
      </c>
      <c r="L1509" s="526" t="s">
        <v>315</v>
      </c>
      <c r="M1509" s="527" t="s">
        <v>315</v>
      </c>
      <c r="N1509" s="528" t="s">
        <v>315</v>
      </c>
      <c r="O1509" s="663"/>
      <c r="P1509" s="529"/>
      <c r="Q1509" s="531"/>
      <c r="R1509" s="530"/>
      <c r="S1509" s="530" t="s">
        <v>315</v>
      </c>
      <c r="T1509" s="667"/>
    </row>
    <row r="1510" spans="1:20" ht="30" hidden="1">
      <c r="A1510" s="518"/>
      <c r="B1510" s="506"/>
      <c r="C1510" s="506" t="s">
        <v>2638</v>
      </c>
      <c r="D1510" s="507" t="s">
        <v>2645</v>
      </c>
      <c r="E1510" s="509" t="str">
        <f>IF('GPS Anthro Tool'!$B$4=1,"North America FMVSS","")</f>
        <v>North America FMVSS</v>
      </c>
      <c r="F1510" s="507" t="s">
        <v>4242</v>
      </c>
      <c r="G1510" s="507" t="s">
        <v>1058</v>
      </c>
      <c r="H1510" s="507" t="s">
        <v>2646</v>
      </c>
      <c r="I1510" s="507"/>
      <c r="J1510" s="506" t="s">
        <v>3960</v>
      </c>
      <c r="K1510" s="519" t="s">
        <v>315</v>
      </c>
      <c r="L1510" s="526" t="s">
        <v>315</v>
      </c>
      <c r="M1510" s="527" t="s">
        <v>315</v>
      </c>
      <c r="N1510" s="528" t="s">
        <v>315</v>
      </c>
      <c r="O1510" s="663"/>
      <c r="P1510" s="529"/>
      <c r="Q1510" s="531"/>
      <c r="R1510" s="530"/>
      <c r="S1510" s="530" t="s">
        <v>315</v>
      </c>
      <c r="T1510" s="667"/>
    </row>
    <row r="1511" spans="1:20" ht="30" hidden="1">
      <c r="A1511" s="518"/>
      <c r="B1511" s="506"/>
      <c r="C1511" s="506" t="s">
        <v>2638</v>
      </c>
      <c r="D1511" s="507" t="s">
        <v>2647</v>
      </c>
      <c r="E1511" s="509" t="str">
        <f>IF('GPS Anthro Tool'!$B$4=1,"North America FMVSS","")</f>
        <v>North America FMVSS</v>
      </c>
      <c r="F1511" s="507" t="s">
        <v>4242</v>
      </c>
      <c r="G1511" s="507" t="s">
        <v>1058</v>
      </c>
      <c r="H1511" s="507" t="s">
        <v>2648</v>
      </c>
      <c r="I1511" s="507"/>
      <c r="J1511" s="506" t="s">
        <v>3960</v>
      </c>
      <c r="K1511" s="519" t="s">
        <v>315</v>
      </c>
      <c r="L1511" s="526" t="s">
        <v>315</v>
      </c>
      <c r="M1511" s="527" t="s">
        <v>315</v>
      </c>
      <c r="N1511" s="528" t="s">
        <v>315</v>
      </c>
      <c r="O1511" s="663"/>
      <c r="P1511" s="529"/>
      <c r="Q1511" s="531"/>
      <c r="R1511" s="530"/>
      <c r="S1511" s="530" t="s">
        <v>315</v>
      </c>
      <c r="T1511" s="667"/>
    </row>
    <row r="1512" spans="1:20" ht="30" hidden="1">
      <c r="A1512" s="518"/>
      <c r="B1512" s="506"/>
      <c r="C1512" s="506" t="s">
        <v>2638</v>
      </c>
      <c r="D1512" s="507" t="s">
        <v>2649</v>
      </c>
      <c r="E1512" s="509" t="str">
        <f>IF('GPS Anthro Tool'!$B$4=1,"North America FMVSS","")</f>
        <v>North America FMVSS</v>
      </c>
      <c r="F1512" s="507" t="s">
        <v>4242</v>
      </c>
      <c r="G1512" s="507" t="s">
        <v>1058</v>
      </c>
      <c r="H1512" s="507" t="s">
        <v>2650</v>
      </c>
      <c r="I1512" s="507"/>
      <c r="J1512" s="506" t="s">
        <v>3960</v>
      </c>
      <c r="K1512" s="519" t="s">
        <v>315</v>
      </c>
      <c r="L1512" s="526" t="s">
        <v>315</v>
      </c>
      <c r="M1512" s="527" t="s">
        <v>315</v>
      </c>
      <c r="N1512" s="528" t="s">
        <v>315</v>
      </c>
      <c r="O1512" s="663"/>
      <c r="P1512" s="529"/>
      <c r="Q1512" s="531"/>
      <c r="R1512" s="530"/>
      <c r="S1512" s="530" t="s">
        <v>315</v>
      </c>
      <c r="T1512" s="667"/>
    </row>
    <row r="1513" spans="1:20" ht="30" hidden="1">
      <c r="A1513" s="518"/>
      <c r="B1513" s="506"/>
      <c r="C1513" s="506" t="s">
        <v>2638</v>
      </c>
      <c r="D1513" s="507" t="s">
        <v>2651</v>
      </c>
      <c r="E1513" s="509" t="str">
        <f>IF('GPS Anthro Tool'!$B$4=1,"North America FMVSS","")</f>
        <v>North America FMVSS</v>
      </c>
      <c r="F1513" s="507" t="s">
        <v>4242</v>
      </c>
      <c r="G1513" s="507" t="s">
        <v>1058</v>
      </c>
      <c r="H1513" s="507" t="s">
        <v>2652</v>
      </c>
      <c r="I1513" s="507"/>
      <c r="J1513" s="506" t="s">
        <v>3960</v>
      </c>
      <c r="K1513" s="519" t="s">
        <v>315</v>
      </c>
      <c r="L1513" s="526" t="s">
        <v>315</v>
      </c>
      <c r="M1513" s="527" t="s">
        <v>315</v>
      </c>
      <c r="N1513" s="528" t="s">
        <v>315</v>
      </c>
      <c r="O1513" s="663"/>
      <c r="P1513" s="529"/>
      <c r="Q1513" s="531"/>
      <c r="R1513" s="530"/>
      <c r="S1513" s="530" t="s">
        <v>315</v>
      </c>
      <c r="T1513" s="667"/>
    </row>
    <row r="1514" spans="1:20" ht="240" hidden="1">
      <c r="A1514" s="518"/>
      <c r="B1514" s="506"/>
      <c r="C1514" s="506" t="s">
        <v>2638</v>
      </c>
      <c r="D1514" s="507" t="s">
        <v>2653</v>
      </c>
      <c r="E1514" s="509" t="str">
        <f>IF('GPS Anthro Tool'!$B$4=1,"North America FMVSS","")</f>
        <v>North America FMVSS</v>
      </c>
      <c r="F1514" s="507" t="s">
        <v>4242</v>
      </c>
      <c r="G1514" s="507" t="s">
        <v>1058</v>
      </c>
      <c r="H1514" s="507" t="s">
        <v>2654</v>
      </c>
      <c r="I1514" s="507"/>
      <c r="J1514" s="506" t="s">
        <v>3960</v>
      </c>
      <c r="K1514" s="519" t="s">
        <v>315</v>
      </c>
      <c r="L1514" s="526" t="s">
        <v>315</v>
      </c>
      <c r="M1514" s="527" t="s">
        <v>315</v>
      </c>
      <c r="N1514" s="528" t="s">
        <v>315</v>
      </c>
      <c r="O1514" s="663"/>
      <c r="P1514" s="529"/>
      <c r="Q1514" s="531"/>
      <c r="R1514" s="530"/>
      <c r="S1514" s="530" t="s">
        <v>315</v>
      </c>
      <c r="T1514" s="667"/>
    </row>
    <row r="1515" spans="1:20" ht="105" hidden="1">
      <c r="A1515" s="518"/>
      <c r="B1515" s="506"/>
      <c r="C1515" s="506" t="s">
        <v>2638</v>
      </c>
      <c r="D1515" s="507" t="s">
        <v>2655</v>
      </c>
      <c r="E1515" s="509" t="str">
        <f>IF('GPS Anthro Tool'!$B$4=1,"North America FMVSS","")</f>
        <v>North America FMVSS</v>
      </c>
      <c r="F1515" s="507" t="s">
        <v>4242</v>
      </c>
      <c r="G1515" s="507" t="s">
        <v>1058</v>
      </c>
      <c r="H1515" s="507" t="s">
        <v>2656</v>
      </c>
      <c r="I1515" s="507"/>
      <c r="J1515" s="506" t="s">
        <v>3960</v>
      </c>
      <c r="K1515" s="519" t="s">
        <v>315</v>
      </c>
      <c r="L1515" s="526" t="s">
        <v>315</v>
      </c>
      <c r="M1515" s="527" t="s">
        <v>315</v>
      </c>
      <c r="N1515" s="528" t="s">
        <v>315</v>
      </c>
      <c r="O1515" s="663"/>
      <c r="P1515" s="529"/>
      <c r="Q1515" s="531"/>
      <c r="R1515" s="530"/>
      <c r="S1515" s="530" t="s">
        <v>315</v>
      </c>
      <c r="T1515" s="667"/>
    </row>
    <row r="1516" spans="1:20" ht="30" hidden="1">
      <c r="A1516" s="518"/>
      <c r="B1516" s="506"/>
      <c r="C1516" s="506" t="s">
        <v>2638</v>
      </c>
      <c r="D1516" s="507" t="s">
        <v>2657</v>
      </c>
      <c r="E1516" s="509" t="str">
        <f>IF('GPS Anthro Tool'!$B$4=1,"North America FMVSS","")</f>
        <v>North America FMVSS</v>
      </c>
      <c r="F1516" s="507" t="s">
        <v>4242</v>
      </c>
      <c r="G1516" s="507" t="s">
        <v>1058</v>
      </c>
      <c r="H1516" s="506" t="s">
        <v>2658</v>
      </c>
      <c r="I1516" s="506"/>
      <c r="J1516" s="506" t="s">
        <v>3960</v>
      </c>
      <c r="K1516" s="519" t="s">
        <v>315</v>
      </c>
      <c r="L1516" s="526" t="s">
        <v>315</v>
      </c>
      <c r="M1516" s="527" t="s">
        <v>315</v>
      </c>
      <c r="N1516" s="528" t="s">
        <v>315</v>
      </c>
      <c r="O1516" s="663"/>
      <c r="P1516" s="529"/>
      <c r="Q1516" s="531"/>
      <c r="R1516" s="530"/>
      <c r="S1516" s="530" t="s">
        <v>315</v>
      </c>
      <c r="T1516" s="667"/>
    </row>
    <row r="1517" spans="1:20" ht="45" hidden="1">
      <c r="A1517" s="518"/>
      <c r="B1517" s="506"/>
      <c r="C1517" s="506" t="s">
        <v>2638</v>
      </c>
      <c r="D1517" s="507" t="s">
        <v>2659</v>
      </c>
      <c r="E1517" s="509" t="str">
        <f>IF('GPS Anthro Tool'!$B$4=1,"North America FMVSS","")</f>
        <v>North America FMVSS</v>
      </c>
      <c r="F1517" s="507" t="s">
        <v>4242</v>
      </c>
      <c r="G1517" s="507" t="s">
        <v>1058</v>
      </c>
      <c r="H1517" s="507" t="s">
        <v>2660</v>
      </c>
      <c r="I1517" s="507"/>
      <c r="J1517" s="506" t="s">
        <v>3960</v>
      </c>
      <c r="K1517" s="519" t="s">
        <v>315</v>
      </c>
      <c r="L1517" s="526" t="s">
        <v>315</v>
      </c>
      <c r="M1517" s="527" t="s">
        <v>315</v>
      </c>
      <c r="N1517" s="528" t="s">
        <v>315</v>
      </c>
      <c r="O1517" s="663"/>
      <c r="P1517" s="529"/>
      <c r="Q1517" s="531"/>
      <c r="R1517" s="530"/>
      <c r="S1517" s="530" t="s">
        <v>315</v>
      </c>
      <c r="T1517" s="667"/>
    </row>
    <row r="1518" spans="1:20" ht="30" hidden="1">
      <c r="A1518" s="518"/>
      <c r="B1518" s="506"/>
      <c r="C1518" s="506" t="s">
        <v>2638</v>
      </c>
      <c r="D1518" s="507" t="s">
        <v>2661</v>
      </c>
      <c r="E1518" s="509" t="str">
        <f>IF('GPS Anthro Tool'!$B$4=1,"North America FMVSS","")</f>
        <v>North America FMVSS</v>
      </c>
      <c r="F1518" s="507" t="s">
        <v>4242</v>
      </c>
      <c r="G1518" s="507" t="s">
        <v>1058</v>
      </c>
      <c r="H1518" s="507" t="s">
        <v>2662</v>
      </c>
      <c r="I1518" s="507"/>
      <c r="J1518" s="506" t="s">
        <v>3960</v>
      </c>
      <c r="K1518" s="519" t="s">
        <v>315</v>
      </c>
      <c r="L1518" s="526" t="s">
        <v>315</v>
      </c>
      <c r="M1518" s="527" t="s">
        <v>315</v>
      </c>
      <c r="N1518" s="528" t="s">
        <v>315</v>
      </c>
      <c r="O1518" s="663"/>
      <c r="P1518" s="529"/>
      <c r="Q1518" s="531"/>
      <c r="R1518" s="530"/>
      <c r="S1518" s="530" t="s">
        <v>315</v>
      </c>
      <c r="T1518" s="667"/>
    </row>
    <row r="1519" spans="1:20" ht="45" hidden="1">
      <c r="A1519" s="518"/>
      <c r="B1519" s="506"/>
      <c r="C1519" s="506" t="s">
        <v>2638</v>
      </c>
      <c r="D1519" s="507" t="s">
        <v>2663</v>
      </c>
      <c r="E1519" s="509" t="str">
        <f>IF('GPS Anthro Tool'!$B$4=1,"North America FMVSS","")</f>
        <v>North America FMVSS</v>
      </c>
      <c r="F1519" s="507" t="s">
        <v>4242</v>
      </c>
      <c r="G1519" s="507" t="s">
        <v>1058</v>
      </c>
      <c r="H1519" s="507" t="s">
        <v>2664</v>
      </c>
      <c r="I1519" s="507"/>
      <c r="J1519" s="506" t="s">
        <v>3960</v>
      </c>
      <c r="K1519" s="519" t="s">
        <v>315</v>
      </c>
      <c r="L1519" s="526" t="s">
        <v>315</v>
      </c>
      <c r="M1519" s="527" t="s">
        <v>315</v>
      </c>
      <c r="N1519" s="528" t="s">
        <v>315</v>
      </c>
      <c r="O1519" s="663"/>
      <c r="P1519" s="529"/>
      <c r="Q1519" s="531"/>
      <c r="R1519" s="530"/>
      <c r="S1519" s="530" t="s">
        <v>315</v>
      </c>
      <c r="T1519" s="667"/>
    </row>
    <row r="1520" spans="1:20" ht="75" hidden="1">
      <c r="A1520" s="518"/>
      <c r="B1520" s="506"/>
      <c r="C1520" s="506" t="s">
        <v>2638</v>
      </c>
      <c r="D1520" s="507" t="s">
        <v>2665</v>
      </c>
      <c r="E1520" s="509" t="str">
        <f>IF('GPS Anthro Tool'!$B$4=1,"North America FMVSS","")</f>
        <v>North America FMVSS</v>
      </c>
      <c r="F1520" s="507" t="s">
        <v>4242</v>
      </c>
      <c r="G1520" s="507" t="s">
        <v>1058</v>
      </c>
      <c r="H1520" s="507" t="s">
        <v>2666</v>
      </c>
      <c r="I1520" s="507"/>
      <c r="J1520" s="506" t="s">
        <v>3960</v>
      </c>
      <c r="K1520" s="519" t="s">
        <v>315</v>
      </c>
      <c r="L1520" s="526" t="s">
        <v>315</v>
      </c>
      <c r="M1520" s="527" t="s">
        <v>315</v>
      </c>
      <c r="N1520" s="528" t="s">
        <v>315</v>
      </c>
      <c r="O1520" s="663"/>
      <c r="P1520" s="529"/>
      <c r="Q1520" s="531"/>
      <c r="R1520" s="530"/>
      <c r="S1520" s="530" t="s">
        <v>315</v>
      </c>
      <c r="T1520" s="667"/>
    </row>
    <row r="1521" spans="1:20" ht="90" hidden="1">
      <c r="A1521" s="518"/>
      <c r="B1521" s="506"/>
      <c r="C1521" s="506" t="s">
        <v>2638</v>
      </c>
      <c r="D1521" s="507" t="s">
        <v>2667</v>
      </c>
      <c r="E1521" s="509" t="str">
        <f>IF('GPS Anthro Tool'!$B$4=1,"North America FMVSS","")</f>
        <v>North America FMVSS</v>
      </c>
      <c r="F1521" s="507" t="s">
        <v>4242</v>
      </c>
      <c r="G1521" s="507" t="s">
        <v>1058</v>
      </c>
      <c r="H1521" s="507" t="s">
        <v>2668</v>
      </c>
      <c r="I1521" s="507"/>
      <c r="J1521" s="506" t="s">
        <v>3960</v>
      </c>
      <c r="K1521" s="519" t="s">
        <v>315</v>
      </c>
      <c r="L1521" s="526" t="s">
        <v>315</v>
      </c>
      <c r="M1521" s="527" t="s">
        <v>315</v>
      </c>
      <c r="N1521" s="528" t="s">
        <v>315</v>
      </c>
      <c r="O1521" s="663"/>
      <c r="P1521" s="529"/>
      <c r="Q1521" s="531"/>
      <c r="R1521" s="530"/>
      <c r="S1521" s="530" t="s">
        <v>315</v>
      </c>
      <c r="T1521" s="667"/>
    </row>
    <row r="1522" spans="1:20" ht="135" hidden="1">
      <c r="A1522" s="518"/>
      <c r="B1522" s="506"/>
      <c r="C1522" s="506" t="s">
        <v>2638</v>
      </c>
      <c r="D1522" s="507" t="s">
        <v>2669</v>
      </c>
      <c r="E1522" s="509" t="str">
        <f>IF('GPS Anthro Tool'!$B$4=1,"North America FMVSS","")</f>
        <v>North America FMVSS</v>
      </c>
      <c r="F1522" s="507" t="s">
        <v>4242</v>
      </c>
      <c r="G1522" s="507" t="s">
        <v>1058</v>
      </c>
      <c r="H1522" s="507" t="s">
        <v>2670</v>
      </c>
      <c r="I1522" s="507"/>
      <c r="J1522" s="506" t="s">
        <v>3960</v>
      </c>
      <c r="K1522" s="519" t="s">
        <v>315</v>
      </c>
      <c r="L1522" s="526" t="s">
        <v>315</v>
      </c>
      <c r="M1522" s="527" t="s">
        <v>315</v>
      </c>
      <c r="N1522" s="528" t="s">
        <v>315</v>
      </c>
      <c r="O1522" s="663"/>
      <c r="P1522" s="529"/>
      <c r="Q1522" s="531"/>
      <c r="R1522" s="530"/>
      <c r="S1522" s="530" t="s">
        <v>315</v>
      </c>
      <c r="T1522" s="667"/>
    </row>
    <row r="1523" spans="1:20" ht="75" hidden="1">
      <c r="A1523" s="518"/>
      <c r="B1523" s="506"/>
      <c r="C1523" s="506" t="s">
        <v>2638</v>
      </c>
      <c r="D1523" s="507" t="s">
        <v>2671</v>
      </c>
      <c r="E1523" s="509" t="str">
        <f>IF('GPS Anthro Tool'!$B$4=1,"North America FMVSS","")</f>
        <v>North America FMVSS</v>
      </c>
      <c r="F1523" s="507" t="s">
        <v>4242</v>
      </c>
      <c r="G1523" s="507" t="s">
        <v>1058</v>
      </c>
      <c r="H1523" s="507" t="s">
        <v>4312</v>
      </c>
      <c r="I1523" s="507"/>
      <c r="J1523" s="506" t="s">
        <v>3960</v>
      </c>
      <c r="K1523" s="519" t="s">
        <v>315</v>
      </c>
      <c r="L1523" s="526" t="s">
        <v>315</v>
      </c>
      <c r="M1523" s="527" t="s">
        <v>315</v>
      </c>
      <c r="N1523" s="528" t="s">
        <v>315</v>
      </c>
      <c r="O1523" s="663"/>
      <c r="P1523" s="529"/>
      <c r="Q1523" s="531"/>
      <c r="R1523" s="530"/>
      <c r="S1523" s="530" t="s">
        <v>315</v>
      </c>
      <c r="T1523" s="667"/>
    </row>
    <row r="1524" spans="1:20" ht="150" hidden="1">
      <c r="A1524" s="518"/>
      <c r="B1524" s="506"/>
      <c r="C1524" s="506" t="s">
        <v>2638</v>
      </c>
      <c r="D1524" s="507" t="s">
        <v>2672</v>
      </c>
      <c r="E1524" s="509" t="str">
        <f>IF('GPS Anthro Tool'!$B$4=1,"North America FMVSS","")</f>
        <v>North America FMVSS</v>
      </c>
      <c r="F1524" s="507" t="s">
        <v>4242</v>
      </c>
      <c r="G1524" s="507" t="s">
        <v>1058</v>
      </c>
      <c r="H1524" s="507" t="s">
        <v>2673</v>
      </c>
      <c r="I1524" s="507"/>
      <c r="J1524" s="506" t="s">
        <v>3960</v>
      </c>
      <c r="K1524" s="519" t="s">
        <v>315</v>
      </c>
      <c r="L1524" s="526" t="s">
        <v>315</v>
      </c>
      <c r="M1524" s="527" t="s">
        <v>315</v>
      </c>
      <c r="N1524" s="528" t="s">
        <v>315</v>
      </c>
      <c r="O1524" s="663"/>
      <c r="P1524" s="529"/>
      <c r="Q1524" s="531"/>
      <c r="R1524" s="530"/>
      <c r="S1524" s="530" t="s">
        <v>315</v>
      </c>
      <c r="T1524" s="667"/>
    </row>
    <row r="1525" spans="1:20" ht="180" hidden="1">
      <c r="A1525" s="518"/>
      <c r="B1525" s="506"/>
      <c r="C1525" s="506" t="s">
        <v>2674</v>
      </c>
      <c r="D1525" s="507" t="s">
        <v>2675</v>
      </c>
      <c r="E1525" s="509" t="str">
        <f>IF('GPS Anthro Tool'!$B$4=1,"North America FMVSS","")</f>
        <v>North America FMVSS</v>
      </c>
      <c r="F1525" s="507" t="s">
        <v>4242</v>
      </c>
      <c r="G1525" s="507" t="s">
        <v>1058</v>
      </c>
      <c r="H1525" s="507" t="s">
        <v>2676</v>
      </c>
      <c r="I1525" s="507"/>
      <c r="J1525" s="506" t="s">
        <v>3960</v>
      </c>
      <c r="K1525" s="519" t="s">
        <v>315</v>
      </c>
      <c r="L1525" s="526" t="s">
        <v>315</v>
      </c>
      <c r="M1525" s="527" t="s">
        <v>315</v>
      </c>
      <c r="N1525" s="528" t="s">
        <v>315</v>
      </c>
      <c r="O1525" s="663"/>
      <c r="P1525" s="529"/>
      <c r="Q1525" s="531"/>
      <c r="R1525" s="530"/>
      <c r="S1525" s="530" t="s">
        <v>315</v>
      </c>
      <c r="T1525" s="667"/>
    </row>
    <row r="1526" spans="1:20" ht="90" hidden="1">
      <c r="A1526" s="518"/>
      <c r="B1526" s="506"/>
      <c r="C1526" s="506" t="s">
        <v>2674</v>
      </c>
      <c r="D1526" s="507" t="s">
        <v>2677</v>
      </c>
      <c r="E1526" s="509" t="str">
        <f>IF('GPS Anthro Tool'!$B$4=1,"North America FMVSS","")</f>
        <v>North America FMVSS</v>
      </c>
      <c r="F1526" s="507" t="s">
        <v>4242</v>
      </c>
      <c r="G1526" s="507" t="s">
        <v>1058</v>
      </c>
      <c r="H1526" s="507" t="s">
        <v>2678</v>
      </c>
      <c r="I1526" s="507"/>
      <c r="J1526" s="506" t="s">
        <v>3960</v>
      </c>
      <c r="K1526" s="519" t="s">
        <v>315</v>
      </c>
      <c r="L1526" s="526" t="s">
        <v>315</v>
      </c>
      <c r="M1526" s="527" t="s">
        <v>315</v>
      </c>
      <c r="N1526" s="528" t="s">
        <v>315</v>
      </c>
      <c r="O1526" s="663"/>
      <c r="P1526" s="529"/>
      <c r="Q1526" s="531"/>
      <c r="R1526" s="530"/>
      <c r="S1526" s="530" t="s">
        <v>315</v>
      </c>
      <c r="T1526" s="667"/>
    </row>
    <row r="1527" spans="1:20" ht="75" hidden="1">
      <c r="A1527" s="518"/>
      <c r="B1527" s="506"/>
      <c r="C1527" s="506" t="s">
        <v>2674</v>
      </c>
      <c r="D1527" s="507" t="s">
        <v>2679</v>
      </c>
      <c r="E1527" s="509" t="str">
        <f>IF('GPS Anthro Tool'!$B$4=1,"North America FMVSS","")</f>
        <v>North America FMVSS</v>
      </c>
      <c r="F1527" s="507" t="s">
        <v>4242</v>
      </c>
      <c r="G1527" s="507" t="s">
        <v>1058</v>
      </c>
      <c r="H1527" s="507" t="s">
        <v>2680</v>
      </c>
      <c r="I1527" s="507"/>
      <c r="J1527" s="506" t="s">
        <v>3960</v>
      </c>
      <c r="K1527" s="519" t="s">
        <v>315</v>
      </c>
      <c r="L1527" s="526" t="s">
        <v>315</v>
      </c>
      <c r="M1527" s="527" t="s">
        <v>315</v>
      </c>
      <c r="N1527" s="528" t="s">
        <v>315</v>
      </c>
      <c r="O1527" s="663"/>
      <c r="P1527" s="529"/>
      <c r="Q1527" s="531"/>
      <c r="R1527" s="530"/>
      <c r="S1527" s="530" t="s">
        <v>315</v>
      </c>
      <c r="T1527" s="667"/>
    </row>
    <row r="1528" spans="1:20" ht="180" hidden="1">
      <c r="A1528" s="518"/>
      <c r="B1528" s="506"/>
      <c r="C1528" s="506" t="s">
        <v>2674</v>
      </c>
      <c r="D1528" s="507" t="s">
        <v>2681</v>
      </c>
      <c r="E1528" s="509" t="str">
        <f>IF('GPS Anthro Tool'!$B$4=1,"North America FMVSS","")</f>
        <v>North America FMVSS</v>
      </c>
      <c r="F1528" s="507" t="s">
        <v>4242</v>
      </c>
      <c r="G1528" s="507" t="s">
        <v>1058</v>
      </c>
      <c r="H1528" s="507" t="s">
        <v>2682</v>
      </c>
      <c r="I1528" s="507"/>
      <c r="J1528" s="506" t="s">
        <v>3960</v>
      </c>
      <c r="K1528" s="519" t="s">
        <v>315</v>
      </c>
      <c r="L1528" s="526" t="s">
        <v>315</v>
      </c>
      <c r="M1528" s="527" t="s">
        <v>315</v>
      </c>
      <c r="N1528" s="528" t="s">
        <v>315</v>
      </c>
      <c r="O1528" s="663"/>
      <c r="P1528" s="529"/>
      <c r="Q1528" s="531"/>
      <c r="R1528" s="530"/>
      <c r="S1528" s="530" t="s">
        <v>315</v>
      </c>
      <c r="T1528" s="667"/>
    </row>
    <row r="1529" spans="1:20" ht="30">
      <c r="A1529" s="518"/>
      <c r="B1529" s="506"/>
      <c r="C1529" s="506" t="s">
        <v>2144</v>
      </c>
      <c r="D1529" s="507" t="s">
        <v>2683</v>
      </c>
      <c r="E1529" s="509" t="str">
        <f>IF('GPS Anthro Tool'!$B$4=1,"North America FMVSS","")</f>
        <v>North America FMVSS</v>
      </c>
      <c r="F1529" s="507" t="s">
        <v>4242</v>
      </c>
      <c r="G1529" s="507" t="s">
        <v>2436</v>
      </c>
      <c r="H1529" s="507" t="s">
        <v>2684</v>
      </c>
      <c r="I1529" s="507"/>
      <c r="J1529" s="506" t="s">
        <v>3960</v>
      </c>
      <c r="K1529" s="519" t="s">
        <v>315</v>
      </c>
      <c r="L1529" s="526" t="s">
        <v>315</v>
      </c>
      <c r="M1529" s="527" t="s">
        <v>315</v>
      </c>
      <c r="N1529" s="528" t="s">
        <v>315</v>
      </c>
      <c r="O1529" s="663"/>
      <c r="P1529" s="529"/>
      <c r="Q1529" s="531"/>
      <c r="R1529" s="530"/>
      <c r="S1529" s="530" t="s">
        <v>315</v>
      </c>
      <c r="T1529" s="667"/>
    </row>
    <row r="1530" spans="1:20" ht="135">
      <c r="A1530" s="518"/>
      <c r="B1530" s="506"/>
      <c r="C1530" s="506" t="s">
        <v>2144</v>
      </c>
      <c r="D1530" s="507" t="s">
        <v>2685</v>
      </c>
      <c r="E1530" s="509" t="str">
        <f>IF('GPS Anthro Tool'!$B$4=1,"North America FMVSS","")</f>
        <v>North America FMVSS</v>
      </c>
      <c r="F1530" s="507" t="s">
        <v>4242</v>
      </c>
      <c r="G1530" s="507" t="s">
        <v>2436</v>
      </c>
      <c r="H1530" s="507" t="s">
        <v>2686</v>
      </c>
      <c r="I1530" s="507"/>
      <c r="J1530" s="506" t="s">
        <v>3960</v>
      </c>
      <c r="K1530" s="519" t="s">
        <v>315</v>
      </c>
      <c r="L1530" s="526" t="s">
        <v>315</v>
      </c>
      <c r="M1530" s="527" t="s">
        <v>315</v>
      </c>
      <c r="N1530" s="528" t="s">
        <v>315</v>
      </c>
      <c r="O1530" s="663"/>
      <c r="P1530" s="529"/>
      <c r="Q1530" s="531"/>
      <c r="R1530" s="530"/>
      <c r="S1530" s="530" t="s">
        <v>315</v>
      </c>
      <c r="T1530" s="667"/>
    </row>
    <row r="1531" spans="1:20" ht="30">
      <c r="A1531" s="518"/>
      <c r="B1531" s="506"/>
      <c r="C1531" s="506" t="s">
        <v>2144</v>
      </c>
      <c r="D1531" s="507" t="s">
        <v>2687</v>
      </c>
      <c r="E1531" s="509" t="str">
        <f>IF('GPS Anthro Tool'!$B$4=1,"North America FMVSS","")</f>
        <v>North America FMVSS</v>
      </c>
      <c r="F1531" s="507" t="s">
        <v>4242</v>
      </c>
      <c r="G1531" s="507" t="s">
        <v>2436</v>
      </c>
      <c r="H1531" s="507" t="s">
        <v>2688</v>
      </c>
      <c r="I1531" s="507"/>
      <c r="J1531" s="506" t="s">
        <v>3960</v>
      </c>
      <c r="K1531" s="519" t="s">
        <v>315</v>
      </c>
      <c r="L1531" s="526" t="s">
        <v>315</v>
      </c>
      <c r="M1531" s="527" t="s">
        <v>315</v>
      </c>
      <c r="N1531" s="528" t="s">
        <v>315</v>
      </c>
      <c r="O1531" s="663"/>
      <c r="P1531" s="529"/>
      <c r="Q1531" s="531"/>
      <c r="R1531" s="530"/>
      <c r="S1531" s="530" t="s">
        <v>315</v>
      </c>
      <c r="T1531" s="667"/>
    </row>
    <row r="1532" spans="1:20" ht="30">
      <c r="A1532" s="518"/>
      <c r="B1532" s="506"/>
      <c r="C1532" s="506" t="s">
        <v>2144</v>
      </c>
      <c r="D1532" s="507" t="s">
        <v>2689</v>
      </c>
      <c r="E1532" s="509" t="str">
        <f>IF('GPS Anthro Tool'!$B$4=1,"North America FMVSS","")</f>
        <v>North America FMVSS</v>
      </c>
      <c r="F1532" s="507" t="s">
        <v>4242</v>
      </c>
      <c r="G1532" s="507" t="s">
        <v>2436</v>
      </c>
      <c r="H1532" s="507" t="s">
        <v>2690</v>
      </c>
      <c r="I1532" s="507"/>
      <c r="J1532" s="506" t="s">
        <v>3960</v>
      </c>
      <c r="K1532" s="519" t="s">
        <v>315</v>
      </c>
      <c r="L1532" s="526" t="s">
        <v>315</v>
      </c>
      <c r="M1532" s="527" t="s">
        <v>315</v>
      </c>
      <c r="N1532" s="528" t="s">
        <v>315</v>
      </c>
      <c r="O1532" s="663"/>
      <c r="P1532" s="529"/>
      <c r="Q1532" s="531"/>
      <c r="R1532" s="530"/>
      <c r="S1532" s="530" t="s">
        <v>315</v>
      </c>
      <c r="T1532" s="667"/>
    </row>
    <row r="1533" spans="1:20" ht="30">
      <c r="A1533" s="518"/>
      <c r="B1533" s="506"/>
      <c r="C1533" s="506" t="s">
        <v>2144</v>
      </c>
      <c r="D1533" s="507" t="s">
        <v>2691</v>
      </c>
      <c r="E1533" s="509" t="str">
        <f>IF('GPS Anthro Tool'!$B$4=1,"North America FMVSS","")</f>
        <v>North America FMVSS</v>
      </c>
      <c r="F1533" s="507" t="s">
        <v>4242</v>
      </c>
      <c r="G1533" s="507" t="s">
        <v>2436</v>
      </c>
      <c r="H1533" s="507" t="s">
        <v>2692</v>
      </c>
      <c r="I1533" s="507"/>
      <c r="J1533" s="506" t="s">
        <v>3960</v>
      </c>
      <c r="K1533" s="519" t="s">
        <v>315</v>
      </c>
      <c r="L1533" s="526" t="s">
        <v>315</v>
      </c>
      <c r="M1533" s="527" t="s">
        <v>315</v>
      </c>
      <c r="N1533" s="528" t="s">
        <v>315</v>
      </c>
      <c r="O1533" s="663"/>
      <c r="P1533" s="529"/>
      <c r="Q1533" s="531"/>
      <c r="R1533" s="530"/>
      <c r="S1533" s="530" t="s">
        <v>315</v>
      </c>
      <c r="T1533" s="667"/>
    </row>
    <row r="1534" spans="1:20" ht="30">
      <c r="A1534" s="518"/>
      <c r="B1534" s="506"/>
      <c r="C1534" s="506" t="s">
        <v>2144</v>
      </c>
      <c r="D1534" s="507" t="s">
        <v>2693</v>
      </c>
      <c r="E1534" s="509" t="str">
        <f>IF('GPS Anthro Tool'!$B$4=1,"North America FMVSS","")</f>
        <v>North America FMVSS</v>
      </c>
      <c r="F1534" s="507" t="s">
        <v>4242</v>
      </c>
      <c r="G1534" s="507" t="s">
        <v>2436</v>
      </c>
      <c r="H1534" s="507" t="s">
        <v>2694</v>
      </c>
      <c r="I1534" s="507"/>
      <c r="J1534" s="506" t="s">
        <v>3960</v>
      </c>
      <c r="K1534" s="519" t="s">
        <v>315</v>
      </c>
      <c r="L1534" s="526" t="s">
        <v>315</v>
      </c>
      <c r="M1534" s="527" t="s">
        <v>315</v>
      </c>
      <c r="N1534" s="528" t="s">
        <v>315</v>
      </c>
      <c r="O1534" s="663"/>
      <c r="P1534" s="529"/>
      <c r="Q1534" s="531"/>
      <c r="R1534" s="530"/>
      <c r="S1534" s="530" t="s">
        <v>315</v>
      </c>
      <c r="T1534" s="667"/>
    </row>
    <row r="1535" spans="1:20" ht="240">
      <c r="A1535" s="518"/>
      <c r="B1535" s="506"/>
      <c r="C1535" s="506" t="s">
        <v>2144</v>
      </c>
      <c r="D1535" s="507" t="s">
        <v>2695</v>
      </c>
      <c r="E1535" s="509" t="str">
        <f>IF('GPS Anthro Tool'!$B$4=1,"North America FMVSS","")</f>
        <v>North America FMVSS</v>
      </c>
      <c r="F1535" s="507" t="s">
        <v>4242</v>
      </c>
      <c r="G1535" s="507" t="s">
        <v>2696</v>
      </c>
      <c r="H1535" s="507" t="s">
        <v>2697</v>
      </c>
      <c r="I1535" s="507"/>
      <c r="J1535" s="506" t="s">
        <v>3960</v>
      </c>
      <c r="K1535" s="519" t="s">
        <v>315</v>
      </c>
      <c r="L1535" s="526" t="s">
        <v>315</v>
      </c>
      <c r="M1535" s="527" t="s">
        <v>315</v>
      </c>
      <c r="N1535" s="528" t="s">
        <v>315</v>
      </c>
      <c r="O1535" s="663"/>
      <c r="P1535" s="529"/>
      <c r="Q1535" s="531"/>
      <c r="R1535" s="530"/>
      <c r="S1535" s="530" t="s">
        <v>315</v>
      </c>
      <c r="T1535" s="667"/>
    </row>
    <row r="1536" spans="1:20" ht="75">
      <c r="A1536" s="518"/>
      <c r="B1536" s="506"/>
      <c r="C1536" s="506" t="s">
        <v>2144</v>
      </c>
      <c r="D1536" s="507" t="s">
        <v>2698</v>
      </c>
      <c r="E1536" s="509" t="str">
        <f>IF('GPS Anthro Tool'!$B$4=1,"North America FMVSS","")</f>
        <v>North America FMVSS</v>
      </c>
      <c r="F1536" s="507" t="s">
        <v>4242</v>
      </c>
      <c r="G1536" s="507" t="s">
        <v>2699</v>
      </c>
      <c r="H1536" s="507" t="s">
        <v>2700</v>
      </c>
      <c r="I1536" s="507"/>
      <c r="J1536" s="506" t="s">
        <v>3960</v>
      </c>
      <c r="K1536" s="519" t="s">
        <v>315</v>
      </c>
      <c r="L1536" s="526" t="s">
        <v>315</v>
      </c>
      <c r="M1536" s="527" t="s">
        <v>315</v>
      </c>
      <c r="N1536" s="528" t="s">
        <v>315</v>
      </c>
      <c r="O1536" s="663"/>
      <c r="P1536" s="529"/>
      <c r="Q1536" s="531"/>
      <c r="R1536" s="530"/>
      <c r="S1536" s="530" t="s">
        <v>315</v>
      </c>
      <c r="T1536" s="667"/>
    </row>
    <row r="1537" spans="1:20" ht="315">
      <c r="A1537" s="518"/>
      <c r="B1537" s="506"/>
      <c r="C1537" s="506" t="s">
        <v>2144</v>
      </c>
      <c r="D1537" s="507" t="s">
        <v>2701</v>
      </c>
      <c r="E1537" s="509" t="str">
        <f>IF('GPS Anthro Tool'!$B$4=1,"North America FMVSS","")</f>
        <v>North America FMVSS</v>
      </c>
      <c r="F1537" s="507" t="s">
        <v>4242</v>
      </c>
      <c r="G1537" s="507" t="s">
        <v>2702</v>
      </c>
      <c r="H1537" s="507" t="s">
        <v>2703</v>
      </c>
      <c r="I1537" s="507"/>
      <c r="J1537" s="506" t="s">
        <v>3960</v>
      </c>
      <c r="K1537" s="519" t="s">
        <v>315</v>
      </c>
      <c r="L1537" s="526" t="s">
        <v>315</v>
      </c>
      <c r="M1537" s="527" t="s">
        <v>315</v>
      </c>
      <c r="N1537" s="528" t="s">
        <v>315</v>
      </c>
      <c r="O1537" s="663"/>
      <c r="P1537" s="529"/>
      <c r="Q1537" s="531"/>
      <c r="R1537" s="530"/>
      <c r="S1537" s="530" t="s">
        <v>315</v>
      </c>
      <c r="T1537" s="667"/>
    </row>
    <row r="1538" spans="1:20" ht="90">
      <c r="A1538" s="518"/>
      <c r="B1538" s="506"/>
      <c r="C1538" s="506" t="s">
        <v>2144</v>
      </c>
      <c r="D1538" s="507" t="s">
        <v>2704</v>
      </c>
      <c r="E1538" s="509" t="str">
        <f>IF('GPS Anthro Tool'!$B$4=1,"North America FMVSS","")</f>
        <v>North America FMVSS</v>
      </c>
      <c r="F1538" s="507" t="s">
        <v>4242</v>
      </c>
      <c r="G1538" s="507" t="s">
        <v>2705</v>
      </c>
      <c r="H1538" s="507" t="s">
        <v>2706</v>
      </c>
      <c r="I1538" s="507"/>
      <c r="J1538" s="506" t="s">
        <v>3960</v>
      </c>
      <c r="K1538" s="519" t="s">
        <v>315</v>
      </c>
      <c r="L1538" s="526" t="s">
        <v>315</v>
      </c>
      <c r="M1538" s="527" t="s">
        <v>315</v>
      </c>
      <c r="N1538" s="528" t="s">
        <v>315</v>
      </c>
      <c r="O1538" s="663"/>
      <c r="P1538" s="529"/>
      <c r="Q1538" s="531"/>
      <c r="R1538" s="530"/>
      <c r="S1538" s="530" t="s">
        <v>315</v>
      </c>
      <c r="T1538" s="667"/>
    </row>
    <row r="1539" spans="1:20" ht="90">
      <c r="A1539" s="518"/>
      <c r="B1539" s="506"/>
      <c r="C1539" s="506" t="s">
        <v>2144</v>
      </c>
      <c r="D1539" s="507" t="s">
        <v>2707</v>
      </c>
      <c r="E1539" s="509" t="str">
        <f>IF('GPS Anthro Tool'!$B$4=1,"North America FMVSS","")</f>
        <v>North America FMVSS</v>
      </c>
      <c r="F1539" s="507" t="s">
        <v>4242</v>
      </c>
      <c r="G1539" s="507" t="s">
        <v>2705</v>
      </c>
      <c r="H1539" s="507" t="s">
        <v>2708</v>
      </c>
      <c r="I1539" s="507"/>
      <c r="J1539" s="506" t="s">
        <v>3960</v>
      </c>
      <c r="K1539" s="519" t="s">
        <v>315</v>
      </c>
      <c r="L1539" s="526" t="s">
        <v>315</v>
      </c>
      <c r="M1539" s="527" t="s">
        <v>315</v>
      </c>
      <c r="N1539" s="528" t="s">
        <v>315</v>
      </c>
      <c r="O1539" s="663"/>
      <c r="P1539" s="529"/>
      <c r="Q1539" s="531"/>
      <c r="R1539" s="530"/>
      <c r="S1539" s="530" t="s">
        <v>315</v>
      </c>
      <c r="T1539" s="667"/>
    </row>
    <row r="1540" spans="1:20" ht="150">
      <c r="A1540" s="518"/>
      <c r="B1540" s="506"/>
      <c r="C1540" s="506" t="s">
        <v>2144</v>
      </c>
      <c r="D1540" s="507" t="s">
        <v>2709</v>
      </c>
      <c r="E1540" s="509" t="str">
        <f>IF('GPS Anthro Tool'!$B$4=1,"North America FMVSS","")</f>
        <v>North America FMVSS</v>
      </c>
      <c r="F1540" s="507" t="s">
        <v>4242</v>
      </c>
      <c r="G1540" s="507" t="s">
        <v>2710</v>
      </c>
      <c r="H1540" s="507" t="s">
        <v>2711</v>
      </c>
      <c r="I1540" s="507"/>
      <c r="J1540" s="506" t="s">
        <v>3960</v>
      </c>
      <c r="K1540" s="519" t="s">
        <v>315</v>
      </c>
      <c r="L1540" s="526" t="s">
        <v>315</v>
      </c>
      <c r="M1540" s="527" t="s">
        <v>315</v>
      </c>
      <c r="N1540" s="528" t="s">
        <v>315</v>
      </c>
      <c r="O1540" s="663"/>
      <c r="P1540" s="529"/>
      <c r="Q1540" s="531"/>
      <c r="R1540" s="530"/>
      <c r="S1540" s="530" t="s">
        <v>315</v>
      </c>
      <c r="T1540" s="667"/>
    </row>
    <row r="1541" spans="1:20" ht="30">
      <c r="A1541" s="518"/>
      <c r="B1541" s="506"/>
      <c r="C1541" s="506" t="s">
        <v>2144</v>
      </c>
      <c r="D1541" s="507" t="s">
        <v>2712</v>
      </c>
      <c r="E1541" s="509" t="str">
        <f>IF('GPS Anthro Tool'!$B$4=1,"North America FMVSS","")</f>
        <v>North America FMVSS</v>
      </c>
      <c r="F1541" s="507" t="s">
        <v>4242</v>
      </c>
      <c r="G1541" s="507" t="s">
        <v>2710</v>
      </c>
      <c r="H1541" s="507" t="s">
        <v>2713</v>
      </c>
      <c r="I1541" s="507"/>
      <c r="J1541" s="506" t="s">
        <v>3960</v>
      </c>
      <c r="K1541" s="519" t="s">
        <v>315</v>
      </c>
      <c r="L1541" s="526" t="s">
        <v>315</v>
      </c>
      <c r="M1541" s="527" t="s">
        <v>315</v>
      </c>
      <c r="N1541" s="528" t="s">
        <v>315</v>
      </c>
      <c r="O1541" s="663"/>
      <c r="P1541" s="529"/>
      <c r="Q1541" s="531"/>
      <c r="R1541" s="530"/>
      <c r="S1541" s="530" t="s">
        <v>315</v>
      </c>
      <c r="T1541" s="667"/>
    </row>
    <row r="1542" spans="1:20" ht="30">
      <c r="A1542" s="518"/>
      <c r="B1542" s="506"/>
      <c r="C1542" s="506" t="s">
        <v>2144</v>
      </c>
      <c r="D1542" s="507" t="s">
        <v>2714</v>
      </c>
      <c r="E1542" s="509" t="str">
        <f>IF('GPS Anthro Tool'!$B$4=1,"North America FMVSS","")</f>
        <v>North America FMVSS</v>
      </c>
      <c r="F1542" s="507" t="s">
        <v>4242</v>
      </c>
      <c r="G1542" s="507" t="s">
        <v>2710</v>
      </c>
      <c r="H1542" s="507" t="s">
        <v>2715</v>
      </c>
      <c r="I1542" s="507"/>
      <c r="J1542" s="506" t="s">
        <v>3960</v>
      </c>
      <c r="K1542" s="519" t="s">
        <v>315</v>
      </c>
      <c r="L1542" s="526" t="s">
        <v>315</v>
      </c>
      <c r="M1542" s="527" t="s">
        <v>315</v>
      </c>
      <c r="N1542" s="528" t="s">
        <v>315</v>
      </c>
      <c r="O1542" s="663"/>
      <c r="P1542" s="529"/>
      <c r="Q1542" s="531"/>
      <c r="R1542" s="530"/>
      <c r="S1542" s="530" t="s">
        <v>315</v>
      </c>
      <c r="T1542" s="667"/>
    </row>
    <row r="1543" spans="1:20" ht="30">
      <c r="A1543" s="518"/>
      <c r="B1543" s="506"/>
      <c r="C1543" s="506" t="s">
        <v>2144</v>
      </c>
      <c r="D1543" s="507" t="s">
        <v>2716</v>
      </c>
      <c r="E1543" s="509" t="str">
        <f>IF('GPS Anthro Tool'!$B$4=1,"North America FMVSS","")</f>
        <v>North America FMVSS</v>
      </c>
      <c r="F1543" s="507" t="s">
        <v>4242</v>
      </c>
      <c r="G1543" s="507" t="s">
        <v>2710</v>
      </c>
      <c r="H1543" s="507" t="s">
        <v>2717</v>
      </c>
      <c r="I1543" s="507"/>
      <c r="J1543" s="506" t="s">
        <v>3960</v>
      </c>
      <c r="K1543" s="519" t="s">
        <v>315</v>
      </c>
      <c r="L1543" s="526" t="s">
        <v>315</v>
      </c>
      <c r="M1543" s="527" t="s">
        <v>315</v>
      </c>
      <c r="N1543" s="528" t="s">
        <v>315</v>
      </c>
      <c r="O1543" s="663"/>
      <c r="P1543" s="529"/>
      <c r="Q1543" s="531"/>
      <c r="R1543" s="530"/>
      <c r="S1543" s="530" t="s">
        <v>315</v>
      </c>
      <c r="T1543" s="667"/>
    </row>
    <row r="1544" spans="1:20" ht="75">
      <c r="A1544" s="518"/>
      <c r="B1544" s="506"/>
      <c r="C1544" s="506" t="s">
        <v>2144</v>
      </c>
      <c r="D1544" s="507" t="s">
        <v>2718</v>
      </c>
      <c r="E1544" s="509" t="str">
        <f>IF('GPS Anthro Tool'!$B$4=1,"North America FMVSS","")</f>
        <v>North America FMVSS</v>
      </c>
      <c r="F1544" s="507" t="s">
        <v>4242</v>
      </c>
      <c r="G1544" s="507" t="s">
        <v>2710</v>
      </c>
      <c r="H1544" s="507" t="s">
        <v>2719</v>
      </c>
      <c r="I1544" s="507"/>
      <c r="J1544" s="506" t="s">
        <v>3960</v>
      </c>
      <c r="K1544" s="519" t="s">
        <v>315</v>
      </c>
      <c r="L1544" s="526" t="s">
        <v>315</v>
      </c>
      <c r="M1544" s="527" t="s">
        <v>315</v>
      </c>
      <c r="N1544" s="528" t="s">
        <v>315</v>
      </c>
      <c r="O1544" s="663"/>
      <c r="P1544" s="529"/>
      <c r="Q1544" s="531"/>
      <c r="R1544" s="530"/>
      <c r="S1544" s="530" t="s">
        <v>315</v>
      </c>
      <c r="T1544" s="667"/>
    </row>
    <row r="1545" spans="1:20" ht="210">
      <c r="A1545" s="518"/>
      <c r="B1545" s="506"/>
      <c r="C1545" s="506" t="s">
        <v>2144</v>
      </c>
      <c r="D1545" s="507" t="s">
        <v>2720</v>
      </c>
      <c r="E1545" s="509" t="str">
        <f>IF('GPS Anthro Tool'!$B$4=1,"North America FMVSS","")</f>
        <v>North America FMVSS</v>
      </c>
      <c r="F1545" s="507" t="s">
        <v>4242</v>
      </c>
      <c r="G1545" s="507" t="s">
        <v>2710</v>
      </c>
      <c r="H1545" s="507" t="s">
        <v>2723</v>
      </c>
      <c r="I1545" s="507"/>
      <c r="J1545" s="506" t="s">
        <v>3960</v>
      </c>
      <c r="K1545" s="519" t="s">
        <v>315</v>
      </c>
      <c r="L1545" s="526" t="s">
        <v>315</v>
      </c>
      <c r="M1545" s="527" t="s">
        <v>315</v>
      </c>
      <c r="N1545" s="528" t="s">
        <v>315</v>
      </c>
      <c r="O1545" s="663"/>
      <c r="P1545" s="529"/>
      <c r="Q1545" s="531"/>
      <c r="R1545" s="530"/>
      <c r="S1545" s="530" t="s">
        <v>315</v>
      </c>
      <c r="T1545" s="667"/>
    </row>
    <row r="1546" spans="1:20" ht="90" hidden="1">
      <c r="A1546" s="518"/>
      <c r="B1546" s="506"/>
      <c r="C1546" s="506" t="s">
        <v>2346</v>
      </c>
      <c r="D1546" s="507" t="s">
        <v>2720</v>
      </c>
      <c r="E1546" s="509" t="str">
        <f>IF('GPS Anthro Tool'!$B$4=1,"North America FMVSS","")</f>
        <v>North America FMVSS</v>
      </c>
      <c r="F1546" s="507" t="s">
        <v>4242</v>
      </c>
      <c r="G1546" s="507" t="s">
        <v>1143</v>
      </c>
      <c r="H1546" s="507" t="s">
        <v>2721</v>
      </c>
      <c r="I1546" s="507"/>
      <c r="J1546" s="506" t="s">
        <v>3960</v>
      </c>
      <c r="K1546" s="519" t="s">
        <v>315</v>
      </c>
      <c r="L1546" s="526" t="s">
        <v>315</v>
      </c>
      <c r="M1546" s="527" t="s">
        <v>315</v>
      </c>
      <c r="N1546" s="528" t="s">
        <v>315</v>
      </c>
      <c r="O1546" s="663"/>
      <c r="P1546" s="529"/>
      <c r="Q1546" s="531"/>
      <c r="R1546" s="530"/>
      <c r="S1546" s="530" t="s">
        <v>315</v>
      </c>
      <c r="T1546" s="667"/>
    </row>
    <row r="1547" spans="1:20" ht="45" hidden="1">
      <c r="A1547" s="518"/>
      <c r="B1547" s="506"/>
      <c r="C1547" s="506" t="s">
        <v>2346</v>
      </c>
      <c r="D1547" s="507" t="s">
        <v>2720</v>
      </c>
      <c r="E1547" s="509" t="str">
        <f>IF('GPS Anthro Tool'!$B$4=1,"North America FMVSS","")</f>
        <v>North America FMVSS</v>
      </c>
      <c r="F1547" s="507" t="s">
        <v>4242</v>
      </c>
      <c r="G1547" s="507" t="s">
        <v>1143</v>
      </c>
      <c r="H1547" s="507" t="s">
        <v>2722</v>
      </c>
      <c r="I1547" s="507"/>
      <c r="J1547" s="506" t="s">
        <v>3960</v>
      </c>
      <c r="K1547" s="519" t="s">
        <v>315</v>
      </c>
      <c r="L1547" s="526" t="s">
        <v>315</v>
      </c>
      <c r="M1547" s="527" t="s">
        <v>315</v>
      </c>
      <c r="N1547" s="528" t="s">
        <v>315</v>
      </c>
      <c r="O1547" s="663"/>
      <c r="P1547" s="529"/>
      <c r="Q1547" s="531"/>
      <c r="R1547" s="530"/>
      <c r="S1547" s="530" t="s">
        <v>315</v>
      </c>
      <c r="T1547" s="667"/>
    </row>
    <row r="1548" spans="1:20" ht="60" hidden="1">
      <c r="A1548" s="518"/>
      <c r="B1548" s="506"/>
      <c r="C1548" s="506" t="s">
        <v>2346</v>
      </c>
      <c r="D1548" s="507" t="s">
        <v>2724</v>
      </c>
      <c r="E1548" s="509" t="str">
        <f>IF('GPS Anthro Tool'!$B$4=1,"North America FMVSS","")</f>
        <v>North America FMVSS</v>
      </c>
      <c r="F1548" s="507" t="s">
        <v>4242</v>
      </c>
      <c r="G1548" s="507" t="s">
        <v>1143</v>
      </c>
      <c r="H1548" s="507" t="s">
        <v>2725</v>
      </c>
      <c r="I1548" s="507"/>
      <c r="J1548" s="506" t="s">
        <v>3960</v>
      </c>
      <c r="K1548" s="519" t="s">
        <v>315</v>
      </c>
      <c r="L1548" s="526" t="s">
        <v>315</v>
      </c>
      <c r="M1548" s="527" t="s">
        <v>315</v>
      </c>
      <c r="N1548" s="528" t="s">
        <v>315</v>
      </c>
      <c r="O1548" s="663"/>
      <c r="P1548" s="529"/>
      <c r="Q1548" s="531"/>
      <c r="R1548" s="530"/>
      <c r="S1548" s="530" t="s">
        <v>315</v>
      </c>
      <c r="T1548" s="667"/>
    </row>
    <row r="1549" spans="1:20" ht="135">
      <c r="A1549" s="518"/>
      <c r="B1549" s="506"/>
      <c r="C1549" s="506" t="s">
        <v>2144</v>
      </c>
      <c r="D1549" s="507" t="s">
        <v>2726</v>
      </c>
      <c r="E1549" s="509" t="str">
        <f>IF('GPS Anthro Tool'!$B$4=1,"North America FMVSS","")</f>
        <v>North America FMVSS</v>
      </c>
      <c r="F1549" s="507" t="s">
        <v>4242</v>
      </c>
      <c r="G1549" s="507" t="s">
        <v>2710</v>
      </c>
      <c r="H1549" s="507" t="s">
        <v>2729</v>
      </c>
      <c r="I1549" s="507"/>
      <c r="J1549" s="506" t="s">
        <v>3960</v>
      </c>
      <c r="K1549" s="519" t="s">
        <v>315</v>
      </c>
      <c r="L1549" s="526" t="s">
        <v>315</v>
      </c>
      <c r="M1549" s="527" t="s">
        <v>315</v>
      </c>
      <c r="N1549" s="528" t="s">
        <v>315</v>
      </c>
      <c r="O1549" s="663"/>
      <c r="P1549" s="529"/>
      <c r="Q1549" s="531"/>
      <c r="R1549" s="530"/>
      <c r="S1549" s="530" t="s">
        <v>315</v>
      </c>
      <c r="T1549" s="667"/>
    </row>
    <row r="1550" spans="1:20" ht="45" hidden="1">
      <c r="A1550" s="518"/>
      <c r="B1550" s="506"/>
      <c r="C1550" s="506" t="s">
        <v>2346</v>
      </c>
      <c r="D1550" s="507" t="s">
        <v>2726</v>
      </c>
      <c r="E1550" s="509" t="str">
        <f>IF('GPS Anthro Tool'!$B$4=1,"North America FMVSS","")</f>
        <v>North America FMVSS</v>
      </c>
      <c r="F1550" s="507" t="s">
        <v>4242</v>
      </c>
      <c r="G1550" s="507" t="s">
        <v>1143</v>
      </c>
      <c r="H1550" s="507" t="s">
        <v>2727</v>
      </c>
      <c r="I1550" s="507"/>
      <c r="J1550" s="506" t="s">
        <v>3960</v>
      </c>
      <c r="K1550" s="519" t="s">
        <v>315</v>
      </c>
      <c r="L1550" s="526" t="s">
        <v>315</v>
      </c>
      <c r="M1550" s="527" t="s">
        <v>315</v>
      </c>
      <c r="N1550" s="528" t="s">
        <v>315</v>
      </c>
      <c r="O1550" s="663"/>
      <c r="P1550" s="529"/>
      <c r="Q1550" s="531"/>
      <c r="R1550" s="530"/>
      <c r="S1550" s="530" t="s">
        <v>315</v>
      </c>
      <c r="T1550" s="667"/>
    </row>
    <row r="1551" spans="1:20" ht="60" hidden="1">
      <c r="A1551" s="518"/>
      <c r="B1551" s="506"/>
      <c r="C1551" s="506" t="s">
        <v>2346</v>
      </c>
      <c r="D1551" s="507" t="s">
        <v>2726</v>
      </c>
      <c r="E1551" s="509" t="str">
        <f>IF('GPS Anthro Tool'!$B$4=1,"North America FMVSS","")</f>
        <v>North America FMVSS</v>
      </c>
      <c r="F1551" s="507" t="s">
        <v>4242</v>
      </c>
      <c r="G1551" s="507" t="s">
        <v>1143</v>
      </c>
      <c r="H1551" s="507" t="s">
        <v>2728</v>
      </c>
      <c r="I1551" s="507"/>
      <c r="J1551" s="506" t="s">
        <v>3960</v>
      </c>
      <c r="K1551" s="519" t="s">
        <v>315</v>
      </c>
      <c r="L1551" s="526" t="s">
        <v>315</v>
      </c>
      <c r="M1551" s="527" t="s">
        <v>315</v>
      </c>
      <c r="N1551" s="528" t="s">
        <v>315</v>
      </c>
      <c r="O1551" s="663"/>
      <c r="P1551" s="529"/>
      <c r="Q1551" s="531"/>
      <c r="R1551" s="530"/>
      <c r="S1551" s="530" t="s">
        <v>315</v>
      </c>
      <c r="T1551" s="667"/>
    </row>
    <row r="1552" spans="1:20" ht="120">
      <c r="A1552" s="518"/>
      <c r="B1552" s="506"/>
      <c r="C1552" s="506" t="s">
        <v>2144</v>
      </c>
      <c r="D1552" s="507" t="s">
        <v>2730</v>
      </c>
      <c r="E1552" s="509" t="str">
        <f>IF('GPS Anthro Tool'!$B$4=1,"North America FMVSS","")</f>
        <v>North America FMVSS</v>
      </c>
      <c r="F1552" s="507" t="s">
        <v>4242</v>
      </c>
      <c r="G1552" s="507" t="s">
        <v>2710</v>
      </c>
      <c r="H1552" s="507" t="s">
        <v>2732</v>
      </c>
      <c r="I1552" s="507"/>
      <c r="J1552" s="506" t="s">
        <v>3960</v>
      </c>
      <c r="K1552" s="519" t="s">
        <v>315</v>
      </c>
      <c r="L1552" s="526" t="s">
        <v>315</v>
      </c>
      <c r="M1552" s="527" t="s">
        <v>315</v>
      </c>
      <c r="N1552" s="528" t="s">
        <v>315</v>
      </c>
      <c r="O1552" s="663"/>
      <c r="P1552" s="529"/>
      <c r="Q1552" s="531"/>
      <c r="R1552" s="530"/>
      <c r="S1552" s="530" t="s">
        <v>315</v>
      </c>
      <c r="T1552" s="667"/>
    </row>
    <row r="1553" spans="1:20" ht="75" hidden="1">
      <c r="A1553" s="518"/>
      <c r="B1553" s="506"/>
      <c r="C1553" s="506" t="s">
        <v>2346</v>
      </c>
      <c r="D1553" s="507" t="s">
        <v>2730</v>
      </c>
      <c r="E1553" s="509" t="str">
        <f>IF('GPS Anthro Tool'!$B$4=1,"North America FMVSS","")</f>
        <v>North America FMVSS</v>
      </c>
      <c r="F1553" s="507" t="s">
        <v>4242</v>
      </c>
      <c r="G1553" s="507" t="s">
        <v>1143</v>
      </c>
      <c r="H1553" s="507" t="s">
        <v>2731</v>
      </c>
      <c r="I1553" s="507"/>
      <c r="J1553" s="506" t="s">
        <v>3960</v>
      </c>
      <c r="K1553" s="519" t="s">
        <v>315</v>
      </c>
      <c r="L1553" s="526" t="s">
        <v>315</v>
      </c>
      <c r="M1553" s="527" t="s">
        <v>315</v>
      </c>
      <c r="N1553" s="528" t="s">
        <v>315</v>
      </c>
      <c r="O1553" s="663"/>
      <c r="P1553" s="529"/>
      <c r="Q1553" s="531"/>
      <c r="R1553" s="530"/>
      <c r="S1553" s="530" t="s">
        <v>315</v>
      </c>
      <c r="T1553" s="667"/>
    </row>
    <row r="1554" spans="1:20" ht="75">
      <c r="A1554" s="518"/>
      <c r="B1554" s="506"/>
      <c r="C1554" s="506" t="s">
        <v>2144</v>
      </c>
      <c r="D1554" s="507" t="s">
        <v>2733</v>
      </c>
      <c r="E1554" s="509" t="str">
        <f>IF('GPS Anthro Tool'!$B$4=1,"North America FMVSS","")</f>
        <v>North America FMVSS</v>
      </c>
      <c r="F1554" s="507" t="s">
        <v>4242</v>
      </c>
      <c r="G1554" s="507" t="s">
        <v>2710</v>
      </c>
      <c r="H1554" s="507" t="s">
        <v>2734</v>
      </c>
      <c r="I1554" s="507"/>
      <c r="J1554" s="506" t="s">
        <v>3960</v>
      </c>
      <c r="K1554" s="519" t="s">
        <v>315</v>
      </c>
      <c r="L1554" s="526" t="s">
        <v>315</v>
      </c>
      <c r="M1554" s="527" t="s">
        <v>315</v>
      </c>
      <c r="N1554" s="528" t="s">
        <v>315</v>
      </c>
      <c r="O1554" s="663"/>
      <c r="P1554" s="529"/>
      <c r="Q1554" s="531"/>
      <c r="R1554" s="530"/>
      <c r="S1554" s="530" t="s">
        <v>315</v>
      </c>
      <c r="T1554" s="667"/>
    </row>
    <row r="1555" spans="1:20" ht="390">
      <c r="A1555" s="518"/>
      <c r="B1555" s="506"/>
      <c r="C1555" s="506" t="s">
        <v>2144</v>
      </c>
      <c r="D1555" s="507" t="s">
        <v>2735</v>
      </c>
      <c r="E1555" s="509" t="str">
        <f>IF('GPS Anthro Tool'!$B$4=1,"North America FMVSS","")</f>
        <v>North America FMVSS</v>
      </c>
      <c r="F1555" s="507" t="s">
        <v>4242</v>
      </c>
      <c r="G1555" s="507" t="s">
        <v>2710</v>
      </c>
      <c r="H1555" s="507" t="s">
        <v>2737</v>
      </c>
      <c r="I1555" s="507"/>
      <c r="J1555" s="506" t="s">
        <v>3960</v>
      </c>
      <c r="K1555" s="519" t="s">
        <v>315</v>
      </c>
      <c r="L1555" s="526" t="s">
        <v>315</v>
      </c>
      <c r="M1555" s="527" t="s">
        <v>315</v>
      </c>
      <c r="N1555" s="528" t="s">
        <v>315</v>
      </c>
      <c r="O1555" s="663"/>
      <c r="P1555" s="529"/>
      <c r="Q1555" s="531"/>
      <c r="R1555" s="530"/>
      <c r="S1555" s="530" t="s">
        <v>315</v>
      </c>
      <c r="T1555" s="667"/>
    </row>
    <row r="1556" spans="1:20" ht="60" hidden="1">
      <c r="A1556" s="518"/>
      <c r="B1556" s="506"/>
      <c r="C1556" s="506" t="s">
        <v>2346</v>
      </c>
      <c r="D1556" s="507" t="s">
        <v>2735</v>
      </c>
      <c r="E1556" s="509" t="str">
        <f>IF('GPS Anthro Tool'!$B$4=1,"North America FMVSS","")</f>
        <v>North America FMVSS</v>
      </c>
      <c r="F1556" s="507" t="s">
        <v>4242</v>
      </c>
      <c r="G1556" s="507" t="s">
        <v>1143</v>
      </c>
      <c r="H1556" s="507" t="s">
        <v>2736</v>
      </c>
      <c r="I1556" s="507"/>
      <c r="J1556" s="506" t="s">
        <v>3960</v>
      </c>
      <c r="K1556" s="519" t="s">
        <v>315</v>
      </c>
      <c r="L1556" s="526" t="s">
        <v>315</v>
      </c>
      <c r="M1556" s="527" t="s">
        <v>315</v>
      </c>
      <c r="N1556" s="528" t="s">
        <v>315</v>
      </c>
      <c r="O1556" s="663"/>
      <c r="P1556" s="529"/>
      <c r="Q1556" s="531"/>
      <c r="R1556" s="530"/>
      <c r="S1556" s="530" t="s">
        <v>315</v>
      </c>
      <c r="T1556" s="667"/>
    </row>
    <row r="1557" spans="1:20" ht="150">
      <c r="A1557" s="518"/>
      <c r="B1557" s="506"/>
      <c r="C1557" s="506" t="s">
        <v>2144</v>
      </c>
      <c r="D1557" s="507" t="s">
        <v>2738</v>
      </c>
      <c r="E1557" s="509" t="str">
        <f>IF('GPS Anthro Tool'!$B$4=1,"North America FMVSS","")</f>
        <v>North America FMVSS</v>
      </c>
      <c r="F1557" s="507" t="s">
        <v>4242</v>
      </c>
      <c r="G1557" s="507" t="s">
        <v>2710</v>
      </c>
      <c r="H1557" s="507" t="s">
        <v>2739</v>
      </c>
      <c r="I1557" s="507"/>
      <c r="J1557" s="506" t="s">
        <v>3960</v>
      </c>
      <c r="K1557" s="519" t="s">
        <v>315</v>
      </c>
      <c r="L1557" s="526" t="s">
        <v>315</v>
      </c>
      <c r="M1557" s="527" t="s">
        <v>315</v>
      </c>
      <c r="N1557" s="528" t="s">
        <v>315</v>
      </c>
      <c r="O1557" s="663"/>
      <c r="P1557" s="529"/>
      <c r="Q1557" s="531"/>
      <c r="R1557" s="530"/>
      <c r="S1557" s="530" t="s">
        <v>315</v>
      </c>
      <c r="T1557" s="667"/>
    </row>
    <row r="1558" spans="1:20" ht="105">
      <c r="A1558" s="518"/>
      <c r="B1558" s="506"/>
      <c r="C1558" s="506" t="s">
        <v>2144</v>
      </c>
      <c r="D1558" s="507" t="s">
        <v>2740</v>
      </c>
      <c r="E1558" s="509" t="str">
        <f>IF('GPS Anthro Tool'!$B$4=1,"North America FMVSS","")</f>
        <v>North America FMVSS</v>
      </c>
      <c r="F1558" s="507" t="s">
        <v>4242</v>
      </c>
      <c r="G1558" s="507" t="s">
        <v>2710</v>
      </c>
      <c r="H1558" s="507" t="s">
        <v>2741</v>
      </c>
      <c r="I1558" s="507"/>
      <c r="J1558" s="506" t="s">
        <v>3960</v>
      </c>
      <c r="K1558" s="519" t="s">
        <v>315</v>
      </c>
      <c r="L1558" s="526" t="s">
        <v>315</v>
      </c>
      <c r="M1558" s="527" t="s">
        <v>315</v>
      </c>
      <c r="N1558" s="528" t="s">
        <v>315</v>
      </c>
      <c r="O1558" s="663"/>
      <c r="P1558" s="529"/>
      <c r="Q1558" s="531"/>
      <c r="R1558" s="530"/>
      <c r="S1558" s="530" t="s">
        <v>315</v>
      </c>
      <c r="T1558" s="667"/>
    </row>
    <row r="1559" spans="1:20" ht="45">
      <c r="A1559" s="518"/>
      <c r="B1559" s="506"/>
      <c r="C1559" s="506" t="s">
        <v>2144</v>
      </c>
      <c r="D1559" s="507" t="s">
        <v>2742</v>
      </c>
      <c r="E1559" s="509" t="str">
        <f>IF('GPS Anthro Tool'!$B$4=1,"North America FMVSS","")</f>
        <v>North America FMVSS</v>
      </c>
      <c r="F1559" s="507" t="s">
        <v>4242</v>
      </c>
      <c r="G1559" s="507" t="s">
        <v>2710</v>
      </c>
      <c r="H1559" s="507" t="s">
        <v>2743</v>
      </c>
      <c r="I1559" s="507"/>
      <c r="J1559" s="506" t="s">
        <v>3960</v>
      </c>
      <c r="K1559" s="519" t="s">
        <v>315</v>
      </c>
      <c r="L1559" s="526" t="s">
        <v>315</v>
      </c>
      <c r="M1559" s="527" t="s">
        <v>315</v>
      </c>
      <c r="N1559" s="528" t="s">
        <v>315</v>
      </c>
      <c r="O1559" s="663"/>
      <c r="P1559" s="529"/>
      <c r="Q1559" s="531"/>
      <c r="R1559" s="530"/>
      <c r="S1559" s="530" t="s">
        <v>315</v>
      </c>
      <c r="T1559" s="667"/>
    </row>
    <row r="1560" spans="1:20" ht="30">
      <c r="A1560" s="518"/>
      <c r="B1560" s="506"/>
      <c r="C1560" s="506" t="s">
        <v>2144</v>
      </c>
      <c r="D1560" s="507" t="s">
        <v>2744</v>
      </c>
      <c r="E1560" s="509" t="str">
        <f>IF('GPS Anthro Tool'!$B$4=1,"North America FMVSS","")</f>
        <v>North America FMVSS</v>
      </c>
      <c r="F1560" s="507" t="s">
        <v>4242</v>
      </c>
      <c r="G1560" s="507" t="s">
        <v>2710</v>
      </c>
      <c r="H1560" s="507" t="s">
        <v>2745</v>
      </c>
      <c r="I1560" s="507"/>
      <c r="J1560" s="506" t="s">
        <v>3960</v>
      </c>
      <c r="K1560" s="519" t="s">
        <v>315</v>
      </c>
      <c r="L1560" s="526" t="s">
        <v>315</v>
      </c>
      <c r="M1560" s="527" t="s">
        <v>315</v>
      </c>
      <c r="N1560" s="528" t="s">
        <v>315</v>
      </c>
      <c r="O1560" s="663"/>
      <c r="P1560" s="529"/>
      <c r="Q1560" s="531"/>
      <c r="R1560" s="530"/>
      <c r="S1560" s="530" t="s">
        <v>315</v>
      </c>
      <c r="T1560" s="667"/>
    </row>
    <row r="1561" spans="1:20" ht="30">
      <c r="A1561" s="518"/>
      <c r="B1561" s="506"/>
      <c r="C1561" s="506" t="s">
        <v>2144</v>
      </c>
      <c r="D1561" s="507" t="s">
        <v>2746</v>
      </c>
      <c r="E1561" s="509" t="str">
        <f>IF('GPS Anthro Tool'!$B$4=1,"North America FMVSS","")</f>
        <v>North America FMVSS</v>
      </c>
      <c r="F1561" s="507" t="s">
        <v>4242</v>
      </c>
      <c r="G1561" s="507" t="s">
        <v>2710</v>
      </c>
      <c r="H1561" s="507" t="s">
        <v>2747</v>
      </c>
      <c r="I1561" s="507"/>
      <c r="J1561" s="506" t="s">
        <v>3960</v>
      </c>
      <c r="K1561" s="519" t="s">
        <v>315</v>
      </c>
      <c r="L1561" s="526" t="s">
        <v>315</v>
      </c>
      <c r="M1561" s="527" t="s">
        <v>315</v>
      </c>
      <c r="N1561" s="528" t="s">
        <v>315</v>
      </c>
      <c r="O1561" s="663"/>
      <c r="P1561" s="529"/>
      <c r="Q1561" s="531"/>
      <c r="R1561" s="530"/>
      <c r="S1561" s="530" t="s">
        <v>315</v>
      </c>
      <c r="T1561" s="667"/>
    </row>
    <row r="1562" spans="1:20" ht="135">
      <c r="A1562" s="518"/>
      <c r="B1562" s="506"/>
      <c r="C1562" s="506" t="s">
        <v>2144</v>
      </c>
      <c r="D1562" s="507" t="s">
        <v>2748</v>
      </c>
      <c r="E1562" s="509" t="str">
        <f>IF('GPS Anthro Tool'!$B$4=1,"North America FMVSS","")</f>
        <v>North America FMVSS</v>
      </c>
      <c r="F1562" s="507" t="s">
        <v>4242</v>
      </c>
      <c r="G1562" s="507" t="s">
        <v>2710</v>
      </c>
      <c r="H1562" s="507" t="s">
        <v>2749</v>
      </c>
      <c r="I1562" s="507"/>
      <c r="J1562" s="506" t="s">
        <v>3960</v>
      </c>
      <c r="K1562" s="519" t="s">
        <v>315</v>
      </c>
      <c r="L1562" s="526" t="s">
        <v>315</v>
      </c>
      <c r="M1562" s="527" t="s">
        <v>315</v>
      </c>
      <c r="N1562" s="528" t="s">
        <v>315</v>
      </c>
      <c r="O1562" s="663"/>
      <c r="P1562" s="529"/>
      <c r="Q1562" s="531"/>
      <c r="R1562" s="530"/>
      <c r="S1562" s="530" t="s">
        <v>315</v>
      </c>
      <c r="T1562" s="667"/>
    </row>
    <row r="1563" spans="1:20" ht="210">
      <c r="A1563" s="518"/>
      <c r="B1563" s="506"/>
      <c r="C1563" s="506" t="s">
        <v>2144</v>
      </c>
      <c r="D1563" s="507" t="s">
        <v>2750</v>
      </c>
      <c r="E1563" s="509" t="str">
        <f>IF('GPS Anthro Tool'!$B$4=1,"North America FMVSS","")</f>
        <v>North America FMVSS</v>
      </c>
      <c r="F1563" s="507" t="s">
        <v>4242</v>
      </c>
      <c r="G1563" s="507" t="s">
        <v>2710</v>
      </c>
      <c r="H1563" s="507" t="s">
        <v>2751</v>
      </c>
      <c r="I1563" s="507"/>
      <c r="J1563" s="506" t="s">
        <v>3960</v>
      </c>
      <c r="K1563" s="519" t="s">
        <v>315</v>
      </c>
      <c r="L1563" s="526" t="s">
        <v>315</v>
      </c>
      <c r="M1563" s="527" t="s">
        <v>315</v>
      </c>
      <c r="N1563" s="528" t="s">
        <v>315</v>
      </c>
      <c r="O1563" s="663"/>
      <c r="P1563" s="529"/>
      <c r="Q1563" s="531"/>
      <c r="R1563" s="530"/>
      <c r="S1563" s="530" t="s">
        <v>315</v>
      </c>
      <c r="T1563" s="667"/>
    </row>
    <row r="1564" spans="1:20" ht="150">
      <c r="A1564" s="518"/>
      <c r="B1564" s="506"/>
      <c r="C1564" s="506" t="s">
        <v>2144</v>
      </c>
      <c r="D1564" s="507" t="s">
        <v>2752</v>
      </c>
      <c r="E1564" s="509" t="str">
        <f>IF('GPS Anthro Tool'!$B$4=1,"North America FMVSS","")</f>
        <v>North America FMVSS</v>
      </c>
      <c r="F1564" s="507" t="s">
        <v>4242</v>
      </c>
      <c r="G1564" s="507" t="s">
        <v>2710</v>
      </c>
      <c r="H1564" s="507" t="s">
        <v>2753</v>
      </c>
      <c r="I1564" s="507"/>
      <c r="J1564" s="506" t="s">
        <v>3960</v>
      </c>
      <c r="K1564" s="519" t="s">
        <v>315</v>
      </c>
      <c r="L1564" s="526" t="s">
        <v>315</v>
      </c>
      <c r="M1564" s="527" t="s">
        <v>315</v>
      </c>
      <c r="N1564" s="528" t="s">
        <v>315</v>
      </c>
      <c r="O1564" s="663"/>
      <c r="P1564" s="529"/>
      <c r="Q1564" s="531"/>
      <c r="R1564" s="530"/>
      <c r="S1564" s="530" t="s">
        <v>315</v>
      </c>
      <c r="T1564" s="667"/>
    </row>
    <row r="1565" spans="1:20" ht="30">
      <c r="A1565" s="518"/>
      <c r="B1565" s="506"/>
      <c r="C1565" s="506" t="s">
        <v>2144</v>
      </c>
      <c r="D1565" s="507" t="s">
        <v>2754</v>
      </c>
      <c r="E1565" s="509" t="str">
        <f>IF('GPS Anthro Tool'!$B$4=1,"North America FMVSS","")</f>
        <v>North America FMVSS</v>
      </c>
      <c r="F1565" s="507" t="s">
        <v>4242</v>
      </c>
      <c r="G1565" s="507" t="s">
        <v>2710</v>
      </c>
      <c r="H1565" s="507" t="s">
        <v>2755</v>
      </c>
      <c r="I1565" s="507"/>
      <c r="J1565" s="506" t="s">
        <v>3960</v>
      </c>
      <c r="K1565" s="519" t="s">
        <v>315</v>
      </c>
      <c r="L1565" s="526" t="s">
        <v>315</v>
      </c>
      <c r="M1565" s="527" t="s">
        <v>315</v>
      </c>
      <c r="N1565" s="528" t="s">
        <v>315</v>
      </c>
      <c r="O1565" s="663"/>
      <c r="P1565" s="529"/>
      <c r="Q1565" s="531"/>
      <c r="R1565" s="530"/>
      <c r="S1565" s="530" t="s">
        <v>315</v>
      </c>
      <c r="T1565" s="667"/>
    </row>
    <row r="1566" spans="1:20" ht="60">
      <c r="A1566" s="518"/>
      <c r="B1566" s="506"/>
      <c r="C1566" s="506" t="s">
        <v>2144</v>
      </c>
      <c r="D1566" s="507" t="s">
        <v>2756</v>
      </c>
      <c r="E1566" s="509" t="str">
        <f>IF('GPS Anthro Tool'!$B$4=1,"North America FMVSS","")</f>
        <v>North America FMVSS</v>
      </c>
      <c r="F1566" s="507" t="s">
        <v>4242</v>
      </c>
      <c r="G1566" s="507" t="s">
        <v>2710</v>
      </c>
      <c r="H1566" s="507" t="s">
        <v>2757</v>
      </c>
      <c r="I1566" s="507"/>
      <c r="J1566" s="506" t="s">
        <v>3960</v>
      </c>
      <c r="K1566" s="519" t="s">
        <v>315</v>
      </c>
      <c r="L1566" s="526" t="s">
        <v>315</v>
      </c>
      <c r="M1566" s="527" t="s">
        <v>315</v>
      </c>
      <c r="N1566" s="528" t="s">
        <v>315</v>
      </c>
      <c r="O1566" s="663"/>
      <c r="P1566" s="529"/>
      <c r="Q1566" s="531"/>
      <c r="R1566" s="530"/>
      <c r="S1566" s="530" t="s">
        <v>315</v>
      </c>
      <c r="T1566" s="667"/>
    </row>
    <row r="1567" spans="1:20" ht="75">
      <c r="A1567" s="518"/>
      <c r="B1567" s="506"/>
      <c r="C1567" s="506" t="s">
        <v>2144</v>
      </c>
      <c r="D1567" s="507" t="s">
        <v>2758</v>
      </c>
      <c r="E1567" s="509" t="str">
        <f>IF('GPS Anthro Tool'!$B$4=1,"North America FMVSS","")</f>
        <v>North America FMVSS</v>
      </c>
      <c r="F1567" s="507" t="s">
        <v>4242</v>
      </c>
      <c r="G1567" s="507" t="s">
        <v>2710</v>
      </c>
      <c r="H1567" s="507" t="s">
        <v>2759</v>
      </c>
      <c r="I1567" s="507"/>
      <c r="J1567" s="506" t="s">
        <v>3960</v>
      </c>
      <c r="K1567" s="519" t="s">
        <v>315</v>
      </c>
      <c r="L1567" s="526" t="s">
        <v>315</v>
      </c>
      <c r="M1567" s="527" t="s">
        <v>315</v>
      </c>
      <c r="N1567" s="528" t="s">
        <v>315</v>
      </c>
      <c r="O1567" s="663"/>
      <c r="P1567" s="529"/>
      <c r="Q1567" s="531"/>
      <c r="R1567" s="530"/>
      <c r="S1567" s="530" t="s">
        <v>315</v>
      </c>
      <c r="T1567" s="667"/>
    </row>
    <row r="1568" spans="1:20" ht="45">
      <c r="A1568" s="518"/>
      <c r="B1568" s="506"/>
      <c r="C1568" s="506" t="s">
        <v>2144</v>
      </c>
      <c r="D1568" s="507" t="s">
        <v>2760</v>
      </c>
      <c r="E1568" s="509" t="str">
        <f>IF('GPS Anthro Tool'!$B$4=1,"North America FMVSS","")</f>
        <v>North America FMVSS</v>
      </c>
      <c r="F1568" s="507" t="s">
        <v>4242</v>
      </c>
      <c r="G1568" s="507" t="s">
        <v>2710</v>
      </c>
      <c r="H1568" s="507" t="s">
        <v>2761</v>
      </c>
      <c r="I1568" s="507"/>
      <c r="J1568" s="506" t="s">
        <v>3960</v>
      </c>
      <c r="K1568" s="519" t="s">
        <v>315</v>
      </c>
      <c r="L1568" s="526" t="s">
        <v>315</v>
      </c>
      <c r="M1568" s="527" t="s">
        <v>315</v>
      </c>
      <c r="N1568" s="528" t="s">
        <v>315</v>
      </c>
      <c r="O1568" s="663"/>
      <c r="P1568" s="529"/>
      <c r="Q1568" s="531"/>
      <c r="R1568" s="530"/>
      <c r="S1568" s="530" t="s">
        <v>315</v>
      </c>
      <c r="T1568" s="667"/>
    </row>
    <row r="1569" spans="1:20" ht="30">
      <c r="A1569" s="518"/>
      <c r="B1569" s="506"/>
      <c r="C1569" s="506" t="s">
        <v>2144</v>
      </c>
      <c r="D1569" s="507" t="s">
        <v>2762</v>
      </c>
      <c r="E1569" s="509" t="str">
        <f>IF('GPS Anthro Tool'!$B$4=1,"North America FMVSS","")</f>
        <v>North America FMVSS</v>
      </c>
      <c r="F1569" s="507" t="s">
        <v>4242</v>
      </c>
      <c r="G1569" s="507" t="s">
        <v>2710</v>
      </c>
      <c r="H1569" s="507" t="s">
        <v>2763</v>
      </c>
      <c r="I1569" s="507"/>
      <c r="J1569" s="506" t="s">
        <v>3960</v>
      </c>
      <c r="K1569" s="519" t="s">
        <v>315</v>
      </c>
      <c r="L1569" s="526" t="s">
        <v>315</v>
      </c>
      <c r="M1569" s="527" t="s">
        <v>315</v>
      </c>
      <c r="N1569" s="528" t="s">
        <v>315</v>
      </c>
      <c r="O1569" s="663"/>
      <c r="P1569" s="529"/>
      <c r="Q1569" s="531"/>
      <c r="R1569" s="530"/>
      <c r="S1569" s="530" t="s">
        <v>315</v>
      </c>
      <c r="T1569" s="667"/>
    </row>
    <row r="1570" spans="1:20" ht="75" hidden="1">
      <c r="A1570" s="518"/>
      <c r="B1570" s="506"/>
      <c r="C1570" s="506" t="s">
        <v>2167</v>
      </c>
      <c r="D1570" s="507" t="s">
        <v>2764</v>
      </c>
      <c r="E1570" s="509" t="str">
        <f>IF('GPS Anthro Tool'!$B$4=1,"North America FMVSS","")</f>
        <v>North America FMVSS</v>
      </c>
      <c r="F1570" s="507" t="s">
        <v>4242</v>
      </c>
      <c r="G1570" s="507" t="s">
        <v>2710</v>
      </c>
      <c r="H1570" s="507" t="s">
        <v>2765</v>
      </c>
      <c r="I1570" s="507"/>
      <c r="J1570" s="506" t="s">
        <v>3960</v>
      </c>
      <c r="K1570" s="519" t="s">
        <v>315</v>
      </c>
      <c r="L1570" s="526" t="s">
        <v>315</v>
      </c>
      <c r="M1570" s="527" t="s">
        <v>315</v>
      </c>
      <c r="N1570" s="528" t="s">
        <v>315</v>
      </c>
      <c r="O1570" s="663"/>
      <c r="P1570" s="529"/>
      <c r="Q1570" s="531"/>
      <c r="R1570" s="530"/>
      <c r="S1570" s="530" t="s">
        <v>315</v>
      </c>
      <c r="T1570" s="667"/>
    </row>
    <row r="1571" spans="1:20" ht="409.5" hidden="1">
      <c r="A1571" s="518"/>
      <c r="B1571" s="506"/>
      <c r="C1571" s="506" t="s">
        <v>2167</v>
      </c>
      <c r="D1571" s="507" t="s">
        <v>2766</v>
      </c>
      <c r="E1571" s="509" t="str">
        <f>IF('GPS Anthro Tool'!$B$4=1,"North America FMVSS","")</f>
        <v>North America FMVSS</v>
      </c>
      <c r="F1571" s="507" t="s">
        <v>4242</v>
      </c>
      <c r="G1571" s="507" t="s">
        <v>2710</v>
      </c>
      <c r="H1571" s="507" t="s">
        <v>2767</v>
      </c>
      <c r="I1571" s="507"/>
      <c r="J1571" s="506" t="s">
        <v>3960</v>
      </c>
      <c r="K1571" s="519" t="s">
        <v>315</v>
      </c>
      <c r="L1571" s="526" t="s">
        <v>315</v>
      </c>
      <c r="M1571" s="527" t="s">
        <v>315</v>
      </c>
      <c r="N1571" s="528" t="s">
        <v>315</v>
      </c>
      <c r="O1571" s="663"/>
      <c r="P1571" s="529"/>
      <c r="Q1571" s="531"/>
      <c r="R1571" s="530"/>
      <c r="S1571" s="530" t="s">
        <v>315</v>
      </c>
      <c r="T1571" s="667"/>
    </row>
    <row r="1572" spans="1:20" ht="105" hidden="1">
      <c r="A1572" s="518"/>
      <c r="B1572" s="506"/>
      <c r="C1572" s="506" t="s">
        <v>2167</v>
      </c>
      <c r="D1572" s="507" t="s">
        <v>2768</v>
      </c>
      <c r="E1572" s="509" t="str">
        <f>IF('GPS Anthro Tool'!$B$4=1,"North America FMVSS","")</f>
        <v>North America FMVSS</v>
      </c>
      <c r="F1572" s="507" t="s">
        <v>4242</v>
      </c>
      <c r="G1572" s="506"/>
      <c r="H1572" s="507" t="s">
        <v>2769</v>
      </c>
      <c r="I1572" s="507"/>
      <c r="J1572" s="506" t="s">
        <v>3960</v>
      </c>
      <c r="K1572" s="519" t="s">
        <v>315</v>
      </c>
      <c r="L1572" s="526" t="s">
        <v>315</v>
      </c>
      <c r="M1572" s="527" t="s">
        <v>315</v>
      </c>
      <c r="N1572" s="528" t="s">
        <v>315</v>
      </c>
      <c r="O1572" s="663"/>
      <c r="P1572" s="529"/>
      <c r="Q1572" s="531"/>
      <c r="R1572" s="530" t="s">
        <v>315</v>
      </c>
      <c r="S1572" s="530" t="s">
        <v>315</v>
      </c>
      <c r="T1572" s="667"/>
    </row>
    <row r="1573" spans="1:20" ht="255" hidden="1">
      <c r="A1573" s="518"/>
      <c r="B1573" s="506"/>
      <c r="C1573" s="506" t="s">
        <v>2167</v>
      </c>
      <c r="D1573" s="507" t="s">
        <v>2770</v>
      </c>
      <c r="E1573" s="509" t="str">
        <f>IF('GPS Anthro Tool'!$B$4=1,"North America FMVSS","")</f>
        <v>North America FMVSS</v>
      </c>
      <c r="F1573" s="507" t="s">
        <v>4242</v>
      </c>
      <c r="G1573" s="507" t="s">
        <v>2710</v>
      </c>
      <c r="H1573" s="507" t="s">
        <v>2771</v>
      </c>
      <c r="I1573" s="507"/>
      <c r="J1573" s="506" t="s">
        <v>3960</v>
      </c>
      <c r="K1573" s="519" t="s">
        <v>315</v>
      </c>
      <c r="L1573" s="526" t="s">
        <v>315</v>
      </c>
      <c r="M1573" s="527" t="s">
        <v>315</v>
      </c>
      <c r="N1573" s="528" t="s">
        <v>315</v>
      </c>
      <c r="O1573" s="663"/>
      <c r="P1573" s="529"/>
      <c r="Q1573" s="531"/>
      <c r="R1573" s="530"/>
      <c r="S1573" s="530" t="s">
        <v>315</v>
      </c>
      <c r="T1573" s="667"/>
    </row>
    <row r="1574" spans="1:20" ht="120" hidden="1">
      <c r="A1574" s="518"/>
      <c r="B1574" s="506"/>
      <c r="C1574" s="506" t="s">
        <v>2167</v>
      </c>
      <c r="D1574" s="507" t="s">
        <v>2772</v>
      </c>
      <c r="E1574" s="509" t="str">
        <f>IF('GPS Anthro Tool'!$B$4=1,"North America FMVSS","")</f>
        <v>North America FMVSS</v>
      </c>
      <c r="F1574" s="507" t="s">
        <v>4242</v>
      </c>
      <c r="G1574" s="507" t="s">
        <v>2710</v>
      </c>
      <c r="H1574" s="507" t="s">
        <v>2773</v>
      </c>
      <c r="I1574" s="507"/>
      <c r="J1574" s="506" t="s">
        <v>3960</v>
      </c>
      <c r="K1574" s="519" t="s">
        <v>315</v>
      </c>
      <c r="L1574" s="526" t="s">
        <v>315</v>
      </c>
      <c r="M1574" s="527" t="s">
        <v>315</v>
      </c>
      <c r="N1574" s="528" t="s">
        <v>315</v>
      </c>
      <c r="O1574" s="663"/>
      <c r="P1574" s="529"/>
      <c r="Q1574" s="531"/>
      <c r="R1574" s="530"/>
      <c r="S1574" s="530" t="s">
        <v>315</v>
      </c>
      <c r="T1574" s="667"/>
    </row>
    <row r="1575" spans="1:20" ht="105" hidden="1">
      <c r="A1575" s="518"/>
      <c r="B1575" s="506"/>
      <c r="C1575" s="506" t="s">
        <v>2167</v>
      </c>
      <c r="D1575" s="507" t="s">
        <v>2774</v>
      </c>
      <c r="E1575" s="509" t="str">
        <f>IF('GPS Anthro Tool'!$B$4=1,"North America FMVSS","")</f>
        <v>North America FMVSS</v>
      </c>
      <c r="F1575" s="507" t="s">
        <v>4242</v>
      </c>
      <c r="G1575" s="507" t="s">
        <v>2710</v>
      </c>
      <c r="H1575" s="507" t="s">
        <v>2775</v>
      </c>
      <c r="I1575" s="507"/>
      <c r="J1575" s="506" t="s">
        <v>3960</v>
      </c>
      <c r="K1575" s="519" t="s">
        <v>315</v>
      </c>
      <c r="L1575" s="526" t="s">
        <v>315</v>
      </c>
      <c r="M1575" s="527" t="s">
        <v>315</v>
      </c>
      <c r="N1575" s="528" t="s">
        <v>315</v>
      </c>
      <c r="O1575" s="663"/>
      <c r="P1575" s="529"/>
      <c r="Q1575" s="531"/>
      <c r="R1575" s="530"/>
      <c r="S1575" s="530" t="s">
        <v>315</v>
      </c>
      <c r="T1575" s="667"/>
    </row>
    <row r="1576" spans="1:20" ht="30" hidden="1">
      <c r="A1576" s="518"/>
      <c r="B1576" s="506"/>
      <c r="C1576" s="506"/>
      <c r="D1576" s="507" t="s">
        <v>2776</v>
      </c>
      <c r="E1576" s="509" t="str">
        <f>IF('GPS Anthro Tool'!$B$4=1,"North America FMVSS","")</f>
        <v>North America FMVSS</v>
      </c>
      <c r="F1576" s="507" t="s">
        <v>4242</v>
      </c>
      <c r="G1576" s="506"/>
      <c r="H1576" s="507" t="s">
        <v>2777</v>
      </c>
      <c r="I1576" s="507"/>
      <c r="J1576" s="506" t="s">
        <v>3960</v>
      </c>
      <c r="K1576" s="519" t="s">
        <v>315</v>
      </c>
      <c r="L1576" s="526" t="s">
        <v>315</v>
      </c>
      <c r="M1576" s="527" t="s">
        <v>315</v>
      </c>
      <c r="N1576" s="528" t="s">
        <v>315</v>
      </c>
      <c r="O1576" s="663"/>
      <c r="P1576" s="529"/>
      <c r="Q1576" s="531"/>
      <c r="R1576" s="530" t="s">
        <v>315</v>
      </c>
      <c r="S1576" s="530" t="s">
        <v>315</v>
      </c>
      <c r="T1576" s="667"/>
    </row>
    <row r="1577" spans="1:20" ht="180">
      <c r="A1577" s="518"/>
      <c r="B1577" s="506"/>
      <c r="C1577" s="506" t="s">
        <v>9</v>
      </c>
      <c r="D1577" s="507" t="s">
        <v>2778</v>
      </c>
      <c r="E1577" s="509" t="str">
        <f>IF('GPS Anthro Tool'!$B$4=1,"North America FMVSS","")</f>
        <v>North America FMVSS</v>
      </c>
      <c r="F1577" s="507" t="s">
        <v>4242</v>
      </c>
      <c r="G1577" s="507" t="s">
        <v>658</v>
      </c>
      <c r="H1577" s="507" t="s">
        <v>2779</v>
      </c>
      <c r="I1577" s="507"/>
      <c r="J1577" s="506" t="s">
        <v>3960</v>
      </c>
      <c r="K1577" s="519" t="s">
        <v>315</v>
      </c>
      <c r="L1577" s="526" t="s">
        <v>315</v>
      </c>
      <c r="M1577" s="527" t="s">
        <v>315</v>
      </c>
      <c r="N1577" s="528" t="s">
        <v>315</v>
      </c>
      <c r="O1577" s="663"/>
      <c r="P1577" s="529"/>
      <c r="Q1577" s="531"/>
      <c r="R1577" s="530"/>
      <c r="S1577" s="530" t="s">
        <v>315</v>
      </c>
      <c r="T1577" s="667"/>
    </row>
    <row r="1578" spans="1:20" ht="30" hidden="1">
      <c r="A1578" s="518"/>
      <c r="B1578" s="506"/>
      <c r="C1578" s="506"/>
      <c r="D1578" s="507" t="s">
        <v>2780</v>
      </c>
      <c r="E1578" s="507" t="str">
        <f>IF('GPS Anthro Tool'!$B$4=1,"North America FMVSS","")</f>
        <v>North America FMVSS</v>
      </c>
      <c r="F1578" s="507" t="s">
        <v>4242</v>
      </c>
      <c r="G1578" s="507" t="s">
        <v>658</v>
      </c>
      <c r="H1578" s="507" t="s">
        <v>2781</v>
      </c>
      <c r="I1578" s="507"/>
      <c r="J1578" s="506" t="s">
        <v>3960</v>
      </c>
      <c r="K1578" s="519" t="s">
        <v>315</v>
      </c>
      <c r="L1578" s="526" t="s">
        <v>315</v>
      </c>
      <c r="M1578" s="527" t="s">
        <v>315</v>
      </c>
      <c r="N1578" s="528" t="s">
        <v>315</v>
      </c>
      <c r="O1578" s="663"/>
      <c r="P1578" s="529"/>
      <c r="Q1578" s="531"/>
      <c r="R1578" s="530" t="s">
        <v>315</v>
      </c>
      <c r="S1578" s="530" t="s">
        <v>315</v>
      </c>
      <c r="T1578" s="667"/>
    </row>
    <row r="1579" spans="1:20" ht="60">
      <c r="A1579" s="518"/>
      <c r="B1579" s="506"/>
      <c r="C1579" s="506" t="s">
        <v>9</v>
      </c>
      <c r="D1579" s="507" t="s">
        <v>2782</v>
      </c>
      <c r="E1579" s="509" t="str">
        <f>IF('GPS Anthro Tool'!$B$4=1,"North America FMVSS","")</f>
        <v>North America FMVSS</v>
      </c>
      <c r="F1579" s="507" t="s">
        <v>4242</v>
      </c>
      <c r="G1579" s="507" t="s">
        <v>658</v>
      </c>
      <c r="H1579" s="507" t="s">
        <v>2783</v>
      </c>
      <c r="I1579" s="507"/>
      <c r="J1579" s="506" t="s">
        <v>3960</v>
      </c>
      <c r="K1579" s="519" t="s">
        <v>315</v>
      </c>
      <c r="L1579" s="526" t="s">
        <v>315</v>
      </c>
      <c r="M1579" s="527" t="s">
        <v>315</v>
      </c>
      <c r="N1579" s="528" t="s">
        <v>315</v>
      </c>
      <c r="O1579" s="663"/>
      <c r="P1579" s="529"/>
      <c r="Q1579" s="531"/>
      <c r="R1579" s="530"/>
      <c r="S1579" s="530" t="s">
        <v>315</v>
      </c>
      <c r="T1579" s="667"/>
    </row>
    <row r="1580" spans="1:20" ht="225">
      <c r="A1580" s="518"/>
      <c r="B1580" s="506"/>
      <c r="C1580" s="506" t="s">
        <v>9</v>
      </c>
      <c r="D1580" s="507" t="s">
        <v>2786</v>
      </c>
      <c r="E1580" s="509" t="str">
        <f>IF('GPS Anthro Tool'!$B$4=1,"North America FMVSS","")</f>
        <v>North America FMVSS</v>
      </c>
      <c r="F1580" s="507" t="s">
        <v>4242</v>
      </c>
      <c r="G1580" s="507" t="s">
        <v>658</v>
      </c>
      <c r="H1580" s="507" t="s">
        <v>2787</v>
      </c>
      <c r="I1580" s="507"/>
      <c r="J1580" s="506" t="s">
        <v>3960</v>
      </c>
      <c r="K1580" s="519" t="s">
        <v>315</v>
      </c>
      <c r="L1580" s="526" t="s">
        <v>315</v>
      </c>
      <c r="M1580" s="527" t="s">
        <v>315</v>
      </c>
      <c r="N1580" s="528" t="s">
        <v>315</v>
      </c>
      <c r="O1580" s="663"/>
      <c r="P1580" s="529"/>
      <c r="Q1580" s="531"/>
      <c r="R1580" s="530"/>
      <c r="S1580" s="530" t="s">
        <v>315</v>
      </c>
      <c r="T1580" s="667"/>
    </row>
    <row r="1581" spans="1:20" ht="165">
      <c r="A1581" s="518"/>
      <c r="B1581" s="506"/>
      <c r="C1581" s="506" t="s">
        <v>9</v>
      </c>
      <c r="D1581" s="507" t="s">
        <v>2791</v>
      </c>
      <c r="E1581" s="509" t="str">
        <f>IF('GPS Anthro Tool'!$B$4=1,"North America FMVSS","")</f>
        <v>North America FMVSS</v>
      </c>
      <c r="F1581" s="507" t="s">
        <v>4242</v>
      </c>
      <c r="G1581" s="507" t="s">
        <v>658</v>
      </c>
      <c r="H1581" s="507" t="s">
        <v>2792</v>
      </c>
      <c r="I1581" s="507"/>
      <c r="J1581" s="506" t="s">
        <v>3960</v>
      </c>
      <c r="K1581" s="519" t="s">
        <v>315</v>
      </c>
      <c r="L1581" s="526" t="s">
        <v>315</v>
      </c>
      <c r="M1581" s="527" t="s">
        <v>315</v>
      </c>
      <c r="N1581" s="528" t="s">
        <v>315</v>
      </c>
      <c r="O1581" s="663"/>
      <c r="P1581" s="529"/>
      <c r="Q1581" s="531"/>
      <c r="R1581" s="530"/>
      <c r="S1581" s="530" t="s">
        <v>315</v>
      </c>
      <c r="T1581" s="667"/>
    </row>
    <row r="1582" spans="1:20" ht="135" hidden="1">
      <c r="A1582" s="518"/>
      <c r="B1582" s="506"/>
      <c r="C1582" s="506" t="s">
        <v>1803</v>
      </c>
      <c r="D1582" s="507" t="s">
        <v>2793</v>
      </c>
      <c r="E1582" s="509" t="str">
        <f>IF('GPS Anthro Tool'!$B$4=1,"North America FMVSS","")</f>
        <v>North America FMVSS</v>
      </c>
      <c r="F1582" s="507" t="s">
        <v>4242</v>
      </c>
      <c r="G1582" s="507" t="s">
        <v>1804</v>
      </c>
      <c r="H1582" s="507" t="s">
        <v>2794</v>
      </c>
      <c r="I1582" s="507"/>
      <c r="J1582" s="506" t="s">
        <v>3960</v>
      </c>
      <c r="K1582" s="519" t="s">
        <v>315</v>
      </c>
      <c r="L1582" s="526" t="s">
        <v>315</v>
      </c>
      <c r="M1582" s="527" t="s">
        <v>315</v>
      </c>
      <c r="N1582" s="528" t="s">
        <v>315</v>
      </c>
      <c r="O1582" s="663"/>
      <c r="P1582" s="529"/>
      <c r="Q1582" s="531"/>
      <c r="R1582" s="530"/>
      <c r="S1582" s="530" t="s">
        <v>315</v>
      </c>
      <c r="T1582" s="667"/>
    </row>
    <row r="1583" spans="1:20" ht="135" hidden="1">
      <c r="A1583" s="518"/>
      <c r="B1583" s="506"/>
      <c r="C1583" s="506" t="s">
        <v>1803</v>
      </c>
      <c r="D1583" s="507" t="s">
        <v>2795</v>
      </c>
      <c r="E1583" s="509" t="str">
        <f>IF('GPS Anthro Tool'!$B$4=1,"North America FMVSS","")</f>
        <v>North America FMVSS</v>
      </c>
      <c r="F1583" s="507" t="s">
        <v>4242</v>
      </c>
      <c r="G1583" s="507" t="s">
        <v>2796</v>
      </c>
      <c r="H1583" s="507" t="s">
        <v>2797</v>
      </c>
      <c r="I1583" s="507"/>
      <c r="J1583" s="506" t="s">
        <v>3960</v>
      </c>
      <c r="K1583" s="519" t="s">
        <v>315</v>
      </c>
      <c r="L1583" s="526" t="s">
        <v>315</v>
      </c>
      <c r="M1583" s="527" t="s">
        <v>315</v>
      </c>
      <c r="N1583" s="528" t="s">
        <v>315</v>
      </c>
      <c r="O1583" s="663"/>
      <c r="P1583" s="529"/>
      <c r="Q1583" s="531"/>
      <c r="R1583" s="530"/>
      <c r="S1583" s="530" t="s">
        <v>315</v>
      </c>
      <c r="T1583" s="667"/>
    </row>
    <row r="1584" spans="1:20" ht="135" hidden="1">
      <c r="A1584" s="518"/>
      <c r="B1584" s="506"/>
      <c r="C1584" s="506" t="s">
        <v>1803</v>
      </c>
      <c r="D1584" s="507" t="s">
        <v>2795</v>
      </c>
      <c r="E1584" s="509" t="str">
        <f>IF('GPS Anthro Tool'!$B$4=1,"North America FMVSS","")</f>
        <v>North America FMVSS</v>
      </c>
      <c r="F1584" s="507" t="s">
        <v>4242</v>
      </c>
      <c r="G1584" s="507" t="s">
        <v>1804</v>
      </c>
      <c r="H1584" s="507" t="s">
        <v>2798</v>
      </c>
      <c r="I1584" s="507"/>
      <c r="J1584" s="506" t="s">
        <v>3960</v>
      </c>
      <c r="K1584" s="519" t="s">
        <v>315</v>
      </c>
      <c r="L1584" s="526" t="s">
        <v>315</v>
      </c>
      <c r="M1584" s="527" t="s">
        <v>315</v>
      </c>
      <c r="N1584" s="528" t="s">
        <v>315</v>
      </c>
      <c r="O1584" s="663"/>
      <c r="P1584" s="529"/>
      <c r="Q1584" s="531"/>
      <c r="R1584" s="530"/>
      <c r="S1584" s="530" t="s">
        <v>315</v>
      </c>
      <c r="T1584" s="667"/>
    </row>
    <row r="1585" spans="1:20" ht="360" hidden="1">
      <c r="A1585" s="518"/>
      <c r="B1585" s="506"/>
      <c r="C1585" s="506" t="s">
        <v>1803</v>
      </c>
      <c r="D1585" s="507" t="s">
        <v>2799</v>
      </c>
      <c r="E1585" s="509" t="str">
        <f>IF('GPS Anthro Tool'!$B$4=1,"North America FMVSS","")</f>
        <v>North America FMVSS</v>
      </c>
      <c r="F1585" s="507" t="s">
        <v>4242</v>
      </c>
      <c r="G1585" s="507" t="s">
        <v>1804</v>
      </c>
      <c r="H1585" s="507" t="s">
        <v>2800</v>
      </c>
      <c r="I1585" s="507"/>
      <c r="J1585" s="506" t="s">
        <v>3960</v>
      </c>
      <c r="K1585" s="519" t="s">
        <v>315</v>
      </c>
      <c r="L1585" s="526" t="s">
        <v>315</v>
      </c>
      <c r="M1585" s="527" t="s">
        <v>315</v>
      </c>
      <c r="N1585" s="528" t="s">
        <v>315</v>
      </c>
      <c r="O1585" s="663"/>
      <c r="P1585" s="529"/>
      <c r="Q1585" s="531"/>
      <c r="R1585" s="530"/>
      <c r="S1585" s="530" t="s">
        <v>315</v>
      </c>
      <c r="T1585" s="667"/>
    </row>
    <row r="1586" spans="1:20" ht="90" hidden="1">
      <c r="A1586" s="518"/>
      <c r="B1586" s="506"/>
      <c r="C1586" s="506" t="s">
        <v>1803</v>
      </c>
      <c r="D1586" s="507" t="s">
        <v>2801</v>
      </c>
      <c r="E1586" s="509" t="str">
        <f>IF('GPS Anthro Tool'!$B$4=1,"North America FMVSS","")</f>
        <v>North America FMVSS</v>
      </c>
      <c r="F1586" s="507" t="s">
        <v>4242</v>
      </c>
      <c r="G1586" s="507" t="s">
        <v>1804</v>
      </c>
      <c r="H1586" s="507" t="s">
        <v>2802</v>
      </c>
      <c r="I1586" s="507"/>
      <c r="J1586" s="506" t="s">
        <v>3960</v>
      </c>
      <c r="K1586" s="519" t="s">
        <v>315</v>
      </c>
      <c r="L1586" s="526" t="s">
        <v>315</v>
      </c>
      <c r="M1586" s="527" t="s">
        <v>315</v>
      </c>
      <c r="N1586" s="528" t="s">
        <v>315</v>
      </c>
      <c r="O1586" s="663"/>
      <c r="P1586" s="529"/>
      <c r="Q1586" s="531"/>
      <c r="R1586" s="530"/>
      <c r="S1586" s="530" t="s">
        <v>315</v>
      </c>
      <c r="T1586" s="667"/>
    </row>
    <row r="1587" spans="1:20" ht="180" hidden="1">
      <c r="A1587" s="518"/>
      <c r="B1587" s="506"/>
      <c r="C1587" s="506" t="s">
        <v>1803</v>
      </c>
      <c r="D1587" s="507" t="s">
        <v>2803</v>
      </c>
      <c r="E1587" s="509" t="str">
        <f>IF('GPS Anthro Tool'!$B$4=1,"North America FMVSS","")</f>
        <v>North America FMVSS</v>
      </c>
      <c r="F1587" s="507" t="s">
        <v>4242</v>
      </c>
      <c r="G1587" s="507" t="s">
        <v>1804</v>
      </c>
      <c r="H1587" s="507" t="s">
        <v>2804</v>
      </c>
      <c r="I1587" s="507"/>
      <c r="J1587" s="506" t="s">
        <v>3960</v>
      </c>
      <c r="K1587" s="519" t="s">
        <v>315</v>
      </c>
      <c r="L1587" s="526" t="s">
        <v>315</v>
      </c>
      <c r="M1587" s="527" t="s">
        <v>315</v>
      </c>
      <c r="N1587" s="528" t="s">
        <v>315</v>
      </c>
      <c r="O1587" s="663"/>
      <c r="P1587" s="529"/>
      <c r="Q1587" s="531"/>
      <c r="R1587" s="530"/>
      <c r="S1587" s="530" t="s">
        <v>315</v>
      </c>
      <c r="T1587" s="667"/>
    </row>
    <row r="1588" spans="1:20" ht="90" hidden="1">
      <c r="A1588" s="518"/>
      <c r="B1588" s="506"/>
      <c r="C1588" s="506" t="s">
        <v>1803</v>
      </c>
      <c r="D1588" s="507" t="s">
        <v>2805</v>
      </c>
      <c r="E1588" s="509" t="str">
        <f>IF('GPS Anthro Tool'!$B$4=1,"North America FMVSS","")</f>
        <v>North America FMVSS</v>
      </c>
      <c r="F1588" s="507" t="s">
        <v>4242</v>
      </c>
      <c r="G1588" s="507" t="s">
        <v>1804</v>
      </c>
      <c r="H1588" s="507" t="s">
        <v>2806</v>
      </c>
      <c r="I1588" s="507"/>
      <c r="J1588" s="506" t="s">
        <v>3960</v>
      </c>
      <c r="K1588" s="519" t="s">
        <v>315</v>
      </c>
      <c r="L1588" s="526" t="s">
        <v>315</v>
      </c>
      <c r="M1588" s="527" t="s">
        <v>315</v>
      </c>
      <c r="N1588" s="528" t="s">
        <v>315</v>
      </c>
      <c r="O1588" s="663"/>
      <c r="P1588" s="529"/>
      <c r="Q1588" s="531"/>
      <c r="R1588" s="530"/>
      <c r="S1588" s="530" t="s">
        <v>315</v>
      </c>
      <c r="T1588" s="667"/>
    </row>
    <row r="1589" spans="1:20" ht="45" hidden="1">
      <c r="A1589" s="518"/>
      <c r="B1589" s="506"/>
      <c r="C1589" s="506" t="s">
        <v>1803</v>
      </c>
      <c r="D1589" s="507" t="s">
        <v>2807</v>
      </c>
      <c r="E1589" s="509" t="str">
        <f>IF('GPS Anthro Tool'!$B$4=1,"North America FMVSS","")</f>
        <v>North America FMVSS</v>
      </c>
      <c r="F1589" s="507" t="s">
        <v>4242</v>
      </c>
      <c r="G1589" s="507" t="s">
        <v>1804</v>
      </c>
      <c r="H1589" s="507" t="s">
        <v>2808</v>
      </c>
      <c r="I1589" s="507"/>
      <c r="J1589" s="506" t="s">
        <v>3960</v>
      </c>
      <c r="K1589" s="519" t="s">
        <v>315</v>
      </c>
      <c r="L1589" s="526" t="s">
        <v>315</v>
      </c>
      <c r="M1589" s="527" t="s">
        <v>315</v>
      </c>
      <c r="N1589" s="528" t="s">
        <v>315</v>
      </c>
      <c r="O1589" s="663"/>
      <c r="P1589" s="529"/>
      <c r="Q1589" s="531"/>
      <c r="R1589" s="530"/>
      <c r="S1589" s="530" t="s">
        <v>315</v>
      </c>
      <c r="T1589" s="667"/>
    </row>
    <row r="1590" spans="1:20" ht="345" hidden="1">
      <c r="A1590" s="518"/>
      <c r="B1590" s="506"/>
      <c r="C1590" s="506" t="s">
        <v>1803</v>
      </c>
      <c r="D1590" s="507" t="s">
        <v>2809</v>
      </c>
      <c r="E1590" s="509" t="str">
        <f>IF('GPS Anthro Tool'!$B$4=1,"North America FMVSS","")</f>
        <v>North America FMVSS</v>
      </c>
      <c r="F1590" s="507" t="s">
        <v>4242</v>
      </c>
      <c r="G1590" s="507" t="s">
        <v>1804</v>
      </c>
      <c r="H1590" s="507" t="s">
        <v>2810</v>
      </c>
      <c r="I1590" s="507"/>
      <c r="J1590" s="506" t="s">
        <v>3960</v>
      </c>
      <c r="K1590" s="519" t="s">
        <v>315</v>
      </c>
      <c r="L1590" s="526" t="s">
        <v>315</v>
      </c>
      <c r="M1590" s="527" t="s">
        <v>315</v>
      </c>
      <c r="N1590" s="528" t="s">
        <v>315</v>
      </c>
      <c r="O1590" s="663"/>
      <c r="P1590" s="529"/>
      <c r="Q1590" s="531"/>
      <c r="R1590" s="530"/>
      <c r="S1590" s="530" t="s">
        <v>315</v>
      </c>
      <c r="T1590" s="667"/>
    </row>
    <row r="1591" spans="1:20" ht="375" hidden="1">
      <c r="A1591" s="518"/>
      <c r="B1591" s="506"/>
      <c r="C1591" s="506" t="s">
        <v>1803</v>
      </c>
      <c r="D1591" s="507" t="s">
        <v>2811</v>
      </c>
      <c r="E1591" s="509" t="str">
        <f>IF('GPS Anthro Tool'!$B$4=1,"North America FMVSS","")</f>
        <v>North America FMVSS</v>
      </c>
      <c r="F1591" s="507" t="s">
        <v>4242</v>
      </c>
      <c r="G1591" s="507" t="s">
        <v>1804</v>
      </c>
      <c r="H1591" s="507" t="s">
        <v>2812</v>
      </c>
      <c r="I1591" s="507"/>
      <c r="J1591" s="506" t="s">
        <v>3960</v>
      </c>
      <c r="K1591" s="519" t="s">
        <v>315</v>
      </c>
      <c r="L1591" s="526" t="s">
        <v>315</v>
      </c>
      <c r="M1591" s="527" t="s">
        <v>315</v>
      </c>
      <c r="N1591" s="528" t="s">
        <v>315</v>
      </c>
      <c r="O1591" s="663"/>
      <c r="P1591" s="529"/>
      <c r="Q1591" s="531"/>
      <c r="R1591" s="530"/>
      <c r="S1591" s="530" t="s">
        <v>315</v>
      </c>
      <c r="T1591" s="667"/>
    </row>
    <row r="1592" spans="1:20" ht="30">
      <c r="A1592" s="518"/>
      <c r="B1592" s="506"/>
      <c r="C1592" s="506" t="s">
        <v>9</v>
      </c>
      <c r="D1592" s="507" t="s">
        <v>2813</v>
      </c>
      <c r="E1592" s="509" t="str">
        <f>IF('GPS Anthro Tool'!$B$4=1,"North America FMVSS","")</f>
        <v>North America FMVSS</v>
      </c>
      <c r="F1592" s="507" t="s">
        <v>4242</v>
      </c>
      <c r="G1592" s="507" t="s">
        <v>2814</v>
      </c>
      <c r="H1592" s="507" t="s">
        <v>2815</v>
      </c>
      <c r="I1592" s="507"/>
      <c r="J1592" s="506" t="s">
        <v>3960</v>
      </c>
      <c r="K1592" s="519" t="s">
        <v>315</v>
      </c>
      <c r="L1592" s="526" t="s">
        <v>315</v>
      </c>
      <c r="M1592" s="527" t="s">
        <v>315</v>
      </c>
      <c r="N1592" s="528" t="s">
        <v>315</v>
      </c>
      <c r="O1592" s="663"/>
      <c r="P1592" s="529"/>
      <c r="Q1592" s="531"/>
      <c r="R1592" s="530"/>
      <c r="S1592" s="530" t="s">
        <v>315</v>
      </c>
      <c r="T1592" s="667"/>
    </row>
    <row r="1593" spans="1:20" ht="30">
      <c r="A1593" s="518"/>
      <c r="B1593" s="506"/>
      <c r="C1593" s="506" t="s">
        <v>9</v>
      </c>
      <c r="D1593" s="507" t="s">
        <v>2816</v>
      </c>
      <c r="E1593" s="509" t="str">
        <f>IF('GPS Anthro Tool'!$B$4=1,"North America FMVSS","")</f>
        <v>North America FMVSS</v>
      </c>
      <c r="F1593" s="507" t="s">
        <v>4242</v>
      </c>
      <c r="G1593" s="507" t="s">
        <v>2814</v>
      </c>
      <c r="H1593" s="507" t="s">
        <v>2817</v>
      </c>
      <c r="I1593" s="507"/>
      <c r="J1593" s="506" t="s">
        <v>3960</v>
      </c>
      <c r="K1593" s="519" t="s">
        <v>315</v>
      </c>
      <c r="L1593" s="526" t="s">
        <v>315</v>
      </c>
      <c r="M1593" s="527" t="s">
        <v>315</v>
      </c>
      <c r="N1593" s="528" t="s">
        <v>315</v>
      </c>
      <c r="O1593" s="663"/>
      <c r="P1593" s="529"/>
      <c r="Q1593" s="531"/>
      <c r="R1593" s="530"/>
      <c r="S1593" s="530" t="s">
        <v>315</v>
      </c>
      <c r="T1593" s="667"/>
    </row>
    <row r="1594" spans="1:20" ht="45">
      <c r="A1594" s="518"/>
      <c r="B1594" s="506"/>
      <c r="C1594" s="506" t="s">
        <v>9</v>
      </c>
      <c r="D1594" s="507" t="s">
        <v>2818</v>
      </c>
      <c r="E1594" s="509" t="str">
        <f>IF('GPS Anthro Tool'!$B$4=1,"North America FMVSS","")</f>
        <v>North America FMVSS</v>
      </c>
      <c r="F1594" s="507" t="s">
        <v>4242</v>
      </c>
      <c r="G1594" s="507" t="s">
        <v>2814</v>
      </c>
      <c r="H1594" s="507" t="s">
        <v>2819</v>
      </c>
      <c r="I1594" s="507"/>
      <c r="J1594" s="506" t="s">
        <v>3960</v>
      </c>
      <c r="K1594" s="519" t="s">
        <v>315</v>
      </c>
      <c r="L1594" s="526" t="s">
        <v>315</v>
      </c>
      <c r="M1594" s="527" t="s">
        <v>315</v>
      </c>
      <c r="N1594" s="528" t="s">
        <v>315</v>
      </c>
      <c r="O1594" s="663"/>
      <c r="P1594" s="529"/>
      <c r="Q1594" s="531"/>
      <c r="R1594" s="530"/>
      <c r="S1594" s="530" t="s">
        <v>315</v>
      </c>
      <c r="T1594" s="667"/>
    </row>
    <row r="1595" spans="1:20" ht="30">
      <c r="A1595" s="518"/>
      <c r="B1595" s="506"/>
      <c r="C1595" s="506" t="s">
        <v>9</v>
      </c>
      <c r="D1595" s="507" t="s">
        <v>2820</v>
      </c>
      <c r="E1595" s="509" t="str">
        <f>IF('GPS Anthro Tool'!$B$4=1,"North America FMVSS","")</f>
        <v>North America FMVSS</v>
      </c>
      <c r="F1595" s="507" t="s">
        <v>4242</v>
      </c>
      <c r="G1595" s="507" t="s">
        <v>2814</v>
      </c>
      <c r="H1595" s="507" t="s">
        <v>2821</v>
      </c>
      <c r="I1595" s="507"/>
      <c r="J1595" s="506" t="s">
        <v>3960</v>
      </c>
      <c r="K1595" s="519" t="s">
        <v>315</v>
      </c>
      <c r="L1595" s="526" t="s">
        <v>315</v>
      </c>
      <c r="M1595" s="527" t="s">
        <v>315</v>
      </c>
      <c r="N1595" s="528" t="s">
        <v>315</v>
      </c>
      <c r="O1595" s="663"/>
      <c r="P1595" s="529"/>
      <c r="Q1595" s="531"/>
      <c r="R1595" s="530"/>
      <c r="S1595" s="530" t="s">
        <v>315</v>
      </c>
      <c r="T1595" s="667"/>
    </row>
    <row r="1596" spans="1:20" ht="120">
      <c r="A1596" s="518"/>
      <c r="B1596" s="506"/>
      <c r="C1596" s="506" t="s">
        <v>9</v>
      </c>
      <c r="D1596" s="507" t="s">
        <v>2822</v>
      </c>
      <c r="E1596" s="509" t="str">
        <f>IF('GPS Anthro Tool'!$B$4=1,"North America FMVSS","")</f>
        <v>North America FMVSS</v>
      </c>
      <c r="F1596" s="507" t="s">
        <v>4242</v>
      </c>
      <c r="G1596" s="507" t="s">
        <v>2814</v>
      </c>
      <c r="H1596" s="507" t="s">
        <v>2823</v>
      </c>
      <c r="I1596" s="507"/>
      <c r="J1596" s="506" t="s">
        <v>3960</v>
      </c>
      <c r="K1596" s="519" t="s">
        <v>315</v>
      </c>
      <c r="L1596" s="526" t="s">
        <v>315</v>
      </c>
      <c r="M1596" s="527" t="s">
        <v>315</v>
      </c>
      <c r="N1596" s="528" t="s">
        <v>315</v>
      </c>
      <c r="O1596" s="663"/>
      <c r="P1596" s="529"/>
      <c r="Q1596" s="531"/>
      <c r="R1596" s="530"/>
      <c r="S1596" s="530" t="s">
        <v>315</v>
      </c>
      <c r="T1596" s="667"/>
    </row>
    <row r="1597" spans="1:20" ht="285">
      <c r="A1597" s="518"/>
      <c r="B1597" s="506"/>
      <c r="C1597" s="506" t="s">
        <v>9</v>
      </c>
      <c r="D1597" s="507" t="s">
        <v>2824</v>
      </c>
      <c r="E1597" s="509" t="str">
        <f>IF('GPS Anthro Tool'!$B$4=1,"North America FMVSS","")</f>
        <v>North America FMVSS</v>
      </c>
      <c r="F1597" s="507" t="s">
        <v>4242</v>
      </c>
      <c r="G1597" s="507" t="s">
        <v>2814</v>
      </c>
      <c r="H1597" s="507" t="s">
        <v>2825</v>
      </c>
      <c r="I1597" s="507"/>
      <c r="J1597" s="506" t="s">
        <v>3960</v>
      </c>
      <c r="K1597" s="519" t="s">
        <v>315</v>
      </c>
      <c r="L1597" s="526" t="s">
        <v>315</v>
      </c>
      <c r="M1597" s="527" t="s">
        <v>315</v>
      </c>
      <c r="N1597" s="528" t="s">
        <v>315</v>
      </c>
      <c r="O1597" s="663"/>
      <c r="P1597" s="529"/>
      <c r="Q1597" s="531"/>
      <c r="R1597" s="530"/>
      <c r="S1597" s="530" t="s">
        <v>315</v>
      </c>
      <c r="T1597" s="667"/>
    </row>
    <row r="1598" spans="1:20" ht="120">
      <c r="A1598" s="518"/>
      <c r="B1598" s="506"/>
      <c r="C1598" s="506" t="s">
        <v>9</v>
      </c>
      <c r="D1598" s="507" t="s">
        <v>2826</v>
      </c>
      <c r="E1598" s="509" t="str">
        <f>IF('GPS Anthro Tool'!$B$4=1,"North America FMVSS","")</f>
        <v>North America FMVSS</v>
      </c>
      <c r="F1598" s="507" t="s">
        <v>4242</v>
      </c>
      <c r="G1598" s="507" t="s">
        <v>2814</v>
      </c>
      <c r="H1598" s="507" t="s">
        <v>2827</v>
      </c>
      <c r="I1598" s="507"/>
      <c r="J1598" s="506" t="s">
        <v>3960</v>
      </c>
      <c r="K1598" s="519" t="s">
        <v>315</v>
      </c>
      <c r="L1598" s="526" t="s">
        <v>315</v>
      </c>
      <c r="M1598" s="527" t="s">
        <v>315</v>
      </c>
      <c r="N1598" s="528" t="s">
        <v>315</v>
      </c>
      <c r="O1598" s="663"/>
      <c r="P1598" s="529"/>
      <c r="Q1598" s="531"/>
      <c r="R1598" s="530"/>
      <c r="S1598" s="530" t="s">
        <v>315</v>
      </c>
      <c r="T1598" s="667"/>
    </row>
    <row r="1599" spans="1:20" ht="210">
      <c r="A1599" s="518"/>
      <c r="B1599" s="506"/>
      <c r="C1599" s="506" t="s">
        <v>9</v>
      </c>
      <c r="D1599" s="507" t="s">
        <v>2828</v>
      </c>
      <c r="E1599" s="509" t="str">
        <f>IF('GPS Anthro Tool'!$B$4=1,"North America FMVSS","")</f>
        <v>North America FMVSS</v>
      </c>
      <c r="F1599" s="507" t="s">
        <v>4242</v>
      </c>
      <c r="G1599" s="507" t="s">
        <v>2814</v>
      </c>
      <c r="H1599" s="507" t="s">
        <v>2829</v>
      </c>
      <c r="I1599" s="507"/>
      <c r="J1599" s="506" t="s">
        <v>3960</v>
      </c>
      <c r="K1599" s="519" t="s">
        <v>315</v>
      </c>
      <c r="L1599" s="526" t="s">
        <v>315</v>
      </c>
      <c r="M1599" s="527" t="s">
        <v>315</v>
      </c>
      <c r="N1599" s="528" t="s">
        <v>315</v>
      </c>
      <c r="O1599" s="663"/>
      <c r="P1599" s="529"/>
      <c r="Q1599" s="531"/>
      <c r="R1599" s="530"/>
      <c r="S1599" s="530" t="s">
        <v>315</v>
      </c>
      <c r="T1599" s="667"/>
    </row>
    <row r="1600" spans="1:20" ht="60">
      <c r="A1600" s="518"/>
      <c r="B1600" s="506"/>
      <c r="C1600" s="506" t="s">
        <v>9</v>
      </c>
      <c r="D1600" s="507" t="s">
        <v>2830</v>
      </c>
      <c r="E1600" s="509" t="str">
        <f>IF('GPS Anthro Tool'!$B$4=1,"North America FMVSS","")</f>
        <v>North America FMVSS</v>
      </c>
      <c r="F1600" s="507" t="s">
        <v>4242</v>
      </c>
      <c r="G1600" s="507" t="s">
        <v>2814</v>
      </c>
      <c r="H1600" s="507" t="s">
        <v>2831</v>
      </c>
      <c r="I1600" s="507"/>
      <c r="J1600" s="506" t="s">
        <v>3960</v>
      </c>
      <c r="K1600" s="519" t="s">
        <v>315</v>
      </c>
      <c r="L1600" s="526" t="s">
        <v>315</v>
      </c>
      <c r="M1600" s="527" t="s">
        <v>315</v>
      </c>
      <c r="N1600" s="528" t="s">
        <v>315</v>
      </c>
      <c r="O1600" s="663"/>
      <c r="P1600" s="529"/>
      <c r="Q1600" s="531"/>
      <c r="R1600" s="530"/>
      <c r="S1600" s="530" t="s">
        <v>315</v>
      </c>
      <c r="T1600" s="667"/>
    </row>
    <row r="1601" spans="1:20" ht="45">
      <c r="A1601" s="518"/>
      <c r="B1601" s="506"/>
      <c r="C1601" s="506" t="s">
        <v>9</v>
      </c>
      <c r="D1601" s="507" t="s">
        <v>2832</v>
      </c>
      <c r="E1601" s="509" t="str">
        <f>IF('GPS Anthro Tool'!$B$4=1,"North America FMVSS","")</f>
        <v>North America FMVSS</v>
      </c>
      <c r="F1601" s="507" t="s">
        <v>4242</v>
      </c>
      <c r="G1601" s="507" t="s">
        <v>2833</v>
      </c>
      <c r="H1601" s="507" t="s">
        <v>2834</v>
      </c>
      <c r="I1601" s="507"/>
      <c r="J1601" s="506" t="s">
        <v>3960</v>
      </c>
      <c r="K1601" s="519" t="s">
        <v>315</v>
      </c>
      <c r="L1601" s="526" t="s">
        <v>315</v>
      </c>
      <c r="M1601" s="527" t="s">
        <v>315</v>
      </c>
      <c r="N1601" s="528" t="s">
        <v>315</v>
      </c>
      <c r="O1601" s="663"/>
      <c r="P1601" s="529"/>
      <c r="Q1601" s="531"/>
      <c r="R1601" s="530"/>
      <c r="S1601" s="530" t="s">
        <v>315</v>
      </c>
      <c r="T1601" s="667"/>
    </row>
    <row r="1602" spans="1:20" ht="135">
      <c r="A1602" s="518"/>
      <c r="B1602" s="506"/>
      <c r="C1602" s="506" t="s">
        <v>9</v>
      </c>
      <c r="D1602" s="507" t="s">
        <v>2835</v>
      </c>
      <c r="E1602" s="509" t="str">
        <f>IF('GPS Anthro Tool'!$B$4=1,"North America FMVSS","")</f>
        <v>North America FMVSS</v>
      </c>
      <c r="F1602" s="507" t="s">
        <v>4242</v>
      </c>
      <c r="G1602" s="507" t="s">
        <v>2833</v>
      </c>
      <c r="H1602" s="507" t="s">
        <v>2836</v>
      </c>
      <c r="I1602" s="507"/>
      <c r="J1602" s="506" t="s">
        <v>3960</v>
      </c>
      <c r="K1602" s="519" t="s">
        <v>315</v>
      </c>
      <c r="L1602" s="526" t="s">
        <v>315</v>
      </c>
      <c r="M1602" s="527" t="s">
        <v>315</v>
      </c>
      <c r="N1602" s="528" t="s">
        <v>315</v>
      </c>
      <c r="O1602" s="663"/>
      <c r="P1602" s="529"/>
      <c r="Q1602" s="531"/>
      <c r="R1602" s="530"/>
      <c r="S1602" s="530" t="s">
        <v>315</v>
      </c>
      <c r="T1602" s="667"/>
    </row>
    <row r="1603" spans="1:20" ht="135">
      <c r="A1603" s="518"/>
      <c r="B1603" s="506"/>
      <c r="C1603" s="506" t="s">
        <v>9</v>
      </c>
      <c r="D1603" s="507" t="s">
        <v>2837</v>
      </c>
      <c r="E1603" s="509" t="str">
        <f>IF('GPS Anthro Tool'!$B$4=1,"North America FMVSS","")</f>
        <v>North America FMVSS</v>
      </c>
      <c r="F1603" s="507" t="s">
        <v>4242</v>
      </c>
      <c r="G1603" s="507" t="s">
        <v>2833</v>
      </c>
      <c r="H1603" s="507" t="s">
        <v>2838</v>
      </c>
      <c r="I1603" s="507"/>
      <c r="J1603" s="506" t="s">
        <v>3960</v>
      </c>
      <c r="K1603" s="519" t="s">
        <v>315</v>
      </c>
      <c r="L1603" s="526" t="s">
        <v>315</v>
      </c>
      <c r="M1603" s="527" t="s">
        <v>315</v>
      </c>
      <c r="N1603" s="528" t="s">
        <v>315</v>
      </c>
      <c r="O1603" s="663"/>
      <c r="P1603" s="529"/>
      <c r="Q1603" s="531"/>
      <c r="R1603" s="530"/>
      <c r="S1603" s="530" t="s">
        <v>315</v>
      </c>
      <c r="T1603" s="667"/>
    </row>
    <row r="1604" spans="1:20" ht="30" hidden="1">
      <c r="A1604" s="518"/>
      <c r="B1604" s="670" t="s">
        <v>604</v>
      </c>
      <c r="C1604" s="659" t="s">
        <v>2048</v>
      </c>
      <c r="D1604" s="660"/>
      <c r="E1604" s="509" t="str">
        <f>IF('GPS Anthro Tool'!$B$4=1,"North America FMVSS","")</f>
        <v>North America FMVSS</v>
      </c>
      <c r="F1604" s="506" t="s">
        <v>4242</v>
      </c>
      <c r="G1604" s="506"/>
      <c r="H1604" s="660" t="s">
        <v>3986</v>
      </c>
      <c r="I1604" s="639"/>
      <c r="J1604" s="513"/>
      <c r="K1604" s="639"/>
      <c r="L1604" s="526" t="s">
        <v>315</v>
      </c>
      <c r="M1604" s="527" t="s">
        <v>315</v>
      </c>
      <c r="N1604" s="528" t="s">
        <v>315</v>
      </c>
      <c r="O1604" s="663"/>
      <c r="P1604" s="529"/>
      <c r="Q1604" s="531"/>
      <c r="R1604" s="530"/>
      <c r="S1604" s="530" t="s">
        <v>315</v>
      </c>
      <c r="T1604" s="667"/>
    </row>
    <row r="1605" spans="1:20" ht="60" hidden="1">
      <c r="A1605" s="518"/>
      <c r="B1605" s="506"/>
      <c r="C1605" s="513"/>
      <c r="D1605" s="514" t="s">
        <v>2994</v>
      </c>
      <c r="E1605" s="507" t="str">
        <f>IF('GPS Anthro Tool'!$B$4=1,"North America FMVSS / North America CMVSS","")</f>
        <v>North America FMVSS / North America CMVSS</v>
      </c>
      <c r="F1605" s="506" t="s">
        <v>4316</v>
      </c>
      <c r="G1605" s="514" t="s">
        <v>2995</v>
      </c>
      <c r="H1605" s="514" t="s">
        <v>2996</v>
      </c>
      <c r="I1605" s="514"/>
      <c r="J1605" s="506" t="s">
        <v>3960</v>
      </c>
      <c r="K1605" s="519" t="s">
        <v>315</v>
      </c>
      <c r="L1605" s="526" t="s">
        <v>315</v>
      </c>
      <c r="M1605" s="527" t="s">
        <v>315</v>
      </c>
      <c r="N1605" s="528" t="s">
        <v>315</v>
      </c>
      <c r="O1605" s="663"/>
      <c r="P1605" s="529"/>
      <c r="Q1605" s="531"/>
      <c r="R1605" s="530"/>
      <c r="S1605" s="530" t="s">
        <v>315</v>
      </c>
      <c r="T1605" s="667"/>
    </row>
    <row r="1606" spans="1:20" ht="75" hidden="1">
      <c r="A1606" s="518"/>
      <c r="B1606" s="506"/>
      <c r="C1606" s="506" t="s">
        <v>2281</v>
      </c>
      <c r="D1606" s="509" t="s">
        <v>2282</v>
      </c>
      <c r="E1606" s="507" t="str">
        <f>IF('GPS Anthro Tool'!$B$4=1,"North America FMVSS / North America CMVSS","")</f>
        <v>North America FMVSS / North America CMVSS</v>
      </c>
      <c r="F1606" s="506" t="s">
        <v>4316</v>
      </c>
      <c r="G1606" s="509" t="s">
        <v>2281</v>
      </c>
      <c r="H1606" s="509" t="s">
        <v>3490</v>
      </c>
      <c r="I1606" s="509"/>
      <c r="J1606" s="506" t="s">
        <v>3960</v>
      </c>
      <c r="K1606" s="519" t="s">
        <v>315</v>
      </c>
      <c r="L1606" s="526" t="s">
        <v>315</v>
      </c>
      <c r="M1606" s="527" t="s">
        <v>315</v>
      </c>
      <c r="N1606" s="528" t="s">
        <v>315</v>
      </c>
      <c r="O1606" s="663"/>
      <c r="P1606" s="529"/>
      <c r="Q1606" s="531"/>
      <c r="R1606" s="530"/>
      <c r="S1606" s="530" t="s">
        <v>315</v>
      </c>
      <c r="T1606" s="667"/>
    </row>
    <row r="1607" spans="1:20" ht="60" hidden="1">
      <c r="A1607" s="518"/>
      <c r="B1607" s="506"/>
      <c r="C1607" s="514" t="s">
        <v>2281</v>
      </c>
      <c r="D1607" s="514" t="s">
        <v>3014</v>
      </c>
      <c r="E1607" s="507" t="str">
        <f>IF('GPS Anthro Tool'!$B$4=1,"North America FMVSS / North America CMVSS","")</f>
        <v>North America FMVSS / North America CMVSS</v>
      </c>
      <c r="F1607" s="506" t="s">
        <v>4316</v>
      </c>
      <c r="G1607" s="513"/>
      <c r="H1607" s="514" t="s">
        <v>3015</v>
      </c>
      <c r="I1607" s="514"/>
      <c r="J1607" s="506" t="s">
        <v>3960</v>
      </c>
      <c r="K1607" s="519" t="s">
        <v>315</v>
      </c>
      <c r="L1607" s="526" t="s">
        <v>315</v>
      </c>
      <c r="M1607" s="527" t="s">
        <v>315</v>
      </c>
      <c r="N1607" s="528" t="s">
        <v>315</v>
      </c>
      <c r="O1607" s="663"/>
      <c r="P1607" s="529"/>
      <c r="Q1607" s="531"/>
      <c r="R1607" s="530"/>
      <c r="S1607" s="530" t="s">
        <v>315</v>
      </c>
      <c r="T1607" s="667"/>
    </row>
    <row r="1608" spans="1:20" ht="60" hidden="1">
      <c r="A1608" s="518"/>
      <c r="B1608" s="506"/>
      <c r="C1608" s="513"/>
      <c r="D1608" s="514" t="s">
        <v>2948</v>
      </c>
      <c r="E1608" s="507" t="str">
        <f>IF('GPS Anthro Tool'!$B$4=1,"North America FMVSS / North America CMVSS","")</f>
        <v>North America FMVSS / North America CMVSS</v>
      </c>
      <c r="F1608" s="506" t="s">
        <v>4316</v>
      </c>
      <c r="G1608" s="514" t="s">
        <v>2001</v>
      </c>
      <c r="H1608" s="514" t="s">
        <v>2949</v>
      </c>
      <c r="I1608" s="514"/>
      <c r="J1608" s="506" t="s">
        <v>3960</v>
      </c>
      <c r="K1608" s="519" t="s">
        <v>315</v>
      </c>
      <c r="L1608" s="526" t="s">
        <v>315</v>
      </c>
      <c r="M1608" s="527" t="s">
        <v>315</v>
      </c>
      <c r="N1608" s="528" t="s">
        <v>315</v>
      </c>
      <c r="O1608" s="663"/>
      <c r="P1608" s="529"/>
      <c r="Q1608" s="531"/>
      <c r="R1608" s="530"/>
      <c r="S1608" s="530" t="s">
        <v>315</v>
      </c>
      <c r="T1608" s="667"/>
    </row>
    <row r="1609" spans="1:20" ht="60" hidden="1">
      <c r="A1609" s="518"/>
      <c r="B1609" s="506"/>
      <c r="C1609" s="513"/>
      <c r="D1609" s="514" t="s">
        <v>2946</v>
      </c>
      <c r="E1609" s="507" t="str">
        <f>IF('GPS Anthro Tool'!$B$4=1,"North America FMVSS / North America CMVSS","")</f>
        <v>North America FMVSS / North America CMVSS</v>
      </c>
      <c r="F1609" s="506" t="s">
        <v>4316</v>
      </c>
      <c r="G1609" s="514" t="s">
        <v>2947</v>
      </c>
      <c r="H1609" s="514" t="s">
        <v>2364</v>
      </c>
      <c r="I1609" s="514"/>
      <c r="J1609" s="506" t="s">
        <v>3960</v>
      </c>
      <c r="K1609" s="519" t="s">
        <v>315</v>
      </c>
      <c r="L1609" s="526" t="s">
        <v>315</v>
      </c>
      <c r="M1609" s="527" t="s">
        <v>315</v>
      </c>
      <c r="N1609" s="528" t="s">
        <v>315</v>
      </c>
      <c r="O1609" s="663"/>
      <c r="P1609" s="529"/>
      <c r="Q1609" s="531"/>
      <c r="R1609" s="530"/>
      <c r="S1609" s="530" t="s">
        <v>315</v>
      </c>
      <c r="T1609" s="667"/>
    </row>
    <row r="1610" spans="1:20" ht="75" hidden="1">
      <c r="A1610" s="518"/>
      <c r="B1610" s="506"/>
      <c r="C1610" s="513"/>
      <c r="D1610" s="514" t="s">
        <v>2953</v>
      </c>
      <c r="E1610" s="507" t="str">
        <f>IF('GPS Anthro Tool'!$B$4=1,"North America FMVSS / North America CMVSS","")</f>
        <v>North America FMVSS / North America CMVSS</v>
      </c>
      <c r="F1610" s="506" t="s">
        <v>4316</v>
      </c>
      <c r="G1610" s="514" t="s">
        <v>2018</v>
      </c>
      <c r="H1610" s="514" t="s">
        <v>2020</v>
      </c>
      <c r="I1610" s="514"/>
      <c r="J1610" s="506" t="s">
        <v>3960</v>
      </c>
      <c r="K1610" s="519" t="s">
        <v>315</v>
      </c>
      <c r="L1610" s="526" t="s">
        <v>315</v>
      </c>
      <c r="M1610" s="527" t="s">
        <v>315</v>
      </c>
      <c r="N1610" s="528" t="s">
        <v>315</v>
      </c>
      <c r="O1610" s="663"/>
      <c r="P1610" s="529"/>
      <c r="Q1610" s="531"/>
      <c r="R1610" s="530"/>
      <c r="S1610" s="530" t="s">
        <v>315</v>
      </c>
      <c r="T1610" s="667"/>
    </row>
    <row r="1611" spans="1:20" ht="105" hidden="1">
      <c r="A1611" s="518"/>
      <c r="B1611" s="506"/>
      <c r="C1611" s="513"/>
      <c r="D1611" s="514" t="s">
        <v>2983</v>
      </c>
      <c r="E1611" s="509" t="str">
        <f>IF('GPS Anthro Tool'!$B$4=1,"North America Internal","")</f>
        <v>North America Internal</v>
      </c>
      <c r="F1611" s="507" t="s">
        <v>4246</v>
      </c>
      <c r="G1611" s="514" t="s">
        <v>2138</v>
      </c>
      <c r="H1611" s="514" t="s">
        <v>2140</v>
      </c>
      <c r="I1611" s="514"/>
      <c r="J1611" s="513"/>
      <c r="K1611" s="519" t="s">
        <v>315</v>
      </c>
      <c r="L1611" s="526" t="s">
        <v>315</v>
      </c>
      <c r="M1611" s="527" t="s">
        <v>315</v>
      </c>
      <c r="N1611" s="528" t="s">
        <v>315</v>
      </c>
      <c r="O1611" s="663"/>
      <c r="P1611" s="529"/>
      <c r="Q1611" s="531"/>
      <c r="R1611" s="530"/>
      <c r="S1611" s="530" t="s">
        <v>315</v>
      </c>
      <c r="T1611" s="667"/>
    </row>
    <row r="1612" spans="1:20" ht="300" hidden="1">
      <c r="A1612" s="518"/>
      <c r="B1612" s="506"/>
      <c r="C1612" s="513"/>
      <c r="D1612" s="514" t="s">
        <v>2978</v>
      </c>
      <c r="E1612" s="509" t="str">
        <f>IF('GPS Anthro Tool'!$B$4=1,"North America Internal","")</f>
        <v>North America Internal</v>
      </c>
      <c r="F1612" s="507" t="s">
        <v>4246</v>
      </c>
      <c r="G1612" s="514" t="s">
        <v>2125</v>
      </c>
      <c r="H1612" s="514" t="s">
        <v>2127</v>
      </c>
      <c r="I1612" s="514"/>
      <c r="J1612" s="513"/>
      <c r="K1612" s="519" t="s">
        <v>315</v>
      </c>
      <c r="L1612" s="526" t="s">
        <v>315</v>
      </c>
      <c r="M1612" s="527" t="s">
        <v>315</v>
      </c>
      <c r="N1612" s="528" t="s">
        <v>315</v>
      </c>
      <c r="O1612" s="663"/>
      <c r="P1612" s="529"/>
      <c r="Q1612" s="531"/>
      <c r="R1612" s="530"/>
      <c r="S1612" s="530" t="s">
        <v>315</v>
      </c>
      <c r="T1612" s="667"/>
    </row>
    <row r="1613" spans="1:20" ht="120" hidden="1">
      <c r="A1613" s="518"/>
      <c r="B1613" s="506"/>
      <c r="C1613" s="513"/>
      <c r="D1613" s="514" t="s">
        <v>2979</v>
      </c>
      <c r="E1613" s="509" t="str">
        <f>IF('GPS Anthro Tool'!$B$4=1,"North America Internal","")</f>
        <v>North America Internal</v>
      </c>
      <c r="F1613" s="507" t="s">
        <v>4246</v>
      </c>
      <c r="G1613" s="514" t="s">
        <v>2132</v>
      </c>
      <c r="H1613" s="514" t="s">
        <v>2134</v>
      </c>
      <c r="I1613" s="514"/>
      <c r="J1613" s="513"/>
      <c r="K1613" s="519" t="s">
        <v>315</v>
      </c>
      <c r="L1613" s="526" t="s">
        <v>315</v>
      </c>
      <c r="M1613" s="527" t="s">
        <v>315</v>
      </c>
      <c r="N1613" s="528" t="s">
        <v>315</v>
      </c>
      <c r="O1613" s="663"/>
      <c r="P1613" s="529"/>
      <c r="Q1613" s="531"/>
      <c r="R1613" s="530"/>
      <c r="S1613" s="530" t="s">
        <v>315</v>
      </c>
      <c r="T1613" s="667"/>
    </row>
    <row r="1614" spans="1:20" ht="120" hidden="1">
      <c r="A1614" s="518"/>
      <c r="B1614" s="509" t="s">
        <v>2104</v>
      </c>
      <c r="C1614" s="509" t="s">
        <v>2132</v>
      </c>
      <c r="D1614" s="509" t="s">
        <v>2133</v>
      </c>
      <c r="E1614" s="509" t="str">
        <f>IF('GPS Anthro Tool'!$B$4=1,"North America Internal","")</f>
        <v>North America Internal</v>
      </c>
      <c r="F1614" s="507" t="s">
        <v>4246</v>
      </c>
      <c r="G1614" s="506"/>
      <c r="H1614" s="509" t="s">
        <v>2134</v>
      </c>
      <c r="I1614" s="506"/>
      <c r="J1614" s="506"/>
      <c r="K1614" s="533"/>
      <c r="L1614" s="662"/>
      <c r="M1614" s="535"/>
      <c r="N1614" s="658"/>
      <c r="O1614" s="663"/>
      <c r="P1614" s="666"/>
      <c r="Q1614" s="566"/>
      <c r="R1614" s="535"/>
      <c r="S1614" s="535" t="s">
        <v>1819</v>
      </c>
      <c r="T1614" s="667"/>
    </row>
    <row r="1615" spans="1:20" ht="120" hidden="1">
      <c r="A1615" s="518"/>
      <c r="B1615" s="509" t="s">
        <v>2104</v>
      </c>
      <c r="C1615" s="509" t="s">
        <v>2135</v>
      </c>
      <c r="D1615" s="509" t="s">
        <v>2136</v>
      </c>
      <c r="E1615" s="509" t="str">
        <f>IF('GPS Anthro Tool'!$B$4=1,"North America Internal","")</f>
        <v>North America Internal</v>
      </c>
      <c r="F1615" s="507" t="s">
        <v>4246</v>
      </c>
      <c r="G1615" s="506"/>
      <c r="H1615" s="509" t="s">
        <v>2137</v>
      </c>
      <c r="I1615" s="506"/>
      <c r="J1615" s="506"/>
      <c r="K1615" s="533"/>
      <c r="L1615" s="662"/>
      <c r="M1615" s="535"/>
      <c r="N1615" s="658"/>
      <c r="O1615" s="663"/>
      <c r="P1615" s="666"/>
      <c r="Q1615" s="566"/>
      <c r="R1615" s="535"/>
      <c r="S1615" s="535" t="s">
        <v>1819</v>
      </c>
      <c r="T1615" s="667"/>
    </row>
    <row r="1616" spans="1:20" ht="300" hidden="1">
      <c r="A1616" s="518"/>
      <c r="B1616" s="509" t="s">
        <v>2104</v>
      </c>
      <c r="C1616" s="509" t="s">
        <v>2125</v>
      </c>
      <c r="D1616" s="509" t="s">
        <v>2126</v>
      </c>
      <c r="E1616" s="509" t="str">
        <f>IF('GPS Anthro Tool'!$B$4=1,"North America Internal","")</f>
        <v>North America Internal</v>
      </c>
      <c r="F1616" s="507" t="s">
        <v>4246</v>
      </c>
      <c r="G1616" s="506"/>
      <c r="H1616" s="509" t="s">
        <v>2127</v>
      </c>
      <c r="I1616" s="506"/>
      <c r="J1616" s="506"/>
      <c r="K1616" s="533"/>
      <c r="L1616" s="662"/>
      <c r="M1616" s="535"/>
      <c r="N1616" s="658"/>
      <c r="O1616" s="663"/>
      <c r="P1616" s="666"/>
      <c r="Q1616" s="566"/>
      <c r="R1616" s="535"/>
      <c r="S1616" s="535" t="s">
        <v>1819</v>
      </c>
      <c r="T1616" s="667"/>
    </row>
    <row r="1617" spans="1:20" ht="30" hidden="1">
      <c r="A1617" s="518"/>
      <c r="B1617" s="509" t="s">
        <v>2088</v>
      </c>
      <c r="C1617" s="538" t="s">
        <v>2094</v>
      </c>
      <c r="D1617" s="538" t="s">
        <v>2095</v>
      </c>
      <c r="E1617" s="509" t="str">
        <f>IF('GPS Anthro Tool'!$B$4=1,"North America Internal","")</f>
        <v>North America Internal</v>
      </c>
      <c r="F1617" s="506" t="s">
        <v>4246</v>
      </c>
      <c r="G1617" s="506" t="s">
        <v>2066</v>
      </c>
      <c r="H1617" s="538" t="s">
        <v>2093</v>
      </c>
      <c r="I1617" s="506"/>
      <c r="J1617" s="506"/>
      <c r="K1617" s="533"/>
      <c r="L1617" s="662"/>
      <c r="M1617" s="535"/>
      <c r="N1617" s="658"/>
      <c r="O1617" s="663"/>
      <c r="P1617" s="666"/>
      <c r="Q1617" s="566"/>
      <c r="R1617" s="535"/>
      <c r="S1617" s="535" t="s">
        <v>1819</v>
      </c>
      <c r="T1617" s="667"/>
    </row>
    <row r="1618" spans="1:20" ht="45" hidden="1">
      <c r="A1618" s="518"/>
      <c r="B1618" s="509" t="s">
        <v>2254</v>
      </c>
      <c r="C1618" s="509" t="s">
        <v>2255</v>
      </c>
      <c r="D1618" s="512" t="s">
        <v>2256</v>
      </c>
      <c r="E1618" s="509" t="str">
        <f>IF('GPS Anthro Tool'!$B$4=1,"North America Internal","")</f>
        <v>North America Internal</v>
      </c>
      <c r="F1618" s="507" t="s">
        <v>4246</v>
      </c>
      <c r="G1618" s="539"/>
      <c r="H1618" s="509" t="s">
        <v>2253</v>
      </c>
      <c r="I1618" s="506"/>
      <c r="J1618" s="506"/>
      <c r="K1618" s="533"/>
      <c r="L1618" s="662"/>
      <c r="M1618" s="535"/>
      <c r="N1618" s="658"/>
      <c r="O1618" s="663"/>
      <c r="P1618" s="666"/>
      <c r="Q1618" s="566"/>
      <c r="R1618" s="535"/>
      <c r="S1618" s="535" t="s">
        <v>1819</v>
      </c>
      <c r="T1618" s="667"/>
    </row>
    <row r="1619" spans="1:20" ht="45" hidden="1">
      <c r="A1619" s="518"/>
      <c r="B1619" s="509" t="s">
        <v>4300</v>
      </c>
      <c r="C1619" s="509" t="s">
        <v>3537</v>
      </c>
      <c r="D1619" s="512" t="s">
        <v>2259</v>
      </c>
      <c r="E1619" s="509" t="str">
        <f>IF('GPS Anthro Tool'!$B$4=1,"North America Internal","")</f>
        <v>North America Internal</v>
      </c>
      <c r="F1619" s="507" t="s">
        <v>4246</v>
      </c>
      <c r="G1619" s="509" t="s">
        <v>2258</v>
      </c>
      <c r="H1619" s="509" t="s">
        <v>2253</v>
      </c>
      <c r="I1619" s="506"/>
      <c r="J1619" s="506"/>
      <c r="K1619" s="533"/>
      <c r="L1619" s="662"/>
      <c r="M1619" s="535"/>
      <c r="N1619" s="658"/>
      <c r="O1619" s="663"/>
      <c r="P1619" s="666"/>
      <c r="Q1619" s="566"/>
      <c r="R1619" s="535"/>
      <c r="S1619" s="535" t="s">
        <v>1819</v>
      </c>
      <c r="T1619" s="667"/>
    </row>
    <row r="1620" spans="1:20" ht="60" hidden="1">
      <c r="A1620" s="518"/>
      <c r="B1620" s="509" t="s">
        <v>4304</v>
      </c>
      <c r="C1620" s="509" t="s">
        <v>2260</v>
      </c>
      <c r="D1620" s="512" t="s">
        <v>2261</v>
      </c>
      <c r="E1620" s="509" t="str">
        <f>IF('GPS Anthro Tool'!$B$4=1,"North America Internal","")</f>
        <v>North America Internal</v>
      </c>
      <c r="F1620" s="507" t="s">
        <v>4246</v>
      </c>
      <c r="G1620" s="509" t="s">
        <v>2260</v>
      </c>
      <c r="H1620" s="509" t="s">
        <v>2253</v>
      </c>
      <c r="I1620" s="506"/>
      <c r="J1620" s="506"/>
      <c r="K1620" s="533"/>
      <c r="L1620" s="662"/>
      <c r="M1620" s="535"/>
      <c r="N1620" s="658"/>
      <c r="O1620" s="663"/>
      <c r="P1620" s="666"/>
      <c r="Q1620" s="566"/>
      <c r="R1620" s="535"/>
      <c r="S1620" s="535" t="s">
        <v>1819</v>
      </c>
      <c r="T1620" s="667"/>
    </row>
    <row r="1621" spans="1:20" ht="45" hidden="1">
      <c r="A1621" s="518"/>
      <c r="B1621" s="509" t="s">
        <v>4306</v>
      </c>
      <c r="C1621" s="509" t="s">
        <v>2262</v>
      </c>
      <c r="D1621" s="512" t="s">
        <v>2263</v>
      </c>
      <c r="E1621" s="509" t="str">
        <f>IF('GPS Anthro Tool'!$B$4=1,"North America Internal","")</f>
        <v>North America Internal</v>
      </c>
      <c r="F1621" s="507" t="s">
        <v>4246</v>
      </c>
      <c r="G1621" s="509" t="s">
        <v>4305</v>
      </c>
      <c r="H1621" s="509" t="s">
        <v>2253</v>
      </c>
      <c r="I1621" s="506"/>
      <c r="J1621" s="506"/>
      <c r="K1621" s="533"/>
      <c r="L1621" s="662"/>
      <c r="M1621" s="535"/>
      <c r="N1621" s="658"/>
      <c r="O1621" s="663"/>
      <c r="P1621" s="666"/>
      <c r="Q1621" s="566"/>
      <c r="R1621" s="535"/>
      <c r="S1621" s="535" t="s">
        <v>1819</v>
      </c>
      <c r="T1621" s="667"/>
    </row>
    <row r="1622" spans="1:20" ht="45" hidden="1">
      <c r="A1622" s="518"/>
      <c r="B1622" s="509" t="s">
        <v>4307</v>
      </c>
      <c r="C1622" s="509" t="s">
        <v>2264</v>
      </c>
      <c r="D1622" s="512" t="s">
        <v>2265</v>
      </c>
      <c r="E1622" s="509" t="str">
        <f>IF('GPS Anthro Tool'!$B$4=1,"North America Internal","")</f>
        <v>North America Internal</v>
      </c>
      <c r="F1622" s="507" t="s">
        <v>4246</v>
      </c>
      <c r="G1622" s="509" t="s">
        <v>2264</v>
      </c>
      <c r="H1622" s="509" t="s">
        <v>2253</v>
      </c>
      <c r="I1622" s="506"/>
      <c r="J1622" s="506"/>
      <c r="K1622" s="533"/>
      <c r="L1622" s="662"/>
      <c r="M1622" s="535"/>
      <c r="N1622" s="658"/>
      <c r="O1622" s="663"/>
      <c r="P1622" s="666"/>
      <c r="Q1622" s="566"/>
      <c r="R1622" s="535"/>
      <c r="S1622" s="535" t="s">
        <v>1819</v>
      </c>
      <c r="T1622" s="667"/>
    </row>
    <row r="1623" spans="1:20" ht="45" hidden="1">
      <c r="A1623" s="518"/>
      <c r="B1623" s="509" t="s">
        <v>4308</v>
      </c>
      <c r="C1623" s="509" t="s">
        <v>2266</v>
      </c>
      <c r="D1623" s="512" t="s">
        <v>2267</v>
      </c>
      <c r="E1623" s="509" t="str">
        <f>IF('GPS Anthro Tool'!$B$4=1,"North America Internal","")</f>
        <v>North America Internal</v>
      </c>
      <c r="F1623" s="507" t="s">
        <v>4246</v>
      </c>
      <c r="G1623" s="539"/>
      <c r="H1623" s="509" t="s">
        <v>2253</v>
      </c>
      <c r="I1623" s="506"/>
      <c r="J1623" s="506"/>
      <c r="K1623" s="533"/>
      <c r="L1623" s="662"/>
      <c r="M1623" s="535"/>
      <c r="N1623" s="658"/>
      <c r="O1623" s="663"/>
      <c r="P1623" s="666"/>
      <c r="Q1623" s="566"/>
      <c r="R1623" s="535"/>
      <c r="S1623" s="535" t="s">
        <v>1819</v>
      </c>
      <c r="T1623" s="667"/>
    </row>
    <row r="1624" spans="1:20" ht="45" hidden="1">
      <c r="A1624" s="518"/>
      <c r="B1624" s="509" t="s">
        <v>4300</v>
      </c>
      <c r="C1624" s="509" t="s">
        <v>2270</v>
      </c>
      <c r="D1624" s="512" t="s">
        <v>2271</v>
      </c>
      <c r="E1624" s="509" t="str">
        <f>IF('GPS Anthro Tool'!$B$4=1,"North America Internal","")</f>
        <v>North America Internal</v>
      </c>
      <c r="F1624" s="507" t="s">
        <v>4246</v>
      </c>
      <c r="G1624" s="539"/>
      <c r="H1624" s="509" t="s">
        <v>2253</v>
      </c>
      <c r="I1624" s="506"/>
      <c r="J1624" s="506"/>
      <c r="K1624" s="533"/>
      <c r="L1624" s="662"/>
      <c r="M1624" s="535"/>
      <c r="N1624" s="658"/>
      <c r="O1624" s="663"/>
      <c r="P1624" s="666"/>
      <c r="Q1624" s="566"/>
      <c r="R1624" s="535"/>
      <c r="S1624" s="535" t="s">
        <v>1819</v>
      </c>
      <c r="T1624" s="667"/>
    </row>
    <row r="1625" spans="1:20" ht="45" hidden="1">
      <c r="A1625" s="518"/>
      <c r="B1625" s="509" t="s">
        <v>4300</v>
      </c>
      <c r="C1625" s="509" t="s">
        <v>2275</v>
      </c>
      <c r="D1625" s="509" t="s">
        <v>2276</v>
      </c>
      <c r="E1625" s="509" t="str">
        <f>IF('GPS Anthro Tool'!$B$4=1,"North America Internal","")</f>
        <v>North America Internal</v>
      </c>
      <c r="F1625" s="507" t="s">
        <v>4246</v>
      </c>
      <c r="G1625" s="539"/>
      <c r="H1625" s="509" t="s">
        <v>2253</v>
      </c>
      <c r="I1625" s="506"/>
      <c r="J1625" s="506"/>
      <c r="K1625" s="533"/>
      <c r="L1625" s="662"/>
      <c r="M1625" s="535"/>
      <c r="N1625" s="658"/>
      <c r="O1625" s="663"/>
      <c r="P1625" s="666"/>
      <c r="Q1625" s="566"/>
      <c r="R1625" s="535"/>
      <c r="S1625" s="535" t="s">
        <v>1819</v>
      </c>
      <c r="T1625" s="667"/>
    </row>
    <row r="1626" spans="1:20" ht="45" hidden="1">
      <c r="A1626" s="518"/>
      <c r="B1626" s="509" t="s">
        <v>2088</v>
      </c>
      <c r="C1626" s="509" t="s">
        <v>2089</v>
      </c>
      <c r="D1626" s="509" t="s">
        <v>2069</v>
      </c>
      <c r="E1626" s="509" t="str">
        <f>IF('GPS Anthro Tool'!$B$4=1,"North America Internal","")</f>
        <v>North America Internal</v>
      </c>
      <c r="F1626" s="507" t="s">
        <v>4246</v>
      </c>
      <c r="G1626" s="506" t="s">
        <v>2066</v>
      </c>
      <c r="H1626" s="509" t="s">
        <v>2090</v>
      </c>
      <c r="I1626" s="506"/>
      <c r="J1626" s="506"/>
      <c r="K1626" s="533"/>
      <c r="L1626" s="662"/>
      <c r="M1626" s="535"/>
      <c r="N1626" s="658"/>
      <c r="O1626" s="663"/>
      <c r="P1626" s="666"/>
      <c r="Q1626" s="566"/>
      <c r="R1626" s="535"/>
      <c r="S1626" s="535" t="s">
        <v>1819</v>
      </c>
      <c r="T1626" s="667"/>
    </row>
    <row r="1627" spans="1:20" ht="45" hidden="1">
      <c r="A1627" s="518"/>
      <c r="B1627" s="509" t="s">
        <v>2063</v>
      </c>
      <c r="C1627" s="509" t="s">
        <v>2071</v>
      </c>
      <c r="D1627" s="509" t="s">
        <v>2069</v>
      </c>
      <c r="E1627" s="509" t="str">
        <f>IF('GPS Anthro Tool'!$B$4=1,"North America Internal","")</f>
        <v>North America Internal</v>
      </c>
      <c r="F1627" s="507" t="s">
        <v>4246</v>
      </c>
      <c r="G1627" s="506" t="s">
        <v>2066</v>
      </c>
      <c r="H1627" s="509" t="s">
        <v>2070</v>
      </c>
      <c r="I1627" s="506"/>
      <c r="J1627" s="506"/>
      <c r="K1627" s="533"/>
      <c r="L1627" s="662"/>
      <c r="M1627" s="535"/>
      <c r="N1627" s="658"/>
      <c r="O1627" s="663"/>
      <c r="P1627" s="666"/>
      <c r="Q1627" s="566"/>
      <c r="R1627" s="535"/>
      <c r="S1627" s="535" t="s">
        <v>1819</v>
      </c>
      <c r="T1627" s="667"/>
    </row>
    <row r="1628" spans="1:20" ht="30" hidden="1">
      <c r="A1628" s="518"/>
      <c r="B1628" s="509" t="s">
        <v>2063</v>
      </c>
      <c r="C1628" s="509" t="s">
        <v>2072</v>
      </c>
      <c r="D1628" s="509" t="s">
        <v>2069</v>
      </c>
      <c r="E1628" s="509" t="str">
        <f>IF('GPS Anthro Tool'!$B$4=1,"North America Internal","")</f>
        <v>North America Internal</v>
      </c>
      <c r="F1628" s="507" t="s">
        <v>4246</v>
      </c>
      <c r="G1628" s="506" t="s">
        <v>2066</v>
      </c>
      <c r="H1628" s="509" t="s">
        <v>2073</v>
      </c>
      <c r="I1628" s="506"/>
      <c r="J1628" s="506"/>
      <c r="K1628" s="533"/>
      <c r="L1628" s="662"/>
      <c r="M1628" s="535"/>
      <c r="N1628" s="658"/>
      <c r="O1628" s="663"/>
      <c r="P1628" s="666"/>
      <c r="Q1628" s="566"/>
      <c r="R1628" s="535"/>
      <c r="S1628" s="535" t="s">
        <v>1819</v>
      </c>
      <c r="T1628" s="667"/>
    </row>
    <row r="1629" spans="1:20" ht="45" hidden="1">
      <c r="A1629" s="518"/>
      <c r="B1629" s="509" t="s">
        <v>2063</v>
      </c>
      <c r="C1629" s="509" t="s">
        <v>2068</v>
      </c>
      <c r="D1629" s="509" t="s">
        <v>2069</v>
      </c>
      <c r="E1629" s="509" t="str">
        <f>IF('GPS Anthro Tool'!$B$4=1,"North America Internal","")</f>
        <v>North America Internal</v>
      </c>
      <c r="F1629" s="507" t="s">
        <v>4246</v>
      </c>
      <c r="G1629" s="506" t="s">
        <v>2066</v>
      </c>
      <c r="H1629" s="509" t="s">
        <v>2070</v>
      </c>
      <c r="I1629" s="506"/>
      <c r="J1629" s="506"/>
      <c r="K1629" s="533"/>
      <c r="L1629" s="662"/>
      <c r="M1629" s="535"/>
      <c r="N1629" s="658"/>
      <c r="O1629" s="663"/>
      <c r="P1629" s="666"/>
      <c r="Q1629" s="566"/>
      <c r="R1629" s="535"/>
      <c r="S1629" s="535" t="s">
        <v>1819</v>
      </c>
      <c r="T1629" s="667"/>
    </row>
    <row r="1630" spans="1:20" ht="45" hidden="1">
      <c r="A1630" s="518"/>
      <c r="B1630" s="506"/>
      <c r="C1630" s="507" t="s">
        <v>2088</v>
      </c>
      <c r="D1630" s="509" t="s">
        <v>2069</v>
      </c>
      <c r="E1630" s="509" t="str">
        <f>IF('GPS Anthro Tool'!$B$4=1,"North America Internal","")</f>
        <v>North America Internal</v>
      </c>
      <c r="F1630" s="507" t="s">
        <v>4246</v>
      </c>
      <c r="G1630" s="509" t="s">
        <v>2089</v>
      </c>
      <c r="H1630" s="509" t="s">
        <v>2090</v>
      </c>
      <c r="I1630" s="509"/>
      <c r="J1630" s="506"/>
      <c r="K1630" s="519" t="s">
        <v>315</v>
      </c>
      <c r="L1630" s="526" t="s">
        <v>315</v>
      </c>
      <c r="M1630" s="527" t="s">
        <v>315</v>
      </c>
      <c r="N1630" s="528" t="s">
        <v>315</v>
      </c>
      <c r="O1630" s="663"/>
      <c r="P1630" s="529"/>
      <c r="Q1630" s="531"/>
      <c r="R1630" s="530"/>
      <c r="S1630" s="530" t="s">
        <v>315</v>
      </c>
      <c r="T1630" s="667"/>
    </row>
    <row r="1631" spans="1:20" ht="45" hidden="1">
      <c r="A1631" s="518"/>
      <c r="B1631" s="506"/>
      <c r="C1631" s="506" t="s">
        <v>2063</v>
      </c>
      <c r="D1631" s="509" t="s">
        <v>2069</v>
      </c>
      <c r="E1631" s="509" t="str">
        <f>IF('GPS Anthro Tool'!$B$4=1,"North America Internal","")</f>
        <v>North America Internal</v>
      </c>
      <c r="F1631" s="507" t="s">
        <v>4246</v>
      </c>
      <c r="G1631" s="509" t="s">
        <v>2068</v>
      </c>
      <c r="H1631" s="509" t="s">
        <v>2070</v>
      </c>
      <c r="I1631" s="509"/>
      <c r="J1631" s="506"/>
      <c r="K1631" s="519" t="s">
        <v>315</v>
      </c>
      <c r="L1631" s="526" t="s">
        <v>315</v>
      </c>
      <c r="M1631" s="527" t="s">
        <v>315</v>
      </c>
      <c r="N1631" s="528" t="s">
        <v>315</v>
      </c>
      <c r="O1631" s="663"/>
      <c r="P1631" s="529"/>
      <c r="Q1631" s="531"/>
      <c r="R1631" s="530"/>
      <c r="S1631" s="530" t="s">
        <v>315</v>
      </c>
      <c r="T1631" s="667"/>
    </row>
    <row r="1632" spans="1:20" ht="45" hidden="1">
      <c r="A1632" s="518"/>
      <c r="B1632" s="506"/>
      <c r="C1632" s="506" t="s">
        <v>2063</v>
      </c>
      <c r="D1632" s="509" t="s">
        <v>2069</v>
      </c>
      <c r="E1632" s="509" t="str">
        <f>IF('GPS Anthro Tool'!$B$4=1,"North America Internal","")</f>
        <v>North America Internal</v>
      </c>
      <c r="F1632" s="507" t="s">
        <v>4246</v>
      </c>
      <c r="G1632" s="509" t="s">
        <v>2071</v>
      </c>
      <c r="H1632" s="509" t="s">
        <v>2070</v>
      </c>
      <c r="I1632" s="509"/>
      <c r="J1632" s="506"/>
      <c r="K1632" s="519" t="s">
        <v>315</v>
      </c>
      <c r="L1632" s="526" t="s">
        <v>315</v>
      </c>
      <c r="M1632" s="527" t="s">
        <v>315</v>
      </c>
      <c r="N1632" s="528" t="s">
        <v>315</v>
      </c>
      <c r="O1632" s="663"/>
      <c r="P1632" s="529"/>
      <c r="Q1632" s="531"/>
      <c r="R1632" s="530"/>
      <c r="S1632" s="530" t="s">
        <v>315</v>
      </c>
      <c r="T1632" s="667"/>
    </row>
    <row r="1633" spans="1:20" ht="30" hidden="1">
      <c r="A1633" s="518"/>
      <c r="B1633" s="506"/>
      <c r="C1633" s="506" t="s">
        <v>2063</v>
      </c>
      <c r="D1633" s="509" t="s">
        <v>2069</v>
      </c>
      <c r="E1633" s="509" t="str">
        <f>IF('GPS Anthro Tool'!$B$4=1,"North America Internal","")</f>
        <v>North America Internal</v>
      </c>
      <c r="F1633" s="507" t="s">
        <v>4246</v>
      </c>
      <c r="G1633" s="509" t="s">
        <v>2072</v>
      </c>
      <c r="H1633" s="509" t="s">
        <v>2073</v>
      </c>
      <c r="I1633" s="509"/>
      <c r="J1633" s="506"/>
      <c r="K1633" s="519" t="s">
        <v>315</v>
      </c>
      <c r="L1633" s="526" t="s">
        <v>315</v>
      </c>
      <c r="M1633" s="527" t="s">
        <v>315</v>
      </c>
      <c r="N1633" s="528" t="s">
        <v>315</v>
      </c>
      <c r="O1633" s="663"/>
      <c r="P1633" s="529"/>
      <c r="Q1633" s="531"/>
      <c r="R1633" s="530"/>
      <c r="S1633" s="530" t="s">
        <v>315</v>
      </c>
      <c r="T1633" s="667"/>
    </row>
    <row r="1634" spans="1:20" ht="30" hidden="1">
      <c r="A1634" s="518"/>
      <c r="B1634" s="506"/>
      <c r="C1634" s="513"/>
      <c r="D1634" s="509" t="s">
        <v>2069</v>
      </c>
      <c r="E1634" s="509" t="str">
        <f>IF('GPS Anthro Tool'!$B$4=1,"North America Internal","")</f>
        <v>North America Internal</v>
      </c>
      <c r="F1634" s="507" t="s">
        <v>4246</v>
      </c>
      <c r="G1634" s="514" t="s">
        <v>2072</v>
      </c>
      <c r="H1634" s="509" t="s">
        <v>2073</v>
      </c>
      <c r="I1634" s="509"/>
      <c r="J1634" s="513"/>
      <c r="K1634" s="519" t="s">
        <v>315</v>
      </c>
      <c r="L1634" s="526" t="s">
        <v>315</v>
      </c>
      <c r="M1634" s="527" t="s">
        <v>315</v>
      </c>
      <c r="N1634" s="528" t="s">
        <v>315</v>
      </c>
      <c r="O1634" s="663"/>
      <c r="P1634" s="529"/>
      <c r="Q1634" s="531"/>
      <c r="R1634" s="530"/>
      <c r="S1634" s="530" t="s">
        <v>315</v>
      </c>
      <c r="T1634" s="667"/>
    </row>
    <row r="1635" spans="1:20" ht="75" hidden="1">
      <c r="A1635" s="518"/>
      <c r="B1635" s="506"/>
      <c r="C1635" s="513"/>
      <c r="D1635" s="514" t="s">
        <v>2069</v>
      </c>
      <c r="E1635" s="509" t="str">
        <f>IF('GPS Anthro Tool'!$B$4=1,"North America Internal","")</f>
        <v>North America Internal</v>
      </c>
      <c r="F1635" s="507" t="s">
        <v>4246</v>
      </c>
      <c r="G1635" s="514" t="s">
        <v>2966</v>
      </c>
      <c r="H1635" s="514" t="s">
        <v>2967</v>
      </c>
      <c r="I1635" s="514"/>
      <c r="J1635" s="513"/>
      <c r="K1635" s="519" t="s">
        <v>315</v>
      </c>
      <c r="L1635" s="526" t="s">
        <v>315</v>
      </c>
      <c r="M1635" s="527" t="s">
        <v>315</v>
      </c>
      <c r="N1635" s="528" t="s">
        <v>315</v>
      </c>
      <c r="O1635" s="663"/>
      <c r="P1635" s="529"/>
      <c r="Q1635" s="531"/>
      <c r="R1635" s="530"/>
      <c r="S1635" s="530" t="s">
        <v>315</v>
      </c>
      <c r="T1635" s="667"/>
    </row>
    <row r="1636" spans="1:20" ht="45" hidden="1">
      <c r="A1636" s="518"/>
      <c r="B1636" s="506"/>
      <c r="C1636" s="513"/>
      <c r="D1636" s="514" t="s">
        <v>2957</v>
      </c>
      <c r="E1636" s="507" t="str">
        <f>IF('GPS Anthro Tool'!$B$4=1,"North America Internal","")</f>
        <v>North America Internal</v>
      </c>
      <c r="F1636" s="507" t="s">
        <v>4246</v>
      </c>
      <c r="G1636" s="514" t="s">
        <v>2958</v>
      </c>
      <c r="H1636" s="514" t="s">
        <v>2959</v>
      </c>
      <c r="I1636" s="514"/>
      <c r="J1636" s="513"/>
      <c r="K1636" s="519" t="s">
        <v>315</v>
      </c>
      <c r="L1636" s="526" t="s">
        <v>315</v>
      </c>
      <c r="M1636" s="527" t="s">
        <v>315</v>
      </c>
      <c r="N1636" s="528" t="s">
        <v>315</v>
      </c>
      <c r="O1636" s="663"/>
      <c r="P1636" s="529"/>
      <c r="Q1636" s="531"/>
      <c r="R1636" s="530" t="s">
        <v>315</v>
      </c>
      <c r="S1636" s="530" t="s">
        <v>315</v>
      </c>
      <c r="T1636" s="667"/>
    </row>
    <row r="1637" spans="1:20" ht="75" hidden="1">
      <c r="A1637" s="518"/>
      <c r="B1637" s="506"/>
      <c r="C1637" s="513"/>
      <c r="D1637" s="514" t="s">
        <v>2957</v>
      </c>
      <c r="E1637" s="509" t="str">
        <f>IF('GPS Anthro Tool'!$B$4=1,"North America Internal","")</f>
        <v>North America Internal</v>
      </c>
      <c r="F1637" s="507" t="s">
        <v>4246</v>
      </c>
      <c r="G1637" s="514" t="s">
        <v>2036</v>
      </c>
      <c r="H1637" s="514" t="s">
        <v>2038</v>
      </c>
      <c r="I1637" s="514"/>
      <c r="J1637" s="513"/>
      <c r="K1637" s="519" t="s">
        <v>315</v>
      </c>
      <c r="L1637" s="526" t="s">
        <v>315</v>
      </c>
      <c r="M1637" s="527" t="s">
        <v>315</v>
      </c>
      <c r="N1637" s="528" t="s">
        <v>315</v>
      </c>
      <c r="O1637" s="663"/>
      <c r="P1637" s="529"/>
      <c r="Q1637" s="531"/>
      <c r="R1637" s="530"/>
      <c r="S1637" s="530" t="s">
        <v>315</v>
      </c>
      <c r="T1637" s="667"/>
    </row>
    <row r="1638" spans="1:20" ht="45" hidden="1">
      <c r="A1638" s="518"/>
      <c r="B1638" s="509" t="s">
        <v>1994</v>
      </c>
      <c r="C1638" s="509" t="s">
        <v>2028</v>
      </c>
      <c r="D1638" s="509" t="s">
        <v>2029</v>
      </c>
      <c r="E1638" s="509" t="str">
        <f>IF('GPS Anthro Tool'!$B$4=1,"North America Internal","")</f>
        <v>North America Internal</v>
      </c>
      <c r="F1638" s="507" t="s">
        <v>4246</v>
      </c>
      <c r="G1638" s="506" t="s">
        <v>1997</v>
      </c>
      <c r="H1638" s="509" t="s">
        <v>2032</v>
      </c>
      <c r="I1638" s="506"/>
      <c r="J1638" s="506"/>
      <c r="K1638" s="533"/>
      <c r="L1638" s="662"/>
      <c r="M1638" s="535"/>
      <c r="N1638" s="658"/>
      <c r="O1638" s="663"/>
      <c r="P1638" s="666"/>
      <c r="Q1638" s="566"/>
      <c r="R1638" s="535"/>
      <c r="S1638" s="535" t="s">
        <v>1819</v>
      </c>
      <c r="T1638" s="667"/>
    </row>
    <row r="1639" spans="1:20" ht="30" hidden="1">
      <c r="A1639" s="518"/>
      <c r="B1639" s="506"/>
      <c r="C1639" s="506" t="s">
        <v>1994</v>
      </c>
      <c r="D1639" s="509" t="s">
        <v>2029</v>
      </c>
      <c r="E1639" s="509" t="str">
        <f>IF('GPS Anthro Tool'!$B$4=1,"North America Internal","")</f>
        <v>North America Internal</v>
      </c>
      <c r="F1639" s="507" t="s">
        <v>4246</v>
      </c>
      <c r="G1639" s="509" t="s">
        <v>2028</v>
      </c>
      <c r="H1639" s="509" t="s">
        <v>2032</v>
      </c>
      <c r="I1639" s="509"/>
      <c r="J1639" s="506"/>
      <c r="K1639" s="519" t="s">
        <v>315</v>
      </c>
      <c r="L1639" s="526" t="s">
        <v>315</v>
      </c>
      <c r="M1639" s="527" t="s">
        <v>315</v>
      </c>
      <c r="N1639" s="528" t="s">
        <v>315</v>
      </c>
      <c r="O1639" s="663"/>
      <c r="P1639" s="529"/>
      <c r="Q1639" s="531"/>
      <c r="R1639" s="530"/>
      <c r="S1639" s="530" t="s">
        <v>315</v>
      </c>
      <c r="T1639" s="667"/>
    </row>
    <row r="1640" spans="1:20" ht="60" hidden="1">
      <c r="A1640" s="518"/>
      <c r="B1640" s="506"/>
      <c r="C1640" s="514" t="s">
        <v>3038</v>
      </c>
      <c r="D1640" s="514" t="s">
        <v>3036</v>
      </c>
      <c r="E1640" s="509" t="str">
        <f>IF('GPS Anthro Tool'!$B$4=1,"North America Internal","")</f>
        <v>North America Internal</v>
      </c>
      <c r="F1640" s="507" t="s">
        <v>4246</v>
      </c>
      <c r="G1640" s="513"/>
      <c r="H1640" s="514" t="s">
        <v>3039</v>
      </c>
      <c r="I1640" s="514"/>
      <c r="J1640" s="513" t="s">
        <v>2089</v>
      </c>
      <c r="K1640" s="519" t="s">
        <v>315</v>
      </c>
      <c r="L1640" s="526" t="s">
        <v>315</v>
      </c>
      <c r="M1640" s="527" t="s">
        <v>315</v>
      </c>
      <c r="N1640" s="528" t="s">
        <v>315</v>
      </c>
      <c r="O1640" s="663"/>
      <c r="P1640" s="529"/>
      <c r="Q1640" s="531"/>
      <c r="R1640" s="530"/>
      <c r="S1640" s="530" t="s">
        <v>315</v>
      </c>
      <c r="T1640" s="667"/>
    </row>
    <row r="1641" spans="1:20" ht="60" hidden="1">
      <c r="A1641" s="518"/>
      <c r="B1641" s="506"/>
      <c r="C1641" s="514" t="s">
        <v>3035</v>
      </c>
      <c r="D1641" s="514" t="s">
        <v>3036</v>
      </c>
      <c r="E1641" s="509" t="str">
        <f>IF('GPS Anthro Tool'!$B$4=1,"North America Internal","")</f>
        <v>North America Internal</v>
      </c>
      <c r="F1641" s="507" t="s">
        <v>4246</v>
      </c>
      <c r="G1641" s="513"/>
      <c r="H1641" s="514" t="s">
        <v>3037</v>
      </c>
      <c r="I1641" s="514"/>
      <c r="J1641" s="513" t="s">
        <v>2089</v>
      </c>
      <c r="K1641" s="519" t="s">
        <v>315</v>
      </c>
      <c r="L1641" s="526" t="s">
        <v>315</v>
      </c>
      <c r="M1641" s="527" t="s">
        <v>315</v>
      </c>
      <c r="N1641" s="528" t="s">
        <v>315</v>
      </c>
      <c r="O1641" s="663"/>
      <c r="P1641" s="529"/>
      <c r="Q1641" s="531"/>
      <c r="R1641" s="530"/>
      <c r="S1641" s="530" t="s">
        <v>315</v>
      </c>
      <c r="T1641" s="667"/>
    </row>
    <row r="1642" spans="1:20" ht="90" hidden="1">
      <c r="A1642" s="518"/>
      <c r="B1642" s="506"/>
      <c r="C1642" s="514" t="s">
        <v>3042</v>
      </c>
      <c r="D1642" s="514" t="s">
        <v>3036</v>
      </c>
      <c r="E1642" s="509" t="str">
        <f>IF('GPS Anthro Tool'!$B$4=1,"North America Internal","")</f>
        <v>North America Internal</v>
      </c>
      <c r="F1642" s="507" t="s">
        <v>4246</v>
      </c>
      <c r="G1642" s="513"/>
      <c r="H1642" s="514" t="s">
        <v>3043</v>
      </c>
      <c r="I1642" s="514"/>
      <c r="J1642" s="513" t="s">
        <v>2089</v>
      </c>
      <c r="K1642" s="519" t="s">
        <v>315</v>
      </c>
      <c r="L1642" s="526" t="s">
        <v>315</v>
      </c>
      <c r="M1642" s="527" t="s">
        <v>315</v>
      </c>
      <c r="N1642" s="528" t="s">
        <v>315</v>
      </c>
      <c r="O1642" s="663"/>
      <c r="P1642" s="529"/>
      <c r="Q1642" s="531"/>
      <c r="R1642" s="530"/>
      <c r="S1642" s="530" t="s">
        <v>315</v>
      </c>
      <c r="T1642" s="667"/>
    </row>
    <row r="1643" spans="1:20" ht="45" hidden="1">
      <c r="A1643" s="518"/>
      <c r="B1643" s="506"/>
      <c r="C1643" s="514" t="s">
        <v>3044</v>
      </c>
      <c r="D1643" s="514" t="s">
        <v>3036</v>
      </c>
      <c r="E1643" s="509" t="str">
        <f>IF('GPS Anthro Tool'!$B$4=1,"North America Internal","")</f>
        <v>North America Internal</v>
      </c>
      <c r="F1643" s="507" t="s">
        <v>4246</v>
      </c>
      <c r="G1643" s="513"/>
      <c r="H1643" s="514" t="s">
        <v>3045</v>
      </c>
      <c r="I1643" s="514"/>
      <c r="J1643" s="513" t="s">
        <v>3018</v>
      </c>
      <c r="K1643" s="519" t="s">
        <v>315</v>
      </c>
      <c r="L1643" s="526" t="s">
        <v>315</v>
      </c>
      <c r="M1643" s="527" t="s">
        <v>315</v>
      </c>
      <c r="N1643" s="528" t="s">
        <v>315</v>
      </c>
      <c r="O1643" s="663"/>
      <c r="P1643" s="529"/>
      <c r="Q1643" s="531"/>
      <c r="R1643" s="530"/>
      <c r="S1643" s="530" t="s">
        <v>315</v>
      </c>
      <c r="T1643" s="667"/>
    </row>
    <row r="1644" spans="1:20" ht="45" hidden="1">
      <c r="A1644" s="518"/>
      <c r="B1644" s="506"/>
      <c r="C1644" s="514" t="s">
        <v>3023</v>
      </c>
      <c r="D1644" s="514" t="s">
        <v>3021</v>
      </c>
      <c r="E1644" s="509" t="str">
        <f>IF('GPS Anthro Tool'!$B$4=1,"North America Internal","")</f>
        <v>North America Internal</v>
      </c>
      <c r="F1644" s="507" t="s">
        <v>4246</v>
      </c>
      <c r="G1644" s="513"/>
      <c r="H1644" s="514" t="s">
        <v>3024</v>
      </c>
      <c r="I1644" s="514"/>
      <c r="J1644" s="513" t="s">
        <v>3018</v>
      </c>
      <c r="K1644" s="519" t="s">
        <v>315</v>
      </c>
      <c r="L1644" s="526" t="s">
        <v>315</v>
      </c>
      <c r="M1644" s="527" t="s">
        <v>315</v>
      </c>
      <c r="N1644" s="528" t="s">
        <v>315</v>
      </c>
      <c r="O1644" s="663"/>
      <c r="P1644" s="529"/>
      <c r="Q1644" s="531"/>
      <c r="R1644" s="530"/>
      <c r="S1644" s="530" t="s">
        <v>315</v>
      </c>
      <c r="T1644" s="667"/>
    </row>
    <row r="1645" spans="1:20" ht="90" hidden="1">
      <c r="A1645" s="518"/>
      <c r="B1645" s="506"/>
      <c r="C1645" s="514" t="s">
        <v>3020</v>
      </c>
      <c r="D1645" s="514" t="s">
        <v>3021</v>
      </c>
      <c r="E1645" s="509" t="str">
        <f>IF('GPS Anthro Tool'!$B$4=1,"North America Internal","")</f>
        <v>North America Internal</v>
      </c>
      <c r="F1645" s="507" t="s">
        <v>4246</v>
      </c>
      <c r="G1645" s="513"/>
      <c r="H1645" s="514" t="s">
        <v>3022</v>
      </c>
      <c r="I1645" s="514"/>
      <c r="J1645" s="513" t="s">
        <v>3018</v>
      </c>
      <c r="K1645" s="519" t="s">
        <v>315</v>
      </c>
      <c r="L1645" s="526" t="s">
        <v>315</v>
      </c>
      <c r="M1645" s="527" t="s">
        <v>315</v>
      </c>
      <c r="N1645" s="528" t="s">
        <v>315</v>
      </c>
      <c r="O1645" s="663"/>
      <c r="P1645" s="529"/>
      <c r="Q1645" s="531"/>
      <c r="R1645" s="530"/>
      <c r="S1645" s="530" t="s">
        <v>315</v>
      </c>
      <c r="T1645" s="667"/>
    </row>
    <row r="1646" spans="1:20" ht="120" hidden="1">
      <c r="A1646" s="518"/>
      <c r="B1646" s="506"/>
      <c r="C1646" s="514" t="s">
        <v>3025</v>
      </c>
      <c r="D1646" s="514" t="s">
        <v>3021</v>
      </c>
      <c r="E1646" s="509" t="str">
        <f>IF('GPS Anthro Tool'!$B$4=1,"North America Internal","")</f>
        <v>North America Internal</v>
      </c>
      <c r="F1646" s="507" t="s">
        <v>4246</v>
      </c>
      <c r="G1646" s="513"/>
      <c r="H1646" s="514" t="s">
        <v>3026</v>
      </c>
      <c r="I1646" s="514"/>
      <c r="J1646" s="513" t="s">
        <v>3018</v>
      </c>
      <c r="K1646" s="519" t="s">
        <v>315</v>
      </c>
      <c r="L1646" s="526" t="s">
        <v>315</v>
      </c>
      <c r="M1646" s="527" t="s">
        <v>315</v>
      </c>
      <c r="N1646" s="528" t="s">
        <v>315</v>
      </c>
      <c r="O1646" s="663"/>
      <c r="P1646" s="529"/>
      <c r="Q1646" s="531"/>
      <c r="R1646" s="530"/>
      <c r="S1646" s="530" t="s">
        <v>315</v>
      </c>
      <c r="T1646" s="667"/>
    </row>
    <row r="1647" spans="1:20" ht="45" hidden="1">
      <c r="A1647" s="518"/>
      <c r="B1647" s="509" t="s">
        <v>2206</v>
      </c>
      <c r="C1647" s="509" t="s">
        <v>2211</v>
      </c>
      <c r="D1647" s="509" t="s">
        <v>2129</v>
      </c>
      <c r="E1647" s="509" t="str">
        <f>IF('GPS Anthro Tool'!$B$4=1,"North America Internal","")</f>
        <v>North America Internal</v>
      </c>
      <c r="F1647" s="507" t="s">
        <v>4246</v>
      </c>
      <c r="G1647" s="507" t="s">
        <v>3534</v>
      </c>
      <c r="H1647" s="509" t="s">
        <v>2212</v>
      </c>
      <c r="I1647" s="506"/>
      <c r="J1647" s="506"/>
      <c r="K1647" s="533"/>
      <c r="L1647" s="662"/>
      <c r="M1647" s="535"/>
      <c r="N1647" s="658"/>
      <c r="O1647" s="663"/>
      <c r="P1647" s="666"/>
      <c r="Q1647" s="566"/>
      <c r="R1647" s="535"/>
      <c r="S1647" s="535" t="s">
        <v>1819</v>
      </c>
      <c r="T1647" s="667"/>
    </row>
    <row r="1648" spans="1:20" ht="75" hidden="1">
      <c r="A1648" s="518"/>
      <c r="B1648" s="506"/>
      <c r="C1648" s="513"/>
      <c r="D1648" s="509" t="s">
        <v>2129</v>
      </c>
      <c r="E1648" s="509" t="str">
        <f>IF('GPS Anthro Tool'!$B$4=1,"North America Internal","")</f>
        <v>North America Internal</v>
      </c>
      <c r="F1648" s="507" t="s">
        <v>4246</v>
      </c>
      <c r="G1648" s="509" t="s">
        <v>2128</v>
      </c>
      <c r="H1648" s="509" t="s">
        <v>2131</v>
      </c>
      <c r="I1648" s="509"/>
      <c r="J1648" s="513"/>
      <c r="K1648" s="519" t="s">
        <v>315</v>
      </c>
      <c r="L1648" s="526" t="s">
        <v>315</v>
      </c>
      <c r="M1648" s="527" t="s">
        <v>315</v>
      </c>
      <c r="N1648" s="528" t="s">
        <v>315</v>
      </c>
      <c r="O1648" s="663"/>
      <c r="P1648" s="529"/>
      <c r="Q1648" s="531"/>
      <c r="R1648" s="530"/>
      <c r="S1648" s="530" t="s">
        <v>315</v>
      </c>
      <c r="T1648" s="667"/>
    </row>
    <row r="1649" spans="1:20" ht="45" hidden="1">
      <c r="A1649" s="518"/>
      <c r="B1649" s="509" t="s">
        <v>2206</v>
      </c>
      <c r="C1649" s="509" t="s">
        <v>2225</v>
      </c>
      <c r="D1649" s="509" t="s">
        <v>2226</v>
      </c>
      <c r="E1649" s="509" t="str">
        <f>IF('GPS Anthro Tool'!$B$4=1,"North America Internal","")</f>
        <v>North America Internal</v>
      </c>
      <c r="F1649" s="507" t="s">
        <v>4246</v>
      </c>
      <c r="G1649" s="507" t="s">
        <v>2227</v>
      </c>
      <c r="H1649" s="509" t="s">
        <v>2228</v>
      </c>
      <c r="I1649" s="506"/>
      <c r="J1649" s="506"/>
      <c r="K1649" s="533"/>
      <c r="L1649" s="662"/>
      <c r="M1649" s="535"/>
      <c r="N1649" s="658"/>
      <c r="O1649" s="663"/>
      <c r="P1649" s="666"/>
      <c r="Q1649" s="566"/>
      <c r="R1649" s="535"/>
      <c r="S1649" s="535" t="s">
        <v>1819</v>
      </c>
      <c r="T1649" s="667"/>
    </row>
    <row r="1650" spans="1:20" ht="105" hidden="1">
      <c r="A1650" s="518"/>
      <c r="B1650" s="509" t="s">
        <v>604</v>
      </c>
      <c r="C1650" s="509" t="s">
        <v>2060</v>
      </c>
      <c r="D1650" s="509" t="s">
        <v>2061</v>
      </c>
      <c r="E1650" s="509" t="str">
        <f>IF('GPS Anthro Tool'!$B$4=1,"North America Internal","")</f>
        <v>North America Internal</v>
      </c>
      <c r="F1650" s="507" t="s">
        <v>4246</v>
      </c>
      <c r="G1650" s="506" t="s">
        <v>604</v>
      </c>
      <c r="H1650" s="509" t="s">
        <v>2062</v>
      </c>
      <c r="I1650" s="506"/>
      <c r="J1650" s="506"/>
      <c r="K1650" s="533"/>
      <c r="L1650" s="662"/>
      <c r="M1650" s="535"/>
      <c r="N1650" s="658"/>
      <c r="O1650" s="663"/>
      <c r="P1650" s="666"/>
      <c r="Q1650" s="566"/>
      <c r="R1650" s="535"/>
      <c r="S1650" s="535" t="s">
        <v>1819</v>
      </c>
      <c r="T1650" s="667"/>
    </row>
    <row r="1651" spans="1:20" ht="45" hidden="1">
      <c r="A1651" s="518"/>
      <c r="B1651" s="509" t="s">
        <v>2096</v>
      </c>
      <c r="C1651" s="538" t="s">
        <v>2097</v>
      </c>
      <c r="D1651" s="538" t="s">
        <v>2098</v>
      </c>
      <c r="E1651" s="509" t="str">
        <f>IF('GPS Anthro Tool'!$B$4=1,"North America Internal","")</f>
        <v>North America Internal</v>
      </c>
      <c r="F1651" s="507" t="s">
        <v>4246</v>
      </c>
      <c r="G1651" s="506" t="s">
        <v>2066</v>
      </c>
      <c r="H1651" s="538" t="s">
        <v>2099</v>
      </c>
      <c r="I1651" s="506"/>
      <c r="J1651" s="506"/>
      <c r="K1651" s="533"/>
      <c r="L1651" s="662"/>
      <c r="M1651" s="535"/>
      <c r="N1651" s="658"/>
      <c r="O1651" s="663"/>
      <c r="P1651" s="666"/>
      <c r="Q1651" s="566"/>
      <c r="R1651" s="535"/>
      <c r="S1651" s="535" t="s">
        <v>1819</v>
      </c>
      <c r="T1651" s="667"/>
    </row>
    <row r="1652" spans="1:20" ht="180" hidden="1">
      <c r="A1652" s="518"/>
      <c r="B1652" s="509" t="s">
        <v>2229</v>
      </c>
      <c r="C1652" s="509" t="s">
        <v>2230</v>
      </c>
      <c r="D1652" s="509" t="s">
        <v>2231</v>
      </c>
      <c r="E1652" s="509" t="str">
        <f>IF('GPS Anthro Tool'!$B$4=1,"North America Internal","")</f>
        <v>North America Internal</v>
      </c>
      <c r="F1652" s="506" t="s">
        <v>4246</v>
      </c>
      <c r="G1652" s="507" t="s">
        <v>3535</v>
      </c>
      <c r="H1652" s="509" t="s">
        <v>2232</v>
      </c>
      <c r="I1652" s="506"/>
      <c r="J1652" s="506"/>
      <c r="K1652" s="533"/>
      <c r="L1652" s="662"/>
      <c r="M1652" s="535"/>
      <c r="N1652" s="658"/>
      <c r="O1652" s="663"/>
      <c r="P1652" s="666"/>
      <c r="Q1652" s="566"/>
      <c r="R1652" s="535"/>
      <c r="S1652" s="535" t="s">
        <v>1819</v>
      </c>
      <c r="T1652" s="667"/>
    </row>
    <row r="1653" spans="1:20" ht="60" hidden="1">
      <c r="A1653" s="518"/>
      <c r="B1653" s="509" t="s">
        <v>2144</v>
      </c>
      <c r="C1653" s="509" t="s">
        <v>2191</v>
      </c>
      <c r="D1653" s="509" t="s">
        <v>2187</v>
      </c>
      <c r="E1653" s="509" t="str">
        <f>IF('GPS Anthro Tool'!$B$4=1,"North America Internal","")</f>
        <v>North America Internal</v>
      </c>
      <c r="F1653" s="506" t="s">
        <v>4246</v>
      </c>
      <c r="G1653" s="507" t="s">
        <v>2182</v>
      </c>
      <c r="H1653" s="509" t="s">
        <v>2192</v>
      </c>
      <c r="I1653" s="506"/>
      <c r="J1653" s="506"/>
      <c r="K1653" s="533"/>
      <c r="L1653" s="662"/>
      <c r="M1653" s="535"/>
      <c r="N1653" s="658"/>
      <c r="O1653" s="663"/>
      <c r="P1653" s="666"/>
      <c r="Q1653" s="566"/>
      <c r="R1653" s="535"/>
      <c r="S1653" s="535" t="s">
        <v>1819</v>
      </c>
      <c r="T1653" s="667"/>
    </row>
    <row r="1654" spans="1:20" ht="105" hidden="1">
      <c r="A1654" s="518"/>
      <c r="B1654" s="509" t="s">
        <v>2144</v>
      </c>
      <c r="C1654" s="509" t="s">
        <v>2186</v>
      </c>
      <c r="D1654" s="509" t="s">
        <v>2187</v>
      </c>
      <c r="E1654" s="509" t="str">
        <f>IF('GPS Anthro Tool'!$B$4=1,"North America Internal","")</f>
        <v>North America Internal</v>
      </c>
      <c r="F1654" s="506" t="s">
        <v>4246</v>
      </c>
      <c r="G1654" s="507" t="s">
        <v>3530</v>
      </c>
      <c r="H1654" s="509" t="s">
        <v>2188</v>
      </c>
      <c r="I1654" s="506"/>
      <c r="J1654" s="506"/>
      <c r="K1654" s="533"/>
      <c r="L1654" s="662"/>
      <c r="M1654" s="535"/>
      <c r="N1654" s="658"/>
      <c r="O1654" s="663"/>
      <c r="P1654" s="666"/>
      <c r="Q1654" s="566"/>
      <c r="R1654" s="535"/>
      <c r="S1654" s="535" t="s">
        <v>1819</v>
      </c>
      <c r="T1654" s="658" t="s">
        <v>1819</v>
      </c>
    </row>
    <row r="1655" spans="1:20" ht="210" hidden="1">
      <c r="A1655" s="518"/>
      <c r="B1655" s="509" t="s">
        <v>2144</v>
      </c>
      <c r="C1655" s="509" t="s">
        <v>2193</v>
      </c>
      <c r="D1655" s="509" t="s">
        <v>2187</v>
      </c>
      <c r="E1655" s="509" t="str">
        <f>IF('GPS Anthro Tool'!$B$4=1,"North America Internal","")</f>
        <v>North America Internal</v>
      </c>
      <c r="F1655" s="506" t="s">
        <v>4246</v>
      </c>
      <c r="G1655" s="506" t="s">
        <v>2172</v>
      </c>
      <c r="H1655" s="509" t="s">
        <v>2194</v>
      </c>
      <c r="I1655" s="506"/>
      <c r="J1655" s="506"/>
      <c r="K1655" s="533"/>
      <c r="L1655" s="662"/>
      <c r="M1655" s="535"/>
      <c r="N1655" s="658"/>
      <c r="O1655" s="663"/>
      <c r="P1655" s="666"/>
      <c r="Q1655" s="566"/>
      <c r="R1655" s="535"/>
      <c r="S1655" s="535" t="s">
        <v>1819</v>
      </c>
      <c r="T1655" s="667"/>
    </row>
    <row r="1656" spans="1:20" ht="225" hidden="1">
      <c r="A1656" s="518"/>
      <c r="B1656" s="509" t="s">
        <v>2144</v>
      </c>
      <c r="C1656" s="509" t="s">
        <v>2195</v>
      </c>
      <c r="D1656" s="509" t="s">
        <v>2187</v>
      </c>
      <c r="E1656" s="509" t="str">
        <f>IF('GPS Anthro Tool'!$B$4=1,"North America Internal","")</f>
        <v>North America Internal</v>
      </c>
      <c r="F1656" s="506" t="s">
        <v>4246</v>
      </c>
      <c r="G1656" s="506" t="s">
        <v>2181</v>
      </c>
      <c r="H1656" s="509" t="s">
        <v>2196</v>
      </c>
      <c r="I1656" s="506"/>
      <c r="J1656" s="506"/>
      <c r="K1656" s="533"/>
      <c r="L1656" s="662"/>
      <c r="M1656" s="535"/>
      <c r="N1656" s="658"/>
      <c r="O1656" s="663"/>
      <c r="P1656" s="666"/>
      <c r="Q1656" s="566"/>
      <c r="R1656" s="535"/>
      <c r="S1656" s="535" t="s">
        <v>1819</v>
      </c>
      <c r="T1656" s="667"/>
    </row>
    <row r="1657" spans="1:20" ht="60" hidden="1">
      <c r="A1657" s="518"/>
      <c r="B1657" s="509" t="s">
        <v>2163</v>
      </c>
      <c r="C1657" s="509" t="s">
        <v>2189</v>
      </c>
      <c r="D1657" s="509" t="s">
        <v>2187</v>
      </c>
      <c r="E1657" s="509" t="str">
        <f>IF('GPS Anthro Tool'!$B$4=1,"North America Internal","")</f>
        <v>North America Internal</v>
      </c>
      <c r="F1657" s="506" t="s">
        <v>4246</v>
      </c>
      <c r="G1657" s="507" t="s">
        <v>2184</v>
      </c>
      <c r="H1657" s="509" t="s">
        <v>2190</v>
      </c>
      <c r="I1657" s="506"/>
      <c r="J1657" s="506"/>
      <c r="K1657" s="533"/>
      <c r="L1657" s="662"/>
      <c r="M1657" s="535"/>
      <c r="N1657" s="658"/>
      <c r="O1657" s="663"/>
      <c r="P1657" s="666"/>
      <c r="Q1657" s="566"/>
      <c r="R1657" s="535"/>
      <c r="S1657" s="535" t="s">
        <v>1819</v>
      </c>
      <c r="T1657" s="667"/>
    </row>
    <row r="1658" spans="1:20" ht="105" hidden="1">
      <c r="A1658" s="518"/>
      <c r="B1658" s="509" t="s">
        <v>2163</v>
      </c>
      <c r="C1658" s="509" t="s">
        <v>2164</v>
      </c>
      <c r="D1658" s="509" t="s">
        <v>2197</v>
      </c>
      <c r="E1658" s="509" t="str">
        <f>IF('GPS Anthro Tool'!$B$4=1,"North America Internal","")</f>
        <v>North America Internal</v>
      </c>
      <c r="F1658" s="506" t="s">
        <v>4246</v>
      </c>
      <c r="G1658" s="507" t="s">
        <v>2184</v>
      </c>
      <c r="H1658" s="509" t="s">
        <v>2198</v>
      </c>
      <c r="I1658" s="506"/>
      <c r="J1658" s="506"/>
      <c r="K1658" s="533"/>
      <c r="L1658" s="662"/>
      <c r="M1658" s="535"/>
      <c r="N1658" s="658"/>
      <c r="O1658" s="663"/>
      <c r="P1658" s="666"/>
      <c r="Q1658" s="566"/>
      <c r="R1658" s="535"/>
      <c r="S1658" s="535" t="s">
        <v>1819</v>
      </c>
      <c r="T1658" s="667"/>
    </row>
    <row r="1659" spans="1:20" ht="60" hidden="1">
      <c r="A1659" s="518"/>
      <c r="B1659" s="509" t="s">
        <v>2063</v>
      </c>
      <c r="C1659" s="509" t="s">
        <v>2064</v>
      </c>
      <c r="D1659" s="509" t="s">
        <v>2065</v>
      </c>
      <c r="E1659" s="509" t="str">
        <f>IF('GPS Anthro Tool'!$B$4=1,"North America Internal","")</f>
        <v>North America Internal</v>
      </c>
      <c r="F1659" s="506" t="s">
        <v>4246</v>
      </c>
      <c r="G1659" s="506" t="s">
        <v>2066</v>
      </c>
      <c r="H1659" s="509" t="s">
        <v>2067</v>
      </c>
      <c r="I1659" s="506"/>
      <c r="J1659" s="506"/>
      <c r="K1659" s="533"/>
      <c r="L1659" s="662"/>
      <c r="M1659" s="535"/>
      <c r="N1659" s="658"/>
      <c r="O1659" s="663"/>
      <c r="P1659" s="666"/>
      <c r="Q1659" s="566"/>
      <c r="R1659" s="535"/>
      <c r="S1659" s="535" t="s">
        <v>1819</v>
      </c>
      <c r="T1659" s="667"/>
    </row>
    <row r="1660" spans="1:20" ht="45" hidden="1">
      <c r="A1660" s="518"/>
      <c r="B1660" s="509" t="s">
        <v>2293</v>
      </c>
      <c r="C1660" s="509" t="s">
        <v>2294</v>
      </c>
      <c r="D1660" s="509" t="s">
        <v>2295</v>
      </c>
      <c r="E1660" s="509" t="str">
        <f>IF('GPS Anthro Tool'!$B$4=1,"North America Internal","")</f>
        <v>North America Internal</v>
      </c>
      <c r="F1660" s="506" t="s">
        <v>4246</v>
      </c>
      <c r="G1660" s="507" t="s">
        <v>3539</v>
      </c>
      <c r="H1660" s="509" t="s">
        <v>2296</v>
      </c>
      <c r="I1660" s="506"/>
      <c r="J1660" s="506"/>
      <c r="K1660" s="533"/>
      <c r="L1660" s="662"/>
      <c r="M1660" s="535"/>
      <c r="N1660" s="658"/>
      <c r="O1660" s="663"/>
      <c r="P1660" s="666"/>
      <c r="Q1660" s="566"/>
      <c r="R1660" s="535"/>
      <c r="S1660" s="535" t="s">
        <v>1819</v>
      </c>
      <c r="T1660" s="667"/>
    </row>
    <row r="1661" spans="1:20" ht="30" hidden="1">
      <c r="A1661" s="518"/>
      <c r="B1661" s="509" t="s">
        <v>1994</v>
      </c>
      <c r="C1661" s="509" t="s">
        <v>2033</v>
      </c>
      <c r="D1661" s="509" t="s">
        <v>2034</v>
      </c>
      <c r="E1661" s="509" t="str">
        <f>IF('GPS Anthro Tool'!$B$4=1,"North America Internal","")</f>
        <v>North America Internal</v>
      </c>
      <c r="F1661" s="506" t="s">
        <v>4246</v>
      </c>
      <c r="G1661" s="506" t="s">
        <v>1997</v>
      </c>
      <c r="H1661" s="509" t="s">
        <v>2032</v>
      </c>
      <c r="I1661" s="506"/>
      <c r="J1661" s="506"/>
      <c r="K1661" s="533"/>
      <c r="L1661" s="662"/>
      <c r="M1661" s="535"/>
      <c r="N1661" s="658"/>
      <c r="O1661" s="663"/>
      <c r="P1661" s="666"/>
      <c r="Q1661" s="566"/>
      <c r="R1661" s="535"/>
      <c r="S1661" s="535" t="s">
        <v>1819</v>
      </c>
      <c r="T1661" s="667"/>
    </row>
    <row r="1662" spans="1:20" ht="45" hidden="1">
      <c r="A1662" s="518"/>
      <c r="B1662" s="509" t="s">
        <v>2277</v>
      </c>
      <c r="C1662" s="509" t="s">
        <v>2278</v>
      </c>
      <c r="D1662" s="509" t="s">
        <v>2279</v>
      </c>
      <c r="E1662" s="509" t="str">
        <f>IF('GPS Anthro Tool'!$B$4=1,"North America Internal","")</f>
        <v>North America Internal</v>
      </c>
      <c r="F1662" s="506" t="s">
        <v>4315</v>
      </c>
      <c r="G1662" s="539"/>
      <c r="H1662" s="509" t="s">
        <v>3538</v>
      </c>
      <c r="I1662" s="506"/>
      <c r="J1662" s="506"/>
      <c r="K1662" s="533"/>
      <c r="L1662" s="662"/>
      <c r="M1662" s="535"/>
      <c r="N1662" s="658"/>
      <c r="O1662" s="663"/>
      <c r="P1662" s="666"/>
      <c r="Q1662" s="566"/>
      <c r="R1662" s="535"/>
      <c r="S1662" s="535" t="s">
        <v>1819</v>
      </c>
      <c r="T1662" s="667"/>
    </row>
    <row r="1663" spans="1:20" ht="105" hidden="1">
      <c r="A1663" s="518"/>
      <c r="B1663" s="506"/>
      <c r="C1663" s="514" t="s">
        <v>3012</v>
      </c>
      <c r="D1663" s="514" t="s">
        <v>2279</v>
      </c>
      <c r="E1663" s="509" t="str">
        <f>IF('GPS Anthro Tool'!$B$4=1,"North America Internal","")</f>
        <v>North America Internal</v>
      </c>
      <c r="F1663" s="506" t="s">
        <v>4315</v>
      </c>
      <c r="G1663" s="513"/>
      <c r="H1663" s="514" t="s">
        <v>3013</v>
      </c>
      <c r="I1663" s="514"/>
      <c r="J1663" s="513" t="s">
        <v>3001</v>
      </c>
      <c r="K1663" s="519" t="s">
        <v>315</v>
      </c>
      <c r="L1663" s="526" t="s">
        <v>315</v>
      </c>
      <c r="M1663" s="527" t="s">
        <v>315</v>
      </c>
      <c r="N1663" s="528" t="s">
        <v>315</v>
      </c>
      <c r="O1663" s="663"/>
      <c r="P1663" s="529"/>
      <c r="Q1663" s="531"/>
      <c r="R1663" s="530"/>
      <c r="S1663" s="530" t="s">
        <v>315</v>
      </c>
      <c r="T1663" s="667"/>
    </row>
    <row r="1664" spans="1:20" ht="45" hidden="1">
      <c r="A1664" s="518"/>
      <c r="B1664" s="506"/>
      <c r="C1664" s="506" t="s">
        <v>2104</v>
      </c>
      <c r="D1664" s="509" t="s">
        <v>2123</v>
      </c>
      <c r="E1664" s="509" t="str">
        <f>IF('GPS Anthro Tool'!$B$4=1,"North America Internal","")</f>
        <v>North America Internal</v>
      </c>
      <c r="F1664" s="506" t="s">
        <v>4315</v>
      </c>
      <c r="G1664" s="509" t="s">
        <v>2122</v>
      </c>
      <c r="H1664" s="509" t="s">
        <v>2124</v>
      </c>
      <c r="I1664" s="509"/>
      <c r="J1664" s="506"/>
      <c r="K1664" s="519" t="s">
        <v>315</v>
      </c>
      <c r="L1664" s="526" t="s">
        <v>315</v>
      </c>
      <c r="M1664" s="527" t="s">
        <v>315</v>
      </c>
      <c r="N1664" s="528" t="s">
        <v>315</v>
      </c>
      <c r="O1664" s="663"/>
      <c r="P1664" s="529"/>
      <c r="Q1664" s="531"/>
      <c r="R1664" s="530"/>
      <c r="S1664" s="530" t="s">
        <v>315</v>
      </c>
      <c r="T1664" s="667"/>
    </row>
    <row r="1665" spans="1:20" ht="120" hidden="1">
      <c r="A1665" s="518"/>
      <c r="B1665" s="506"/>
      <c r="C1665" s="506" t="s">
        <v>2104</v>
      </c>
      <c r="D1665" s="509" t="s">
        <v>2939</v>
      </c>
      <c r="E1665" s="509" t="str">
        <f>IF('GPS Anthro Tool'!$B$4=1,"North America Internal","")</f>
        <v>North America Internal</v>
      </c>
      <c r="F1665" s="506" t="s">
        <v>4315</v>
      </c>
      <c r="G1665" s="509" t="s">
        <v>2109</v>
      </c>
      <c r="H1665" s="509" t="s">
        <v>2110</v>
      </c>
      <c r="I1665" s="509"/>
      <c r="J1665" s="506"/>
      <c r="K1665" s="519" t="s">
        <v>315</v>
      </c>
      <c r="L1665" s="526" t="s">
        <v>315</v>
      </c>
      <c r="M1665" s="527" t="s">
        <v>315</v>
      </c>
      <c r="N1665" s="528" t="s">
        <v>315</v>
      </c>
      <c r="O1665" s="663"/>
      <c r="P1665" s="529"/>
      <c r="Q1665" s="531"/>
      <c r="R1665" s="530"/>
      <c r="S1665" s="530" t="s">
        <v>315</v>
      </c>
      <c r="T1665" s="667"/>
    </row>
    <row r="1666" spans="1:20" ht="45" hidden="1">
      <c r="A1666" s="518"/>
      <c r="B1666" s="506"/>
      <c r="C1666" s="506" t="s">
        <v>2104</v>
      </c>
      <c r="D1666" s="509" t="s">
        <v>2112</v>
      </c>
      <c r="E1666" s="509" t="str">
        <f>IF('GPS Anthro Tool'!$B$4=1,"North America Internal","")</f>
        <v>North America Internal</v>
      </c>
      <c r="F1666" s="506" t="s">
        <v>4315</v>
      </c>
      <c r="G1666" s="509" t="s">
        <v>2111</v>
      </c>
      <c r="H1666" s="509" t="s">
        <v>2113</v>
      </c>
      <c r="I1666" s="509"/>
      <c r="J1666" s="506"/>
      <c r="K1666" s="519" t="s">
        <v>315</v>
      </c>
      <c r="L1666" s="526" t="s">
        <v>315</v>
      </c>
      <c r="M1666" s="527" t="s">
        <v>315</v>
      </c>
      <c r="N1666" s="528" t="s">
        <v>315</v>
      </c>
      <c r="O1666" s="663"/>
      <c r="P1666" s="529"/>
      <c r="Q1666" s="531"/>
      <c r="R1666" s="530"/>
      <c r="S1666" s="530" t="s">
        <v>315</v>
      </c>
      <c r="T1666" s="667"/>
    </row>
    <row r="1667" spans="1:20" ht="180" hidden="1">
      <c r="A1667" s="518"/>
      <c r="B1667" s="506"/>
      <c r="C1667" s="506" t="s">
        <v>2104</v>
      </c>
      <c r="D1667" s="509" t="s">
        <v>2115</v>
      </c>
      <c r="E1667" s="509" t="str">
        <f>IF('GPS Anthro Tool'!$B$4=1,"North America Internal","")</f>
        <v>North America Internal</v>
      </c>
      <c r="F1667" s="506" t="s">
        <v>4315</v>
      </c>
      <c r="G1667" s="509" t="s">
        <v>2114</v>
      </c>
      <c r="H1667" s="509" t="s">
        <v>2940</v>
      </c>
      <c r="I1667" s="509"/>
      <c r="J1667" s="506"/>
      <c r="K1667" s="519" t="s">
        <v>315</v>
      </c>
      <c r="L1667" s="526" t="s">
        <v>315</v>
      </c>
      <c r="M1667" s="527" t="s">
        <v>315</v>
      </c>
      <c r="N1667" s="528" t="s">
        <v>315</v>
      </c>
      <c r="O1667" s="663"/>
      <c r="P1667" s="529"/>
      <c r="Q1667" s="531"/>
      <c r="R1667" s="530"/>
      <c r="S1667" s="530" t="s">
        <v>315</v>
      </c>
      <c r="T1667" s="667"/>
    </row>
    <row r="1668" spans="1:20" ht="45" hidden="1">
      <c r="A1668" s="518"/>
      <c r="B1668" s="506"/>
      <c r="C1668" s="506" t="s">
        <v>2104</v>
      </c>
      <c r="D1668" s="509" t="s">
        <v>2120</v>
      </c>
      <c r="E1668" s="509" t="str">
        <f>IF('GPS Anthro Tool'!$B$4=1,"North America Internal","")</f>
        <v>North America Internal</v>
      </c>
      <c r="F1668" s="506" t="s">
        <v>4315</v>
      </c>
      <c r="G1668" s="509" t="s">
        <v>2119</v>
      </c>
      <c r="H1668" s="509" t="s">
        <v>2941</v>
      </c>
      <c r="I1668" s="509"/>
      <c r="J1668" s="506"/>
      <c r="K1668" s="519" t="s">
        <v>315</v>
      </c>
      <c r="L1668" s="526" t="s">
        <v>315</v>
      </c>
      <c r="M1668" s="527" t="s">
        <v>315</v>
      </c>
      <c r="N1668" s="528" t="s">
        <v>315</v>
      </c>
      <c r="O1668" s="663"/>
      <c r="P1668" s="529"/>
      <c r="Q1668" s="531"/>
      <c r="R1668" s="530"/>
      <c r="S1668" s="530" t="s">
        <v>315</v>
      </c>
      <c r="T1668" s="667"/>
    </row>
    <row r="1669" spans="1:20" ht="60" hidden="1">
      <c r="A1669" s="518"/>
      <c r="B1669" s="506"/>
      <c r="C1669" s="514" t="s">
        <v>2285</v>
      </c>
      <c r="D1669" s="514" t="s">
        <v>3016</v>
      </c>
      <c r="E1669" s="509" t="str">
        <f>IF('GPS Anthro Tool'!$B$4=1,"North America Internal","")</f>
        <v>North America Internal</v>
      </c>
      <c r="F1669" s="506" t="s">
        <v>4315</v>
      </c>
      <c r="G1669" s="513"/>
      <c r="H1669" s="514" t="s">
        <v>3017</v>
      </c>
      <c r="I1669" s="514"/>
      <c r="J1669" s="513" t="s">
        <v>3018</v>
      </c>
      <c r="K1669" s="519" t="s">
        <v>315</v>
      </c>
      <c r="L1669" s="526" t="s">
        <v>315</v>
      </c>
      <c r="M1669" s="527" t="s">
        <v>315</v>
      </c>
      <c r="N1669" s="528" t="s">
        <v>315</v>
      </c>
      <c r="O1669" s="663"/>
      <c r="P1669" s="529"/>
      <c r="Q1669" s="531"/>
      <c r="R1669" s="530"/>
      <c r="S1669" s="530" t="s">
        <v>315</v>
      </c>
      <c r="T1669" s="667"/>
    </row>
    <row r="1670" spans="1:20" ht="60" hidden="1">
      <c r="A1670" s="518"/>
      <c r="B1670" s="509" t="s">
        <v>2039</v>
      </c>
      <c r="C1670" s="509" t="s">
        <v>2040</v>
      </c>
      <c r="D1670" s="509" t="s">
        <v>2041</v>
      </c>
      <c r="E1670" s="509" t="str">
        <f>IF('GPS Anthro Tool'!$B$4=1,"North America Internal","")</f>
        <v>North America Internal</v>
      </c>
      <c r="F1670" s="506" t="s">
        <v>4246</v>
      </c>
      <c r="G1670" s="506" t="s">
        <v>2036</v>
      </c>
      <c r="H1670" s="509" t="s">
        <v>2042</v>
      </c>
      <c r="I1670" s="506"/>
      <c r="J1670" s="506"/>
      <c r="K1670" s="533"/>
      <c r="L1670" s="662"/>
      <c r="M1670" s="535"/>
      <c r="N1670" s="658"/>
      <c r="O1670" s="663"/>
      <c r="P1670" s="666"/>
      <c r="Q1670" s="566"/>
      <c r="R1670" s="535"/>
      <c r="S1670" s="535" t="s">
        <v>1819</v>
      </c>
      <c r="T1670" s="667"/>
    </row>
    <row r="1671" spans="1:20" ht="75" hidden="1">
      <c r="A1671" s="518"/>
      <c r="B1671" s="509" t="s">
        <v>2035</v>
      </c>
      <c r="C1671" s="509" t="s">
        <v>2036</v>
      </c>
      <c r="D1671" s="509" t="s">
        <v>2037</v>
      </c>
      <c r="E1671" s="509" t="str">
        <f>IF('GPS Anthro Tool'!$B$4=1,"North America Internal","")</f>
        <v>North America Internal</v>
      </c>
      <c r="F1671" s="506" t="s">
        <v>4246</v>
      </c>
      <c r="G1671" s="506" t="s">
        <v>604</v>
      </c>
      <c r="H1671" s="509" t="s">
        <v>2038</v>
      </c>
      <c r="I1671" s="506"/>
      <c r="J1671" s="506"/>
      <c r="K1671" s="533"/>
      <c r="L1671" s="662"/>
      <c r="M1671" s="535"/>
      <c r="N1671" s="658"/>
      <c r="O1671" s="663"/>
      <c r="P1671" s="666"/>
      <c r="Q1671" s="566"/>
      <c r="R1671" s="535"/>
      <c r="S1671" s="535" t="s">
        <v>1819</v>
      </c>
      <c r="T1671" s="667"/>
    </row>
    <row r="1672" spans="1:20" ht="75" hidden="1">
      <c r="A1672" s="518"/>
      <c r="B1672" s="509" t="s">
        <v>2063</v>
      </c>
      <c r="C1672" s="538" t="s">
        <v>2082</v>
      </c>
      <c r="D1672" s="510" t="s">
        <v>2078</v>
      </c>
      <c r="E1672" s="509" t="str">
        <f>IF('GPS Anthro Tool'!$B$4=1,"North America Internal","")</f>
        <v>North America Internal</v>
      </c>
      <c r="F1672" s="506" t="s">
        <v>4246</v>
      </c>
      <c r="G1672" s="506" t="s">
        <v>2066</v>
      </c>
      <c r="H1672" s="538" t="s">
        <v>2083</v>
      </c>
      <c r="I1672" s="506"/>
      <c r="J1672" s="506"/>
      <c r="K1672" s="533"/>
      <c r="L1672" s="662"/>
      <c r="M1672" s="535"/>
      <c r="N1672" s="658"/>
      <c r="O1672" s="663"/>
      <c r="P1672" s="666"/>
      <c r="Q1672" s="566"/>
      <c r="R1672" s="535"/>
      <c r="S1672" s="535" t="s">
        <v>1819</v>
      </c>
      <c r="T1672" s="667"/>
    </row>
    <row r="1673" spans="1:20" ht="75" hidden="1">
      <c r="A1673" s="518"/>
      <c r="B1673" s="509" t="s">
        <v>2063</v>
      </c>
      <c r="C1673" s="538" t="s">
        <v>2084</v>
      </c>
      <c r="D1673" s="510" t="s">
        <v>2078</v>
      </c>
      <c r="E1673" s="509" t="str">
        <f>IF('GPS Anthro Tool'!$B$4=1,"North America Internal","")</f>
        <v>North America Internal</v>
      </c>
      <c r="F1673" s="506" t="s">
        <v>4246</v>
      </c>
      <c r="G1673" s="506" t="s">
        <v>2066</v>
      </c>
      <c r="H1673" s="538" t="s">
        <v>2085</v>
      </c>
      <c r="I1673" s="506"/>
      <c r="J1673" s="506"/>
      <c r="K1673" s="533"/>
      <c r="L1673" s="662"/>
      <c r="M1673" s="535"/>
      <c r="N1673" s="658"/>
      <c r="O1673" s="663"/>
      <c r="P1673" s="666"/>
      <c r="Q1673" s="566"/>
      <c r="R1673" s="535"/>
      <c r="S1673" s="535" t="s">
        <v>1819</v>
      </c>
      <c r="T1673" s="667"/>
    </row>
    <row r="1674" spans="1:20" ht="45" hidden="1">
      <c r="A1674" s="518"/>
      <c r="B1674" s="509" t="s">
        <v>2063</v>
      </c>
      <c r="C1674" s="538" t="s">
        <v>2077</v>
      </c>
      <c r="D1674" s="510" t="s">
        <v>2078</v>
      </c>
      <c r="E1674" s="509" t="str">
        <f>IF('GPS Anthro Tool'!$B$4=1,"North America Internal","")</f>
        <v>North America Internal</v>
      </c>
      <c r="F1674" s="506" t="s">
        <v>4246</v>
      </c>
      <c r="G1674" s="506" t="s">
        <v>2066</v>
      </c>
      <c r="H1674" s="538" t="s">
        <v>2079</v>
      </c>
      <c r="I1674" s="506"/>
      <c r="J1674" s="506"/>
      <c r="K1674" s="533"/>
      <c r="L1674" s="662"/>
      <c r="M1674" s="535"/>
      <c r="N1674" s="658"/>
      <c r="O1674" s="663"/>
      <c r="P1674" s="666"/>
      <c r="Q1674" s="566"/>
      <c r="R1674" s="535"/>
      <c r="S1674" s="535" t="s">
        <v>1819</v>
      </c>
      <c r="T1674" s="667"/>
    </row>
    <row r="1675" spans="1:20" ht="45" hidden="1">
      <c r="A1675" s="518"/>
      <c r="B1675" s="509" t="s">
        <v>2063</v>
      </c>
      <c r="C1675" s="538" t="s">
        <v>2077</v>
      </c>
      <c r="D1675" s="510" t="s">
        <v>2078</v>
      </c>
      <c r="E1675" s="509" t="str">
        <f>IF('GPS Anthro Tool'!$B$4=1,"North America Internal","")</f>
        <v>North America Internal</v>
      </c>
      <c r="F1675" s="506" t="s">
        <v>4246</v>
      </c>
      <c r="G1675" s="506" t="s">
        <v>2066</v>
      </c>
      <c r="H1675" s="538" t="s">
        <v>2080</v>
      </c>
      <c r="I1675" s="506"/>
      <c r="J1675" s="506"/>
      <c r="K1675" s="533"/>
      <c r="L1675" s="662"/>
      <c r="M1675" s="535"/>
      <c r="N1675" s="658"/>
      <c r="O1675" s="663"/>
      <c r="P1675" s="666"/>
      <c r="Q1675" s="566"/>
      <c r="R1675" s="535"/>
      <c r="S1675" s="535" t="s">
        <v>1819</v>
      </c>
      <c r="T1675" s="667"/>
    </row>
    <row r="1676" spans="1:20" ht="45" hidden="1">
      <c r="A1676" s="518"/>
      <c r="B1676" s="509" t="s">
        <v>2063</v>
      </c>
      <c r="C1676" s="538" t="s">
        <v>2077</v>
      </c>
      <c r="D1676" s="510" t="s">
        <v>2078</v>
      </c>
      <c r="E1676" s="509" t="str">
        <f>IF('GPS Anthro Tool'!$B$4=1,"North America Internal","")</f>
        <v>North America Internal</v>
      </c>
      <c r="F1676" s="506" t="s">
        <v>4246</v>
      </c>
      <c r="G1676" s="506" t="s">
        <v>2066</v>
      </c>
      <c r="H1676" s="538" t="s">
        <v>2081</v>
      </c>
      <c r="I1676" s="506"/>
      <c r="J1676" s="506"/>
      <c r="K1676" s="533"/>
      <c r="L1676" s="662"/>
      <c r="M1676" s="535"/>
      <c r="N1676" s="658"/>
      <c r="O1676" s="663"/>
      <c r="P1676" s="666"/>
      <c r="Q1676" s="566"/>
      <c r="R1676" s="535"/>
      <c r="S1676" s="535" t="s">
        <v>1819</v>
      </c>
      <c r="T1676" s="667"/>
    </row>
    <row r="1677" spans="1:20" ht="60" hidden="1">
      <c r="A1677" s="518"/>
      <c r="B1677" s="509" t="s">
        <v>2063</v>
      </c>
      <c r="C1677" s="538" t="s">
        <v>2086</v>
      </c>
      <c r="D1677" s="510" t="s">
        <v>2078</v>
      </c>
      <c r="E1677" s="509" t="str">
        <f>IF('GPS Anthro Tool'!$B$4=1,"North America Internal","")</f>
        <v>North America Internal</v>
      </c>
      <c r="F1677" s="506" t="s">
        <v>4246</v>
      </c>
      <c r="G1677" s="506" t="s">
        <v>2066</v>
      </c>
      <c r="H1677" s="538" t="s">
        <v>2087</v>
      </c>
      <c r="I1677" s="506"/>
      <c r="J1677" s="506"/>
      <c r="K1677" s="533"/>
      <c r="L1677" s="662"/>
      <c r="M1677" s="535"/>
      <c r="N1677" s="658"/>
      <c r="O1677" s="663"/>
      <c r="P1677" s="666"/>
      <c r="Q1677" s="566"/>
      <c r="R1677" s="535"/>
      <c r="S1677" s="535" t="s">
        <v>1819</v>
      </c>
      <c r="T1677" s="667"/>
    </row>
    <row r="1678" spans="1:20" ht="45" hidden="1">
      <c r="A1678" s="518"/>
      <c r="B1678" s="506"/>
      <c r="C1678" s="506" t="s">
        <v>2063</v>
      </c>
      <c r="D1678" s="510" t="s">
        <v>2078</v>
      </c>
      <c r="E1678" s="509" t="str">
        <f>IF('GPS Anthro Tool'!$B$4=1,"North America Internal","")</f>
        <v>North America Internal</v>
      </c>
      <c r="F1678" s="506" t="s">
        <v>4246</v>
      </c>
      <c r="G1678" s="511" t="s">
        <v>2077</v>
      </c>
      <c r="H1678" s="511" t="s">
        <v>2079</v>
      </c>
      <c r="I1678" s="511"/>
      <c r="J1678" s="506"/>
      <c r="K1678" s="519" t="s">
        <v>315</v>
      </c>
      <c r="L1678" s="526" t="s">
        <v>315</v>
      </c>
      <c r="M1678" s="527" t="s">
        <v>315</v>
      </c>
      <c r="N1678" s="528" t="s">
        <v>315</v>
      </c>
      <c r="O1678" s="663"/>
      <c r="P1678" s="529"/>
      <c r="Q1678" s="531"/>
      <c r="R1678" s="530"/>
      <c r="S1678" s="530" t="s">
        <v>315</v>
      </c>
      <c r="T1678" s="667"/>
    </row>
    <row r="1679" spans="1:20" ht="30" hidden="1">
      <c r="A1679" s="518"/>
      <c r="B1679" s="506"/>
      <c r="C1679" s="506" t="s">
        <v>2063</v>
      </c>
      <c r="D1679" s="510" t="s">
        <v>2078</v>
      </c>
      <c r="E1679" s="509" t="str">
        <f>IF('GPS Anthro Tool'!$B$4=1,"North America Internal","")</f>
        <v>North America Internal</v>
      </c>
      <c r="F1679" s="506" t="s">
        <v>4246</v>
      </c>
      <c r="G1679" s="511" t="s">
        <v>2077</v>
      </c>
      <c r="H1679" s="511" t="s">
        <v>2080</v>
      </c>
      <c r="I1679" s="511"/>
      <c r="J1679" s="506"/>
      <c r="K1679" s="519" t="s">
        <v>315</v>
      </c>
      <c r="L1679" s="526" t="s">
        <v>315</v>
      </c>
      <c r="M1679" s="527" t="s">
        <v>315</v>
      </c>
      <c r="N1679" s="528" t="s">
        <v>315</v>
      </c>
      <c r="O1679" s="663"/>
      <c r="P1679" s="529"/>
      <c r="Q1679" s="531"/>
      <c r="R1679" s="530"/>
      <c r="S1679" s="530" t="s">
        <v>315</v>
      </c>
      <c r="T1679" s="667"/>
    </row>
    <row r="1680" spans="1:20" ht="30" hidden="1">
      <c r="A1680" s="518"/>
      <c r="B1680" s="506"/>
      <c r="C1680" s="506" t="s">
        <v>2063</v>
      </c>
      <c r="D1680" s="510" t="s">
        <v>2078</v>
      </c>
      <c r="E1680" s="509" t="str">
        <f>IF('GPS Anthro Tool'!$B$4=1,"North America Internal","")</f>
        <v>North America Internal</v>
      </c>
      <c r="F1680" s="506" t="s">
        <v>4246</v>
      </c>
      <c r="G1680" s="511" t="s">
        <v>2077</v>
      </c>
      <c r="H1680" s="511" t="s">
        <v>2081</v>
      </c>
      <c r="I1680" s="511"/>
      <c r="J1680" s="506"/>
      <c r="K1680" s="519" t="s">
        <v>315</v>
      </c>
      <c r="L1680" s="526" t="s">
        <v>315</v>
      </c>
      <c r="M1680" s="527" t="s">
        <v>315</v>
      </c>
      <c r="N1680" s="528" t="s">
        <v>315</v>
      </c>
      <c r="O1680" s="663"/>
      <c r="P1680" s="529"/>
      <c r="Q1680" s="531"/>
      <c r="R1680" s="530"/>
      <c r="S1680" s="530" t="s">
        <v>315</v>
      </c>
      <c r="T1680" s="667"/>
    </row>
    <row r="1681" spans="1:20" ht="75" hidden="1">
      <c r="A1681" s="518"/>
      <c r="B1681" s="506"/>
      <c r="C1681" s="506" t="s">
        <v>2063</v>
      </c>
      <c r="D1681" s="510" t="s">
        <v>2078</v>
      </c>
      <c r="E1681" s="509" t="str">
        <f>IF('GPS Anthro Tool'!$B$4=1,"North America Internal","")</f>
        <v>North America Internal</v>
      </c>
      <c r="F1681" s="506" t="s">
        <v>4246</v>
      </c>
      <c r="G1681" s="511" t="s">
        <v>2082</v>
      </c>
      <c r="H1681" s="511" t="s">
        <v>2083</v>
      </c>
      <c r="I1681" s="511"/>
      <c r="J1681" s="506"/>
      <c r="K1681" s="519" t="s">
        <v>315</v>
      </c>
      <c r="L1681" s="526" t="s">
        <v>315</v>
      </c>
      <c r="M1681" s="527" t="s">
        <v>315</v>
      </c>
      <c r="N1681" s="528" t="s">
        <v>315</v>
      </c>
      <c r="O1681" s="663"/>
      <c r="P1681" s="529"/>
      <c r="Q1681" s="531"/>
      <c r="R1681" s="530"/>
      <c r="S1681" s="530" t="s">
        <v>315</v>
      </c>
      <c r="T1681" s="667"/>
    </row>
    <row r="1682" spans="1:20" ht="75" hidden="1">
      <c r="A1682" s="518"/>
      <c r="B1682" s="506"/>
      <c r="C1682" s="506" t="s">
        <v>2063</v>
      </c>
      <c r="D1682" s="510" t="s">
        <v>2078</v>
      </c>
      <c r="E1682" s="509" t="str">
        <f>IF('GPS Anthro Tool'!$B$4=1,"North America Internal","")</f>
        <v>North America Internal</v>
      </c>
      <c r="F1682" s="506" t="s">
        <v>4246</v>
      </c>
      <c r="G1682" s="511" t="s">
        <v>2084</v>
      </c>
      <c r="H1682" s="511" t="s">
        <v>2085</v>
      </c>
      <c r="I1682" s="511"/>
      <c r="J1682" s="506"/>
      <c r="K1682" s="519" t="s">
        <v>315</v>
      </c>
      <c r="L1682" s="526" t="s">
        <v>315</v>
      </c>
      <c r="M1682" s="527" t="s">
        <v>315</v>
      </c>
      <c r="N1682" s="528" t="s">
        <v>315</v>
      </c>
      <c r="O1682" s="663"/>
      <c r="P1682" s="529"/>
      <c r="Q1682" s="531"/>
      <c r="R1682" s="530"/>
      <c r="S1682" s="530" t="s">
        <v>315</v>
      </c>
      <c r="T1682" s="667"/>
    </row>
    <row r="1683" spans="1:20" ht="60" hidden="1">
      <c r="A1683" s="518"/>
      <c r="B1683" s="506"/>
      <c r="C1683" s="506" t="s">
        <v>2063</v>
      </c>
      <c r="D1683" s="510" t="s">
        <v>2078</v>
      </c>
      <c r="E1683" s="509" t="str">
        <f>IF('GPS Anthro Tool'!$B$4=1,"North America Internal","")</f>
        <v>North America Internal</v>
      </c>
      <c r="F1683" s="506" t="s">
        <v>4246</v>
      </c>
      <c r="G1683" s="511" t="s">
        <v>2086</v>
      </c>
      <c r="H1683" s="511" t="s">
        <v>2087</v>
      </c>
      <c r="I1683" s="511"/>
      <c r="J1683" s="506"/>
      <c r="K1683" s="519" t="s">
        <v>315</v>
      </c>
      <c r="L1683" s="526" t="s">
        <v>315</v>
      </c>
      <c r="M1683" s="527" t="s">
        <v>315</v>
      </c>
      <c r="N1683" s="528" t="s">
        <v>315</v>
      </c>
      <c r="O1683" s="663"/>
      <c r="P1683" s="529"/>
      <c r="Q1683" s="531"/>
      <c r="R1683" s="530"/>
      <c r="S1683" s="530" t="s">
        <v>315</v>
      </c>
      <c r="T1683" s="667"/>
    </row>
    <row r="1684" spans="1:20" ht="45" hidden="1">
      <c r="A1684" s="518"/>
      <c r="B1684" s="506"/>
      <c r="C1684" s="513"/>
      <c r="D1684" s="514" t="s">
        <v>2078</v>
      </c>
      <c r="E1684" s="509" t="str">
        <f>IF('GPS Anthro Tool'!$B$4=1,"North America Internal","")</f>
        <v>North America Internal</v>
      </c>
      <c r="F1684" s="506" t="s">
        <v>4246</v>
      </c>
      <c r="G1684" s="514" t="s">
        <v>2077</v>
      </c>
      <c r="H1684" s="514" t="s">
        <v>2968</v>
      </c>
      <c r="I1684" s="514"/>
      <c r="J1684" s="513"/>
      <c r="K1684" s="519" t="s">
        <v>315</v>
      </c>
      <c r="L1684" s="526" t="s">
        <v>315</v>
      </c>
      <c r="M1684" s="527" t="s">
        <v>315</v>
      </c>
      <c r="N1684" s="528" t="s">
        <v>315</v>
      </c>
      <c r="O1684" s="663"/>
      <c r="P1684" s="529"/>
      <c r="Q1684" s="531"/>
      <c r="R1684" s="530"/>
      <c r="S1684" s="530" t="s">
        <v>315</v>
      </c>
      <c r="T1684" s="667"/>
    </row>
    <row r="1685" spans="1:20" ht="30" hidden="1">
      <c r="A1685" s="518"/>
      <c r="B1685" s="506"/>
      <c r="C1685" s="513"/>
      <c r="D1685" s="514" t="s">
        <v>2078</v>
      </c>
      <c r="E1685" s="509" t="str">
        <f>IF('GPS Anthro Tool'!$B$4=1,"North America Internal","")</f>
        <v>North America Internal</v>
      </c>
      <c r="F1685" s="506" t="s">
        <v>4246</v>
      </c>
      <c r="G1685" s="514" t="s">
        <v>2077</v>
      </c>
      <c r="H1685" s="514" t="s">
        <v>2969</v>
      </c>
      <c r="I1685" s="514"/>
      <c r="J1685" s="513"/>
      <c r="K1685" s="519" t="s">
        <v>315</v>
      </c>
      <c r="L1685" s="526" t="s">
        <v>315</v>
      </c>
      <c r="M1685" s="527" t="s">
        <v>315</v>
      </c>
      <c r="N1685" s="528" t="s">
        <v>315</v>
      </c>
      <c r="O1685" s="663"/>
      <c r="P1685" s="529"/>
      <c r="Q1685" s="531"/>
      <c r="R1685" s="530"/>
      <c r="S1685" s="530" t="s">
        <v>315</v>
      </c>
      <c r="T1685" s="667"/>
    </row>
    <row r="1686" spans="1:20" ht="45" hidden="1">
      <c r="A1686" s="518"/>
      <c r="B1686" s="506"/>
      <c r="C1686" s="513"/>
      <c r="D1686" s="514" t="s">
        <v>2078</v>
      </c>
      <c r="E1686" s="509" t="str">
        <f>IF('GPS Anthro Tool'!$B$4=1,"North America Internal","")</f>
        <v>North America Internal</v>
      </c>
      <c r="F1686" s="506" t="s">
        <v>4246</v>
      </c>
      <c r="G1686" s="514" t="s">
        <v>2077</v>
      </c>
      <c r="H1686" s="514" t="s">
        <v>2970</v>
      </c>
      <c r="I1686" s="514"/>
      <c r="J1686" s="513"/>
      <c r="K1686" s="519" t="s">
        <v>315</v>
      </c>
      <c r="L1686" s="526" t="s">
        <v>315</v>
      </c>
      <c r="M1686" s="527" t="s">
        <v>315</v>
      </c>
      <c r="N1686" s="528" t="s">
        <v>315</v>
      </c>
      <c r="O1686" s="663"/>
      <c r="P1686" s="529"/>
      <c r="Q1686" s="531"/>
      <c r="R1686" s="530"/>
      <c r="S1686" s="530" t="s">
        <v>315</v>
      </c>
      <c r="T1686" s="667"/>
    </row>
    <row r="1687" spans="1:20" ht="75" hidden="1">
      <c r="A1687" s="518"/>
      <c r="B1687" s="506"/>
      <c r="C1687" s="513"/>
      <c r="D1687" s="510" t="s">
        <v>2078</v>
      </c>
      <c r="E1687" s="509" t="str">
        <f>IF('GPS Anthro Tool'!$B$4=1,"North America Internal","")</f>
        <v>North America Internal</v>
      </c>
      <c r="F1687" s="506" t="s">
        <v>4246</v>
      </c>
      <c r="G1687" s="511" t="s">
        <v>2084</v>
      </c>
      <c r="H1687" s="511" t="s">
        <v>2085</v>
      </c>
      <c r="I1687" s="511"/>
      <c r="J1687" s="513"/>
      <c r="K1687" s="519" t="s">
        <v>315</v>
      </c>
      <c r="L1687" s="526" t="s">
        <v>315</v>
      </c>
      <c r="M1687" s="527" t="s">
        <v>315</v>
      </c>
      <c r="N1687" s="528" t="s">
        <v>315</v>
      </c>
      <c r="O1687" s="663"/>
      <c r="P1687" s="529"/>
      <c r="Q1687" s="531"/>
      <c r="R1687" s="530"/>
      <c r="S1687" s="530" t="s">
        <v>315</v>
      </c>
      <c r="T1687" s="667"/>
    </row>
    <row r="1688" spans="1:20" ht="255" hidden="1">
      <c r="A1688" s="518"/>
      <c r="B1688" s="509" t="s">
        <v>2063</v>
      </c>
      <c r="C1688" s="510" t="s">
        <v>2074</v>
      </c>
      <c r="D1688" s="510" t="s">
        <v>2075</v>
      </c>
      <c r="E1688" s="509" t="str">
        <f>IF('GPS Anthro Tool'!$B$4=1,"North America Internal","")</f>
        <v>North America Internal</v>
      </c>
      <c r="F1688" s="506" t="s">
        <v>4246</v>
      </c>
      <c r="G1688" s="506" t="s">
        <v>2066</v>
      </c>
      <c r="H1688" s="509" t="s">
        <v>2076</v>
      </c>
      <c r="I1688" s="506"/>
      <c r="J1688" s="506"/>
      <c r="K1688" s="533"/>
      <c r="L1688" s="662"/>
      <c r="M1688" s="535"/>
      <c r="N1688" s="658"/>
      <c r="O1688" s="663"/>
      <c r="P1688" s="666"/>
      <c r="Q1688" s="566"/>
      <c r="R1688" s="535"/>
      <c r="S1688" s="535" t="s">
        <v>1819</v>
      </c>
      <c r="T1688" s="667"/>
    </row>
    <row r="1689" spans="1:20" ht="255" hidden="1">
      <c r="A1689" s="518"/>
      <c r="B1689" s="506"/>
      <c r="C1689" s="506" t="s">
        <v>2063</v>
      </c>
      <c r="D1689" s="510" t="s">
        <v>2075</v>
      </c>
      <c r="E1689" s="509" t="str">
        <f>IF('GPS Anthro Tool'!$B$4=1,"North America Internal","")</f>
        <v>North America Internal</v>
      </c>
      <c r="F1689" s="506" t="s">
        <v>4246</v>
      </c>
      <c r="G1689" s="510" t="s">
        <v>2074</v>
      </c>
      <c r="H1689" s="509" t="s">
        <v>2076</v>
      </c>
      <c r="I1689" s="509"/>
      <c r="J1689" s="506"/>
      <c r="K1689" s="519" t="s">
        <v>315</v>
      </c>
      <c r="L1689" s="526" t="s">
        <v>315</v>
      </c>
      <c r="M1689" s="527" t="s">
        <v>315</v>
      </c>
      <c r="N1689" s="528" t="s">
        <v>315</v>
      </c>
      <c r="O1689" s="663"/>
      <c r="P1689" s="529"/>
      <c r="Q1689" s="531"/>
      <c r="R1689" s="530"/>
      <c r="S1689" s="530" t="s">
        <v>315</v>
      </c>
      <c r="T1689" s="667"/>
    </row>
    <row r="1690" spans="1:20" ht="30" hidden="1">
      <c r="A1690" s="518"/>
      <c r="B1690" s="509" t="s">
        <v>2238</v>
      </c>
      <c r="C1690" s="509" t="s">
        <v>2239</v>
      </c>
      <c r="D1690" s="509"/>
      <c r="E1690" s="509" t="str">
        <f>IF('GPS Anthro Tool'!$B$4=1,"North America Internal","")</f>
        <v>North America Internal</v>
      </c>
      <c r="F1690" s="506" t="s">
        <v>4246</v>
      </c>
      <c r="G1690" s="507" t="s">
        <v>2240</v>
      </c>
      <c r="H1690" s="509" t="s">
        <v>2241</v>
      </c>
      <c r="I1690" s="506"/>
      <c r="J1690" s="506"/>
      <c r="K1690" s="533"/>
      <c r="L1690" s="662"/>
      <c r="M1690" s="535"/>
      <c r="N1690" s="658"/>
      <c r="O1690" s="663"/>
      <c r="P1690" s="666"/>
      <c r="Q1690" s="566"/>
      <c r="R1690" s="535"/>
      <c r="S1690" s="535" t="s">
        <v>1819</v>
      </c>
      <c r="T1690" s="667"/>
    </row>
    <row r="1691" spans="1:20" ht="45" hidden="1">
      <c r="A1691" s="518"/>
      <c r="B1691" s="509" t="s">
        <v>2242</v>
      </c>
      <c r="C1691" s="509" t="s">
        <v>2243</v>
      </c>
      <c r="D1691" s="509"/>
      <c r="E1691" s="509" t="str">
        <f>IF('GPS Anthro Tool'!$B$4=1,"North America Internal","")</f>
        <v>North America Internal</v>
      </c>
      <c r="F1691" s="506" t="s">
        <v>4246</v>
      </c>
      <c r="G1691" s="507" t="s">
        <v>2244</v>
      </c>
      <c r="H1691" s="509" t="s">
        <v>3536</v>
      </c>
      <c r="I1691" s="506"/>
      <c r="J1691" s="506"/>
      <c r="K1691" s="533"/>
      <c r="L1691" s="662"/>
      <c r="M1691" s="535"/>
      <c r="N1691" s="658"/>
      <c r="O1691" s="663"/>
      <c r="P1691" s="666"/>
      <c r="Q1691" s="566"/>
      <c r="R1691" s="535"/>
      <c r="S1691" s="535" t="s">
        <v>1819</v>
      </c>
      <c r="T1691" s="667"/>
    </row>
    <row r="1692" spans="1:20" ht="60" hidden="1">
      <c r="A1692" s="518"/>
      <c r="B1692" s="506"/>
      <c r="C1692" s="514" t="s">
        <v>3046</v>
      </c>
      <c r="D1692" s="514"/>
      <c r="E1692" s="509" t="str">
        <f>IF('GPS Anthro Tool'!$B$4=1,"North America Internal","")</f>
        <v>North America Internal</v>
      </c>
      <c r="F1692" s="506" t="s">
        <v>4246</v>
      </c>
      <c r="G1692" s="513"/>
      <c r="H1692" s="514" t="s">
        <v>3047</v>
      </c>
      <c r="I1692" s="514"/>
      <c r="J1692" s="513" t="s">
        <v>3018</v>
      </c>
      <c r="K1692" s="519" t="s">
        <v>315</v>
      </c>
      <c r="L1692" s="526" t="s">
        <v>315</v>
      </c>
      <c r="M1692" s="527" t="s">
        <v>315</v>
      </c>
      <c r="N1692" s="528" t="s">
        <v>315</v>
      </c>
      <c r="O1692" s="663"/>
      <c r="P1692" s="529"/>
      <c r="Q1692" s="531"/>
      <c r="R1692" s="530"/>
      <c r="S1692" s="530" t="s">
        <v>315</v>
      </c>
      <c r="T1692" s="667"/>
    </row>
    <row r="1693" spans="1:20" ht="120" hidden="1">
      <c r="A1693" s="518"/>
      <c r="B1693" s="506"/>
      <c r="C1693" s="514" t="s">
        <v>3027</v>
      </c>
      <c r="D1693" s="514"/>
      <c r="E1693" s="509" t="str">
        <f>IF('GPS Anthro Tool'!$B$4=1,"North America Internal","")</f>
        <v>North America Internal</v>
      </c>
      <c r="F1693" s="506" t="s">
        <v>4246</v>
      </c>
      <c r="G1693" s="513"/>
      <c r="H1693" s="514" t="s">
        <v>3028</v>
      </c>
      <c r="I1693" s="514"/>
      <c r="J1693" s="513" t="s">
        <v>3018</v>
      </c>
      <c r="K1693" s="519" t="s">
        <v>315</v>
      </c>
      <c r="L1693" s="526" t="s">
        <v>315</v>
      </c>
      <c r="M1693" s="527" t="s">
        <v>315</v>
      </c>
      <c r="N1693" s="528" t="s">
        <v>315</v>
      </c>
      <c r="O1693" s="663"/>
      <c r="P1693" s="529"/>
      <c r="Q1693" s="531"/>
      <c r="R1693" s="530"/>
      <c r="S1693" s="530" t="s">
        <v>315</v>
      </c>
      <c r="T1693" s="667"/>
    </row>
    <row r="1694" spans="1:20" ht="30" hidden="1">
      <c r="A1694" s="518"/>
      <c r="B1694" s="506"/>
      <c r="C1694" s="514" t="s">
        <v>3048</v>
      </c>
      <c r="D1694" s="514"/>
      <c r="E1694" s="509" t="str">
        <f>IF('GPS Anthro Tool'!$B$4=1,"North America Internal","")</f>
        <v>North America Internal</v>
      </c>
      <c r="F1694" s="506" t="s">
        <v>4246</v>
      </c>
      <c r="G1694" s="513" t="s">
        <v>3049</v>
      </c>
      <c r="H1694" s="514" t="s">
        <v>3050</v>
      </c>
      <c r="I1694" s="514"/>
      <c r="J1694" s="513" t="s">
        <v>3051</v>
      </c>
      <c r="K1694" s="519" t="s">
        <v>315</v>
      </c>
      <c r="L1694" s="526" t="s">
        <v>315</v>
      </c>
      <c r="M1694" s="527" t="s">
        <v>315</v>
      </c>
      <c r="N1694" s="528" t="s">
        <v>315</v>
      </c>
      <c r="O1694" s="663"/>
      <c r="P1694" s="529"/>
      <c r="Q1694" s="531"/>
      <c r="R1694" s="530"/>
      <c r="S1694" s="530" t="s">
        <v>315</v>
      </c>
      <c r="T1694" s="667"/>
    </row>
    <row r="1695" spans="1:20" ht="105" hidden="1">
      <c r="A1695" s="518"/>
      <c r="B1695" s="509" t="s">
        <v>2206</v>
      </c>
      <c r="C1695" s="509" t="s">
        <v>2213</v>
      </c>
      <c r="D1695" s="509" t="s">
        <v>2214</v>
      </c>
      <c r="E1695" s="509" t="str">
        <f>IF('GPS Anthro Tool'!$B$4=1,"North America Internal","")</f>
        <v>North America Internal</v>
      </c>
      <c r="F1695" s="507" t="s">
        <v>4242</v>
      </c>
      <c r="G1695" s="506"/>
      <c r="H1695" s="509" t="s">
        <v>2215</v>
      </c>
      <c r="I1695" s="506"/>
      <c r="J1695" s="506"/>
      <c r="K1695" s="533"/>
      <c r="L1695" s="662"/>
      <c r="M1695" s="535"/>
      <c r="N1695" s="658"/>
      <c r="O1695" s="663"/>
      <c r="P1695" s="666"/>
      <c r="Q1695" s="566"/>
      <c r="R1695" s="535"/>
      <c r="S1695" s="535" t="s">
        <v>1819</v>
      </c>
      <c r="T1695" s="667"/>
    </row>
    <row r="1696" spans="1:20" ht="105" hidden="1">
      <c r="A1696" s="518"/>
      <c r="B1696" s="509" t="s">
        <v>2206</v>
      </c>
      <c r="C1696" s="509" t="s">
        <v>2216</v>
      </c>
      <c r="D1696" s="509" t="s">
        <v>2217</v>
      </c>
      <c r="E1696" s="509" t="str">
        <f>IF('GPS Anthro Tool'!$B$4=1,"North America Internal","")</f>
        <v>North America Internal</v>
      </c>
      <c r="F1696" s="507" t="s">
        <v>4242</v>
      </c>
      <c r="G1696" s="506"/>
      <c r="H1696" s="509" t="s">
        <v>2218</v>
      </c>
      <c r="I1696" s="506"/>
      <c r="J1696" s="506"/>
      <c r="K1696" s="533"/>
      <c r="L1696" s="662"/>
      <c r="M1696" s="535"/>
      <c r="N1696" s="658"/>
      <c r="O1696" s="663"/>
      <c r="P1696" s="666"/>
      <c r="Q1696" s="566"/>
      <c r="R1696" s="535"/>
      <c r="S1696" s="535" t="s">
        <v>1819</v>
      </c>
      <c r="T1696" s="667"/>
    </row>
    <row r="1697" spans="1:20" ht="60" hidden="1">
      <c r="A1697" s="518"/>
      <c r="B1697" s="509" t="s">
        <v>2206</v>
      </c>
      <c r="C1697" s="509" t="s">
        <v>2219</v>
      </c>
      <c r="D1697" s="509" t="s">
        <v>2220</v>
      </c>
      <c r="E1697" s="509" t="str">
        <f>IF('GPS Anthro Tool'!$B$4=1,"North America Internal","")</f>
        <v>North America Internal</v>
      </c>
      <c r="F1697" s="507" t="s">
        <v>4242</v>
      </c>
      <c r="G1697" s="506"/>
      <c r="H1697" s="509" t="s">
        <v>2221</v>
      </c>
      <c r="I1697" s="506"/>
      <c r="J1697" s="506"/>
      <c r="K1697" s="533"/>
      <c r="L1697" s="662"/>
      <c r="M1697" s="535"/>
      <c r="N1697" s="658"/>
      <c r="O1697" s="663"/>
      <c r="P1697" s="666"/>
      <c r="Q1697" s="566"/>
      <c r="R1697" s="535"/>
      <c r="S1697" s="535" t="s">
        <v>1819</v>
      </c>
      <c r="T1697" s="667"/>
    </row>
    <row r="1698" spans="1:20" ht="165" hidden="1">
      <c r="A1698" s="518"/>
      <c r="B1698" s="509" t="s">
        <v>2104</v>
      </c>
      <c r="C1698" s="509" t="s">
        <v>2141</v>
      </c>
      <c r="D1698" s="509" t="s">
        <v>2142</v>
      </c>
      <c r="E1698" s="509" t="str">
        <f>IF('GPS Anthro Tool'!$B$4=1,"North America Internal","")</f>
        <v>North America Internal</v>
      </c>
      <c r="F1698" s="507" t="s">
        <v>4242</v>
      </c>
      <c r="G1698" s="506"/>
      <c r="H1698" s="509" t="s">
        <v>2143</v>
      </c>
      <c r="I1698" s="506"/>
      <c r="J1698" s="506"/>
      <c r="K1698" s="533"/>
      <c r="L1698" s="662"/>
      <c r="M1698" s="535"/>
      <c r="N1698" s="658"/>
      <c r="O1698" s="663"/>
      <c r="P1698" s="666"/>
      <c r="Q1698" s="566"/>
      <c r="R1698" s="535"/>
      <c r="S1698" s="535" t="s">
        <v>1819</v>
      </c>
      <c r="T1698" s="667"/>
    </row>
    <row r="1699" spans="1:20" ht="105" hidden="1">
      <c r="A1699" s="518"/>
      <c r="B1699" s="509" t="s">
        <v>2104</v>
      </c>
      <c r="C1699" s="509" t="s">
        <v>2138</v>
      </c>
      <c r="D1699" s="509" t="s">
        <v>2139</v>
      </c>
      <c r="E1699" s="509" t="str">
        <f>IF('GPS Anthro Tool'!$B$4=1,"North America Internal","")</f>
        <v>North America Internal</v>
      </c>
      <c r="F1699" s="507" t="s">
        <v>4242</v>
      </c>
      <c r="G1699" s="506"/>
      <c r="H1699" s="509" t="s">
        <v>2140</v>
      </c>
      <c r="I1699" s="506"/>
      <c r="J1699" s="506"/>
      <c r="K1699" s="533"/>
      <c r="L1699" s="662"/>
      <c r="M1699" s="535"/>
      <c r="N1699" s="658"/>
      <c r="O1699" s="663"/>
      <c r="P1699" s="666"/>
      <c r="Q1699" s="566"/>
      <c r="R1699" s="535"/>
      <c r="S1699" s="535" t="s">
        <v>1819</v>
      </c>
      <c r="T1699" s="667"/>
    </row>
    <row r="1700" spans="1:20" ht="45" hidden="1">
      <c r="A1700" s="518"/>
      <c r="B1700" s="509" t="s">
        <v>2250</v>
      </c>
      <c r="C1700" s="509" t="s">
        <v>2251</v>
      </c>
      <c r="D1700" s="512" t="s">
        <v>2252</v>
      </c>
      <c r="E1700" s="509" t="str">
        <f>IF('GPS Anthro Tool'!$B$4=1,"North America Internal","")</f>
        <v>North America Internal</v>
      </c>
      <c r="F1700" s="506" t="s">
        <v>4242</v>
      </c>
      <c r="G1700" s="539"/>
      <c r="H1700" s="509" t="s">
        <v>2253</v>
      </c>
      <c r="I1700" s="506"/>
      <c r="J1700" s="506"/>
      <c r="K1700" s="533"/>
      <c r="L1700" s="662"/>
      <c r="M1700" s="535"/>
      <c r="N1700" s="658"/>
      <c r="O1700" s="663"/>
      <c r="P1700" s="666"/>
      <c r="Q1700" s="566"/>
      <c r="R1700" s="535"/>
      <c r="S1700" s="535" t="s">
        <v>1819</v>
      </c>
      <c r="T1700" s="667"/>
    </row>
    <row r="1701" spans="1:20" ht="45" hidden="1">
      <c r="A1701" s="518"/>
      <c r="B1701" s="509" t="s">
        <v>4300</v>
      </c>
      <c r="C1701" s="506" t="s">
        <v>2257</v>
      </c>
      <c r="D1701" s="512" t="s">
        <v>2259</v>
      </c>
      <c r="E1701" s="509" t="str">
        <f>IF('GPS Anthro Tool'!$B$4=1,"North America Internal","")</f>
        <v>North America Internal</v>
      </c>
      <c r="F1701" s="506" t="s">
        <v>4242</v>
      </c>
      <c r="G1701" s="509" t="s">
        <v>2258</v>
      </c>
      <c r="H1701" s="509" t="s">
        <v>2253</v>
      </c>
      <c r="I1701" s="509"/>
      <c r="J1701" s="506"/>
      <c r="K1701" s="519" t="s">
        <v>315</v>
      </c>
      <c r="L1701" s="526" t="s">
        <v>315</v>
      </c>
      <c r="M1701" s="527" t="s">
        <v>315</v>
      </c>
      <c r="N1701" s="528" t="s">
        <v>315</v>
      </c>
      <c r="O1701" s="663"/>
      <c r="P1701" s="529"/>
      <c r="Q1701" s="531"/>
      <c r="R1701" s="530"/>
      <c r="S1701" s="530" t="s">
        <v>315</v>
      </c>
      <c r="T1701" s="667"/>
    </row>
    <row r="1702" spans="1:20" ht="45" hidden="1">
      <c r="A1702" s="518"/>
      <c r="B1702" s="509" t="s">
        <v>4308</v>
      </c>
      <c r="C1702" s="506" t="s">
        <v>130</v>
      </c>
      <c r="D1702" s="512" t="s">
        <v>2267</v>
      </c>
      <c r="E1702" s="509" t="str">
        <f>IF('GPS Anthro Tool'!$B$4=1,"North America Internal","")</f>
        <v>North America Internal</v>
      </c>
      <c r="F1702" s="506" t="s">
        <v>4242</v>
      </c>
      <c r="G1702" s="509" t="s">
        <v>2266</v>
      </c>
      <c r="H1702" s="509" t="s">
        <v>2253</v>
      </c>
      <c r="I1702" s="509"/>
      <c r="J1702" s="506"/>
      <c r="K1702" s="519" t="s">
        <v>315</v>
      </c>
      <c r="L1702" s="526" t="s">
        <v>315</v>
      </c>
      <c r="M1702" s="527" t="s">
        <v>315</v>
      </c>
      <c r="N1702" s="528" t="s">
        <v>315</v>
      </c>
      <c r="O1702" s="663"/>
      <c r="P1702" s="529"/>
      <c r="Q1702" s="531"/>
      <c r="R1702" s="530"/>
      <c r="S1702" s="530" t="s">
        <v>315</v>
      </c>
      <c r="T1702" s="667"/>
    </row>
    <row r="1703" spans="1:20" ht="45" hidden="1">
      <c r="A1703" s="518"/>
      <c r="B1703" s="509" t="s">
        <v>4297</v>
      </c>
      <c r="C1703" s="506" t="s">
        <v>2167</v>
      </c>
      <c r="D1703" s="512" t="s">
        <v>2269</v>
      </c>
      <c r="E1703" s="509" t="str">
        <f>IF('GPS Anthro Tool'!$B$4=1,"North America Internal","")</f>
        <v>North America Internal</v>
      </c>
      <c r="F1703" s="506" t="s">
        <v>4242</v>
      </c>
      <c r="G1703" s="509" t="s">
        <v>2268</v>
      </c>
      <c r="H1703" s="509" t="s">
        <v>2253</v>
      </c>
      <c r="I1703" s="509"/>
      <c r="J1703" s="506"/>
      <c r="K1703" s="519" t="s">
        <v>315</v>
      </c>
      <c r="L1703" s="526" t="s">
        <v>315</v>
      </c>
      <c r="M1703" s="527" t="s">
        <v>315</v>
      </c>
      <c r="N1703" s="528" t="s">
        <v>315</v>
      </c>
      <c r="O1703" s="663"/>
      <c r="P1703" s="529"/>
      <c r="Q1703" s="531"/>
      <c r="R1703" s="530"/>
      <c r="S1703" s="530" t="s">
        <v>315</v>
      </c>
      <c r="T1703" s="667"/>
    </row>
    <row r="1704" spans="1:20" ht="45" hidden="1">
      <c r="A1704" s="518"/>
      <c r="B1704" s="509" t="s">
        <v>4297</v>
      </c>
      <c r="C1704" s="506" t="s">
        <v>2167</v>
      </c>
      <c r="D1704" s="516" t="s">
        <v>3007</v>
      </c>
      <c r="E1704" s="509" t="str">
        <f>IF('GPS Anthro Tool'!$B$4=1,"North America Internal","")</f>
        <v>North America Internal</v>
      </c>
      <c r="F1704" s="506" t="s">
        <v>4242</v>
      </c>
      <c r="G1704" s="514" t="s">
        <v>3008</v>
      </c>
      <c r="H1704" s="514" t="s">
        <v>2253</v>
      </c>
      <c r="I1704" s="514"/>
      <c r="J1704" s="513"/>
      <c r="K1704" s="519" t="s">
        <v>315</v>
      </c>
      <c r="L1704" s="526" t="s">
        <v>315</v>
      </c>
      <c r="M1704" s="527" t="s">
        <v>315</v>
      </c>
      <c r="N1704" s="528" t="s">
        <v>315</v>
      </c>
      <c r="O1704" s="663"/>
      <c r="P1704" s="529"/>
      <c r="Q1704" s="531"/>
      <c r="R1704" s="530"/>
      <c r="S1704" s="530" t="s">
        <v>315</v>
      </c>
      <c r="T1704" s="667"/>
    </row>
    <row r="1705" spans="1:20" ht="45" hidden="1">
      <c r="A1705" s="518"/>
      <c r="B1705" s="509" t="s">
        <v>2233</v>
      </c>
      <c r="C1705" s="509" t="s">
        <v>2234</v>
      </c>
      <c r="D1705" s="509" t="s">
        <v>2235</v>
      </c>
      <c r="E1705" s="509" t="str">
        <f>IF('GPS Anthro Tool'!$B$4=1,"North America Internal","")</f>
        <v>North America Internal</v>
      </c>
      <c r="F1705" s="506" t="s">
        <v>4242</v>
      </c>
      <c r="G1705" s="507" t="s">
        <v>2236</v>
      </c>
      <c r="H1705" s="509" t="s">
        <v>2237</v>
      </c>
      <c r="I1705" s="506"/>
      <c r="J1705" s="506"/>
      <c r="K1705" s="533"/>
      <c r="L1705" s="662"/>
      <c r="M1705" s="535"/>
      <c r="N1705" s="658"/>
      <c r="O1705" s="663"/>
      <c r="P1705" s="666"/>
      <c r="Q1705" s="566"/>
      <c r="R1705" s="535"/>
      <c r="S1705" s="535" t="s">
        <v>1819</v>
      </c>
      <c r="T1705" s="667"/>
    </row>
    <row r="1706" spans="1:20" ht="75" hidden="1">
      <c r="A1706" s="518"/>
      <c r="B1706" s="506"/>
      <c r="C1706" s="506" t="s">
        <v>2104</v>
      </c>
      <c r="D1706" s="509" t="s">
        <v>2129</v>
      </c>
      <c r="E1706" s="507" t="str">
        <f>IF('GPS Anthro Tool'!$B$4=1,"North America Internal","")</f>
        <v>North America Internal</v>
      </c>
      <c r="F1706" s="507" t="s">
        <v>4242</v>
      </c>
      <c r="G1706" s="509" t="s">
        <v>2128</v>
      </c>
      <c r="H1706" s="509" t="s">
        <v>2131</v>
      </c>
      <c r="I1706" s="509"/>
      <c r="J1706" s="506"/>
      <c r="K1706" s="519" t="s">
        <v>315</v>
      </c>
      <c r="L1706" s="526" t="s">
        <v>315</v>
      </c>
      <c r="M1706" s="527" t="s">
        <v>315</v>
      </c>
      <c r="N1706" s="528" t="s">
        <v>315</v>
      </c>
      <c r="O1706" s="663"/>
      <c r="P1706" s="529"/>
      <c r="Q1706" s="531"/>
      <c r="R1706" s="530" t="s">
        <v>315</v>
      </c>
      <c r="S1706" s="530" t="s">
        <v>315</v>
      </c>
      <c r="T1706" s="667"/>
    </row>
    <row r="1707" spans="1:20" ht="45" hidden="1">
      <c r="A1707" s="518"/>
      <c r="B1707" s="506"/>
      <c r="C1707" s="506" t="s">
        <v>2206</v>
      </c>
      <c r="D1707" s="509" t="s">
        <v>2226</v>
      </c>
      <c r="E1707" s="509" t="str">
        <f>IF('GPS Anthro Tool'!$B$4=1,"North America Internal","")</f>
        <v>North America Internal</v>
      </c>
      <c r="F1707" s="506" t="s">
        <v>4242</v>
      </c>
      <c r="G1707" s="509" t="s">
        <v>2225</v>
      </c>
      <c r="H1707" s="509" t="s">
        <v>2228</v>
      </c>
      <c r="I1707" s="533"/>
      <c r="J1707" s="506"/>
      <c r="K1707" s="519" t="s">
        <v>315</v>
      </c>
      <c r="L1707" s="526" t="s">
        <v>315</v>
      </c>
      <c r="M1707" s="527" t="s">
        <v>315</v>
      </c>
      <c r="N1707" s="528" t="s">
        <v>315</v>
      </c>
      <c r="O1707" s="663"/>
      <c r="P1707" s="529"/>
      <c r="Q1707" s="531"/>
      <c r="R1707" s="530"/>
      <c r="S1707" s="530" t="s">
        <v>315</v>
      </c>
      <c r="T1707" s="667"/>
    </row>
    <row r="1708" spans="1:20" ht="45" hidden="1">
      <c r="A1708" s="518"/>
      <c r="B1708" s="506"/>
      <c r="C1708" s="513"/>
      <c r="D1708" s="509" t="s">
        <v>2226</v>
      </c>
      <c r="E1708" s="509" t="str">
        <f>IF('GPS Anthro Tool'!$B$4=1,"North America Internal","")</f>
        <v>North America Internal</v>
      </c>
      <c r="F1708" s="506" t="s">
        <v>4242</v>
      </c>
      <c r="G1708" s="509" t="s">
        <v>2225</v>
      </c>
      <c r="H1708" s="509" t="s">
        <v>2228</v>
      </c>
      <c r="I1708" s="533"/>
      <c r="J1708" s="513" t="s">
        <v>2999</v>
      </c>
      <c r="K1708" s="519" t="s">
        <v>315</v>
      </c>
      <c r="L1708" s="526" t="s">
        <v>315</v>
      </c>
      <c r="M1708" s="527" t="s">
        <v>315</v>
      </c>
      <c r="N1708" s="528" t="s">
        <v>315</v>
      </c>
      <c r="O1708" s="663"/>
      <c r="P1708" s="529"/>
      <c r="Q1708" s="531"/>
      <c r="R1708" s="530"/>
      <c r="S1708" s="530" t="s">
        <v>315</v>
      </c>
      <c r="T1708" s="667"/>
    </row>
    <row r="1709" spans="1:20" ht="60" hidden="1">
      <c r="A1709" s="518"/>
      <c r="B1709" s="506"/>
      <c r="C1709" s="506" t="s">
        <v>2242</v>
      </c>
      <c r="D1709" s="676" t="s">
        <v>2944</v>
      </c>
      <c r="E1709" s="509" t="str">
        <f>IF('GPS Anthro Tool'!$B$4=1,"North America Internal","")</f>
        <v>North America Internal</v>
      </c>
      <c r="F1709" s="506" t="s">
        <v>4242</v>
      </c>
      <c r="G1709" s="509" t="s">
        <v>2243</v>
      </c>
      <c r="H1709" s="509" t="s">
        <v>2945</v>
      </c>
      <c r="I1709" s="509"/>
      <c r="J1709" s="506"/>
      <c r="K1709" s="519" t="s">
        <v>315</v>
      </c>
      <c r="L1709" s="526" t="s">
        <v>315</v>
      </c>
      <c r="M1709" s="527" t="s">
        <v>315</v>
      </c>
      <c r="N1709" s="528" t="s">
        <v>315</v>
      </c>
      <c r="O1709" s="663"/>
      <c r="P1709" s="529"/>
      <c r="Q1709" s="531"/>
      <c r="R1709" s="530"/>
      <c r="S1709" s="530" t="s">
        <v>315</v>
      </c>
      <c r="T1709" s="667"/>
    </row>
    <row r="1710" spans="1:20" ht="30" hidden="1">
      <c r="A1710" s="518"/>
      <c r="B1710" s="506"/>
      <c r="C1710" s="513"/>
      <c r="D1710" s="511" t="s">
        <v>2091</v>
      </c>
      <c r="E1710" s="509" t="str">
        <f>IF('GPS Anthro Tool'!$B$4=1,"North America Internal","")</f>
        <v>North America Internal</v>
      </c>
      <c r="F1710" s="506" t="s">
        <v>4242</v>
      </c>
      <c r="G1710" s="511" t="s">
        <v>2089</v>
      </c>
      <c r="H1710" s="511" t="s">
        <v>2093</v>
      </c>
      <c r="I1710" s="511"/>
      <c r="J1710" s="513"/>
      <c r="K1710" s="519" t="s">
        <v>315</v>
      </c>
      <c r="L1710" s="526" t="s">
        <v>315</v>
      </c>
      <c r="M1710" s="527" t="s">
        <v>315</v>
      </c>
      <c r="N1710" s="528" t="s">
        <v>315</v>
      </c>
      <c r="O1710" s="663"/>
      <c r="P1710" s="529"/>
      <c r="Q1710" s="531"/>
      <c r="R1710" s="530"/>
      <c r="S1710" s="530" t="s">
        <v>315</v>
      </c>
      <c r="T1710" s="667"/>
    </row>
    <row r="1711" spans="1:20" ht="105" hidden="1">
      <c r="A1711" s="518"/>
      <c r="B1711" s="506"/>
      <c r="C1711" s="506" t="s">
        <v>2144</v>
      </c>
      <c r="D1711" s="509" t="s">
        <v>2187</v>
      </c>
      <c r="E1711" s="509" t="str">
        <f>IF('GPS Anthro Tool'!$B$4=1,"North America Internal","")</f>
        <v>North America Internal</v>
      </c>
      <c r="F1711" s="506" t="s">
        <v>4242</v>
      </c>
      <c r="G1711" s="509" t="s">
        <v>2186</v>
      </c>
      <c r="H1711" s="509" t="s">
        <v>2942</v>
      </c>
      <c r="I1711" s="509"/>
      <c r="J1711" s="506"/>
      <c r="K1711" s="519" t="s">
        <v>315</v>
      </c>
      <c r="L1711" s="526" t="s">
        <v>315</v>
      </c>
      <c r="M1711" s="527" t="s">
        <v>315</v>
      </c>
      <c r="N1711" s="528" t="s">
        <v>315</v>
      </c>
      <c r="O1711" s="663"/>
      <c r="P1711" s="529"/>
      <c r="Q1711" s="531"/>
      <c r="R1711" s="530"/>
      <c r="S1711" s="530" t="s">
        <v>315</v>
      </c>
      <c r="T1711" s="667"/>
    </row>
    <row r="1712" spans="1:20" ht="210" hidden="1">
      <c r="A1712" s="518"/>
      <c r="B1712" s="506"/>
      <c r="C1712" s="506" t="s">
        <v>2144</v>
      </c>
      <c r="D1712" s="509" t="s">
        <v>2187</v>
      </c>
      <c r="E1712" s="509" t="str">
        <f>IF('GPS Anthro Tool'!$B$4=1,"North America Internal","")</f>
        <v>North America Internal</v>
      </c>
      <c r="F1712" s="506" t="s">
        <v>4242</v>
      </c>
      <c r="G1712" s="509" t="s">
        <v>2193</v>
      </c>
      <c r="H1712" s="509" t="s">
        <v>2194</v>
      </c>
      <c r="I1712" s="509"/>
      <c r="J1712" s="506"/>
      <c r="K1712" s="519" t="s">
        <v>315</v>
      </c>
      <c r="L1712" s="526" t="s">
        <v>315</v>
      </c>
      <c r="M1712" s="527" t="s">
        <v>315</v>
      </c>
      <c r="N1712" s="528" t="s">
        <v>315</v>
      </c>
      <c r="O1712" s="663"/>
      <c r="P1712" s="529"/>
      <c r="Q1712" s="531"/>
      <c r="R1712" s="530"/>
      <c r="S1712" s="530" t="s">
        <v>315</v>
      </c>
      <c r="T1712" s="667"/>
    </row>
    <row r="1713" spans="1:20" ht="225" hidden="1">
      <c r="A1713" s="518"/>
      <c r="B1713" s="506"/>
      <c r="C1713" s="506" t="s">
        <v>2144</v>
      </c>
      <c r="D1713" s="509" t="s">
        <v>2187</v>
      </c>
      <c r="E1713" s="509" t="str">
        <f>IF('GPS Anthro Tool'!$B$4=1,"North America Internal","")</f>
        <v>North America Internal</v>
      </c>
      <c r="F1713" s="506" t="s">
        <v>4242</v>
      </c>
      <c r="G1713" s="509" t="s">
        <v>2195</v>
      </c>
      <c r="H1713" s="509" t="s">
        <v>2196</v>
      </c>
      <c r="I1713" s="509"/>
      <c r="J1713" s="506"/>
      <c r="K1713" s="519" t="s">
        <v>315</v>
      </c>
      <c r="L1713" s="526" t="s">
        <v>315</v>
      </c>
      <c r="M1713" s="527" t="s">
        <v>315</v>
      </c>
      <c r="N1713" s="528" t="s">
        <v>315</v>
      </c>
      <c r="O1713" s="663"/>
      <c r="P1713" s="529"/>
      <c r="Q1713" s="531"/>
      <c r="R1713" s="530"/>
      <c r="S1713" s="530" t="s">
        <v>315</v>
      </c>
      <c r="T1713" s="667"/>
    </row>
    <row r="1714" spans="1:20" ht="60" hidden="1">
      <c r="A1714" s="518"/>
      <c r="B1714" s="506"/>
      <c r="C1714" s="506" t="s">
        <v>2163</v>
      </c>
      <c r="D1714" s="509" t="s">
        <v>2187</v>
      </c>
      <c r="E1714" s="509" t="str">
        <f>IF('GPS Anthro Tool'!$B$4=1,"North America Internal","")</f>
        <v>North America Internal</v>
      </c>
      <c r="F1714" s="506" t="s">
        <v>4242</v>
      </c>
      <c r="G1714" s="509" t="s">
        <v>2189</v>
      </c>
      <c r="H1714" s="509" t="s">
        <v>2190</v>
      </c>
      <c r="I1714" s="509"/>
      <c r="J1714" s="506"/>
      <c r="K1714" s="519" t="s">
        <v>315</v>
      </c>
      <c r="L1714" s="526" t="s">
        <v>315</v>
      </c>
      <c r="M1714" s="527" t="s">
        <v>315</v>
      </c>
      <c r="N1714" s="528" t="s">
        <v>315</v>
      </c>
      <c r="O1714" s="663"/>
      <c r="P1714" s="529"/>
      <c r="Q1714" s="531"/>
      <c r="R1714" s="530"/>
      <c r="S1714" s="530" t="s">
        <v>315</v>
      </c>
      <c r="T1714" s="667"/>
    </row>
    <row r="1715" spans="1:20" ht="120" hidden="1">
      <c r="A1715" s="518"/>
      <c r="B1715" s="506"/>
      <c r="C1715" s="513"/>
      <c r="D1715" s="509" t="s">
        <v>2187</v>
      </c>
      <c r="E1715" s="509" t="str">
        <f>IF('GPS Anthro Tool'!$B$4=1,"North America Internal","")</f>
        <v>North America Internal</v>
      </c>
      <c r="F1715" s="506" t="s">
        <v>4242</v>
      </c>
      <c r="G1715" s="509" t="s">
        <v>2186</v>
      </c>
      <c r="H1715" s="509" t="s">
        <v>2991</v>
      </c>
      <c r="I1715" s="509"/>
      <c r="J1715" s="513" t="s">
        <v>2957</v>
      </c>
      <c r="K1715" s="519" t="s">
        <v>315</v>
      </c>
      <c r="L1715" s="526" t="s">
        <v>315</v>
      </c>
      <c r="M1715" s="527" t="s">
        <v>315</v>
      </c>
      <c r="N1715" s="528" t="s">
        <v>315</v>
      </c>
      <c r="O1715" s="663"/>
      <c r="P1715" s="529"/>
      <c r="Q1715" s="531"/>
      <c r="R1715" s="530"/>
      <c r="S1715" s="530" t="s">
        <v>315</v>
      </c>
      <c r="T1715" s="667"/>
    </row>
    <row r="1716" spans="1:20" ht="90" hidden="1">
      <c r="A1716" s="518"/>
      <c r="B1716" s="506"/>
      <c r="C1716" s="513"/>
      <c r="D1716" s="509" t="s">
        <v>2187</v>
      </c>
      <c r="E1716" s="509" t="str">
        <f>IF('GPS Anthro Tool'!$B$4=1,"North America Internal","")</f>
        <v>North America Internal</v>
      </c>
      <c r="F1716" s="506" t="s">
        <v>4242</v>
      </c>
      <c r="G1716" s="509" t="s">
        <v>2189</v>
      </c>
      <c r="H1716" s="509" t="s">
        <v>2992</v>
      </c>
      <c r="I1716" s="509"/>
      <c r="J1716" s="513" t="s">
        <v>2957</v>
      </c>
      <c r="K1716" s="519" t="s">
        <v>315</v>
      </c>
      <c r="L1716" s="526" t="s">
        <v>315</v>
      </c>
      <c r="M1716" s="527" t="s">
        <v>315</v>
      </c>
      <c r="N1716" s="528" t="s">
        <v>315</v>
      </c>
      <c r="O1716" s="663"/>
      <c r="P1716" s="529"/>
      <c r="Q1716" s="531"/>
      <c r="R1716" s="530"/>
      <c r="S1716" s="530" t="s">
        <v>315</v>
      </c>
      <c r="T1716" s="667"/>
    </row>
    <row r="1717" spans="1:20" ht="105" hidden="1">
      <c r="A1717" s="518"/>
      <c r="B1717" s="506"/>
      <c r="C1717" s="506" t="s">
        <v>2163</v>
      </c>
      <c r="D1717" s="509" t="s">
        <v>2197</v>
      </c>
      <c r="E1717" s="509" t="str">
        <f>IF('GPS Anthro Tool'!$B$4=1,"North America Internal","")</f>
        <v>North America Internal</v>
      </c>
      <c r="F1717" s="506" t="s">
        <v>4242</v>
      </c>
      <c r="G1717" s="509" t="s">
        <v>2164</v>
      </c>
      <c r="H1717" s="509" t="s">
        <v>2943</v>
      </c>
      <c r="I1717" s="509"/>
      <c r="J1717" s="506"/>
      <c r="K1717" s="519" t="s">
        <v>315</v>
      </c>
      <c r="L1717" s="526" t="s">
        <v>315</v>
      </c>
      <c r="M1717" s="527" t="s">
        <v>315</v>
      </c>
      <c r="N1717" s="528" t="s">
        <v>315</v>
      </c>
      <c r="O1717" s="663"/>
      <c r="P1717" s="529"/>
      <c r="Q1717" s="531"/>
      <c r="R1717" s="530"/>
      <c r="S1717" s="530" t="s">
        <v>315</v>
      </c>
      <c r="T1717" s="667"/>
    </row>
    <row r="1718" spans="1:20" ht="60" hidden="1">
      <c r="A1718" s="518"/>
      <c r="B1718" s="506"/>
      <c r="C1718" s="506" t="s">
        <v>2063</v>
      </c>
      <c r="D1718" s="509" t="s">
        <v>2065</v>
      </c>
      <c r="E1718" s="509" t="str">
        <f>IF('GPS Anthro Tool'!$B$4=1,"North America Internal","")</f>
        <v>North America Internal</v>
      </c>
      <c r="F1718" s="506" t="s">
        <v>4242</v>
      </c>
      <c r="G1718" s="509" t="s">
        <v>2064</v>
      </c>
      <c r="H1718" s="509" t="s">
        <v>2067</v>
      </c>
      <c r="I1718" s="509"/>
      <c r="J1718" s="506"/>
      <c r="K1718" s="519" t="s">
        <v>315</v>
      </c>
      <c r="L1718" s="526" t="s">
        <v>315</v>
      </c>
      <c r="M1718" s="527" t="s">
        <v>315</v>
      </c>
      <c r="N1718" s="528" t="s">
        <v>315</v>
      </c>
      <c r="O1718" s="663"/>
      <c r="P1718" s="529"/>
      <c r="Q1718" s="531"/>
      <c r="R1718" s="530"/>
      <c r="S1718" s="530" t="s">
        <v>315</v>
      </c>
      <c r="T1718" s="667"/>
    </row>
    <row r="1719" spans="1:20" ht="30" hidden="1">
      <c r="A1719" s="518"/>
      <c r="B1719" s="506"/>
      <c r="C1719" s="506" t="s">
        <v>2293</v>
      </c>
      <c r="D1719" s="509" t="s">
        <v>2295</v>
      </c>
      <c r="E1719" s="509" t="str">
        <f>IF('GPS Anthro Tool'!$B$4=1,"North America Internal","")</f>
        <v>North America Internal</v>
      </c>
      <c r="F1719" s="506" t="s">
        <v>4242</v>
      </c>
      <c r="G1719" s="509" t="s">
        <v>2294</v>
      </c>
      <c r="H1719" s="509" t="s">
        <v>2296</v>
      </c>
      <c r="I1719" s="509"/>
      <c r="J1719" s="506"/>
      <c r="K1719" s="519" t="s">
        <v>315</v>
      </c>
      <c r="L1719" s="526" t="s">
        <v>315</v>
      </c>
      <c r="M1719" s="527" t="s">
        <v>315</v>
      </c>
      <c r="N1719" s="528" t="s">
        <v>315</v>
      </c>
      <c r="O1719" s="663"/>
      <c r="P1719" s="529"/>
      <c r="Q1719" s="531"/>
      <c r="R1719" s="530"/>
      <c r="S1719" s="530" t="s">
        <v>315</v>
      </c>
      <c r="T1719" s="667"/>
    </row>
    <row r="1720" spans="1:20" ht="30" hidden="1">
      <c r="A1720" s="518"/>
      <c r="B1720" s="506"/>
      <c r="C1720" s="506" t="s">
        <v>1994</v>
      </c>
      <c r="D1720" s="509" t="s">
        <v>2034</v>
      </c>
      <c r="E1720" s="509" t="str">
        <f>IF('GPS Anthro Tool'!$B$4=1,"North America Internal","")</f>
        <v>North America Internal</v>
      </c>
      <c r="F1720" s="506" t="s">
        <v>4242</v>
      </c>
      <c r="G1720" s="509" t="s">
        <v>2033</v>
      </c>
      <c r="H1720" s="509" t="s">
        <v>2032</v>
      </c>
      <c r="I1720" s="509"/>
      <c r="J1720" s="506"/>
      <c r="K1720" s="519" t="s">
        <v>315</v>
      </c>
      <c r="L1720" s="526" t="s">
        <v>315</v>
      </c>
      <c r="M1720" s="527" t="s">
        <v>315</v>
      </c>
      <c r="N1720" s="528" t="s">
        <v>315</v>
      </c>
      <c r="O1720" s="663"/>
      <c r="P1720" s="529"/>
      <c r="Q1720" s="531"/>
      <c r="R1720" s="530"/>
      <c r="S1720" s="530" t="s">
        <v>315</v>
      </c>
      <c r="T1720" s="667"/>
    </row>
    <row r="1721" spans="1:20" ht="120" hidden="1">
      <c r="A1721" s="518"/>
      <c r="B1721" s="506"/>
      <c r="C1721" s="513"/>
      <c r="D1721" s="514" t="s">
        <v>4309</v>
      </c>
      <c r="E1721" s="509" t="str">
        <f>IF('GPS Anthro Tool'!$B$4=1,"North America Internal","")</f>
        <v>North America Internal</v>
      </c>
      <c r="F1721" s="506" t="s">
        <v>4316</v>
      </c>
      <c r="G1721" s="514" t="s">
        <v>2105</v>
      </c>
      <c r="H1721" s="514" t="s">
        <v>2108</v>
      </c>
      <c r="I1721" s="514"/>
      <c r="J1721" s="513"/>
      <c r="K1721" s="519" t="s">
        <v>315</v>
      </c>
      <c r="L1721" s="526" t="s">
        <v>315</v>
      </c>
      <c r="M1721" s="527" t="s">
        <v>315</v>
      </c>
      <c r="N1721" s="528" t="s">
        <v>315</v>
      </c>
      <c r="O1721" s="663"/>
      <c r="P1721" s="529"/>
      <c r="Q1721" s="531"/>
      <c r="R1721" s="530"/>
      <c r="S1721" s="530" t="s">
        <v>315</v>
      </c>
      <c r="T1721" s="667"/>
    </row>
    <row r="1722" spans="1:20" ht="45" hidden="1">
      <c r="A1722" s="518"/>
      <c r="B1722" s="506"/>
      <c r="C1722" s="514" t="s">
        <v>3032</v>
      </c>
      <c r="D1722" s="514" t="s">
        <v>3033</v>
      </c>
      <c r="E1722" s="509" t="str">
        <f>IF('GPS Anthro Tool'!$B$4=1,"North America Internal","")</f>
        <v>North America Internal</v>
      </c>
      <c r="F1722" s="506" t="s">
        <v>4316</v>
      </c>
      <c r="G1722" s="513"/>
      <c r="H1722" s="514" t="s">
        <v>3034</v>
      </c>
      <c r="I1722" s="514"/>
      <c r="J1722" s="513"/>
      <c r="K1722" s="519" t="s">
        <v>315</v>
      </c>
      <c r="L1722" s="526" t="s">
        <v>315</v>
      </c>
      <c r="M1722" s="527" t="s">
        <v>315</v>
      </c>
      <c r="N1722" s="528" t="s">
        <v>315</v>
      </c>
      <c r="O1722" s="663"/>
      <c r="P1722" s="529"/>
      <c r="Q1722" s="531"/>
      <c r="R1722" s="530"/>
      <c r="S1722" s="530" t="s">
        <v>315</v>
      </c>
      <c r="T1722" s="667"/>
    </row>
    <row r="1723" spans="1:20" ht="45" hidden="1">
      <c r="A1723" s="518" t="s">
        <v>3528</v>
      </c>
      <c r="B1723" s="506"/>
      <c r="C1723" s="513"/>
      <c r="D1723" s="514" t="s">
        <v>2973</v>
      </c>
      <c r="E1723" s="509" t="str">
        <f>IF('GPS Anthro Tool'!$B$4=1,"North America Internal","")</f>
        <v>North America Internal</v>
      </c>
      <c r="F1723" s="506" t="s">
        <v>4316</v>
      </c>
      <c r="G1723" s="514" t="s">
        <v>2111</v>
      </c>
      <c r="H1723" s="514" t="s">
        <v>2113</v>
      </c>
      <c r="I1723" s="514"/>
      <c r="J1723" s="513"/>
      <c r="K1723" s="519" t="s">
        <v>315</v>
      </c>
      <c r="L1723" s="526" t="s">
        <v>315</v>
      </c>
      <c r="M1723" s="527" t="s">
        <v>315</v>
      </c>
      <c r="N1723" s="528" t="s">
        <v>315</v>
      </c>
      <c r="O1723" s="663"/>
      <c r="P1723" s="529"/>
      <c r="Q1723" s="531"/>
      <c r="R1723" s="530"/>
      <c r="S1723" s="530" t="s">
        <v>315</v>
      </c>
      <c r="T1723" s="667"/>
    </row>
    <row r="1724" spans="1:20" ht="180" hidden="1">
      <c r="A1724" s="518" t="s">
        <v>3528</v>
      </c>
      <c r="B1724" s="506"/>
      <c r="C1724" s="513"/>
      <c r="D1724" s="514" t="s">
        <v>2974</v>
      </c>
      <c r="E1724" s="509" t="str">
        <f>IF('GPS Anthro Tool'!$B$4=1,"North America Internal","")</f>
        <v>North America Internal</v>
      </c>
      <c r="F1724" s="506" t="s">
        <v>4316</v>
      </c>
      <c r="G1724" s="514" t="s">
        <v>2114</v>
      </c>
      <c r="H1724" s="514" t="s">
        <v>2975</v>
      </c>
      <c r="I1724" s="514"/>
      <c r="J1724" s="513"/>
      <c r="K1724" s="519" t="s">
        <v>315</v>
      </c>
      <c r="L1724" s="526" t="s">
        <v>315</v>
      </c>
      <c r="M1724" s="527" t="s">
        <v>315</v>
      </c>
      <c r="N1724" s="528" t="s">
        <v>315</v>
      </c>
      <c r="O1724" s="663"/>
      <c r="P1724" s="529"/>
      <c r="Q1724" s="531"/>
      <c r="R1724" s="530"/>
      <c r="S1724" s="530" t="s">
        <v>315</v>
      </c>
      <c r="T1724" s="667"/>
    </row>
    <row r="1725" spans="1:20" ht="60" hidden="1">
      <c r="A1725" s="518" t="s">
        <v>3528</v>
      </c>
      <c r="B1725" s="506"/>
      <c r="C1725" s="506" t="s">
        <v>2104</v>
      </c>
      <c r="D1725" s="509" t="s">
        <v>2117</v>
      </c>
      <c r="E1725" s="509" t="str">
        <f>IF('GPS Anthro Tool'!$B$4=1,"North America Internal","")</f>
        <v>North America Internal</v>
      </c>
      <c r="F1725" s="506" t="s">
        <v>4316</v>
      </c>
      <c r="G1725" s="509" t="s">
        <v>2116</v>
      </c>
      <c r="H1725" s="509" t="s">
        <v>2118</v>
      </c>
      <c r="I1725" s="509"/>
      <c r="J1725" s="506"/>
      <c r="K1725" s="519" t="s">
        <v>315</v>
      </c>
      <c r="L1725" s="526" t="s">
        <v>315</v>
      </c>
      <c r="M1725" s="527" t="s">
        <v>315</v>
      </c>
      <c r="N1725" s="528" t="s">
        <v>315</v>
      </c>
      <c r="O1725" s="663"/>
      <c r="P1725" s="529"/>
      <c r="Q1725" s="531"/>
      <c r="R1725" s="530"/>
      <c r="S1725" s="530" t="s">
        <v>315</v>
      </c>
      <c r="T1725" s="667"/>
    </row>
    <row r="1726" spans="1:20" ht="60" hidden="1">
      <c r="A1726" s="518" t="s">
        <v>3528</v>
      </c>
      <c r="B1726" s="506"/>
      <c r="C1726" s="513"/>
      <c r="D1726" s="514" t="s">
        <v>2117</v>
      </c>
      <c r="E1726" s="509" t="str">
        <f>IF('GPS Anthro Tool'!$B$4=1,"North America Internal","")</f>
        <v>North America Internal</v>
      </c>
      <c r="F1726" s="506" t="s">
        <v>4316</v>
      </c>
      <c r="G1726" s="514" t="s">
        <v>2116</v>
      </c>
      <c r="H1726" s="514" t="s">
        <v>2118</v>
      </c>
      <c r="I1726" s="514"/>
      <c r="J1726" s="513"/>
      <c r="K1726" s="519" t="s">
        <v>315</v>
      </c>
      <c r="L1726" s="526" t="s">
        <v>315</v>
      </c>
      <c r="M1726" s="527" t="s">
        <v>315</v>
      </c>
      <c r="N1726" s="528" t="s">
        <v>315</v>
      </c>
      <c r="O1726" s="663"/>
      <c r="P1726" s="529"/>
      <c r="Q1726" s="531"/>
      <c r="R1726" s="530"/>
      <c r="S1726" s="530" t="s">
        <v>315</v>
      </c>
      <c r="T1726" s="667"/>
    </row>
    <row r="1727" spans="1:20" ht="60" hidden="1">
      <c r="A1727" s="518" t="s">
        <v>3528</v>
      </c>
      <c r="B1727" s="506"/>
      <c r="C1727" s="514" t="s">
        <v>3029</v>
      </c>
      <c r="D1727" s="514" t="s">
        <v>3030</v>
      </c>
      <c r="E1727" s="509" t="str">
        <f>IF('GPS Anthro Tool'!$B$4=1,"North America Internal","")</f>
        <v>North America Internal</v>
      </c>
      <c r="F1727" s="506" t="s">
        <v>4316</v>
      </c>
      <c r="G1727" s="513"/>
      <c r="H1727" s="514" t="s">
        <v>3031</v>
      </c>
      <c r="I1727" s="514"/>
      <c r="J1727" s="513" t="s">
        <v>3018</v>
      </c>
      <c r="K1727" s="519" t="s">
        <v>315</v>
      </c>
      <c r="L1727" s="526" t="s">
        <v>315</v>
      </c>
      <c r="M1727" s="527" t="s">
        <v>315</v>
      </c>
      <c r="N1727" s="528" t="s">
        <v>315</v>
      </c>
      <c r="O1727" s="663"/>
      <c r="P1727" s="529"/>
      <c r="Q1727" s="531"/>
      <c r="R1727" s="530"/>
      <c r="S1727" s="530" t="s">
        <v>315</v>
      </c>
      <c r="T1727" s="667"/>
    </row>
    <row r="1728" spans="1:20" ht="45" hidden="1">
      <c r="A1728" s="518" t="s">
        <v>3528</v>
      </c>
      <c r="B1728" s="506" t="s">
        <v>3009</v>
      </c>
      <c r="C1728" s="513" t="s">
        <v>3010</v>
      </c>
      <c r="D1728" s="514" t="s">
        <v>3011</v>
      </c>
      <c r="E1728" s="509" t="str">
        <f>IF('GPS Anthro Tool'!$B$4=1,"North America Internal","")</f>
        <v>North America Internal</v>
      </c>
      <c r="F1728" s="506" t="s">
        <v>4316</v>
      </c>
      <c r="G1728" s="514" t="s">
        <v>2273</v>
      </c>
      <c r="H1728" s="514" t="s">
        <v>2253</v>
      </c>
      <c r="I1728" s="514"/>
      <c r="J1728" s="513" t="s">
        <v>2957</v>
      </c>
      <c r="K1728" s="519" t="s">
        <v>315</v>
      </c>
      <c r="L1728" s="526" t="s">
        <v>315</v>
      </c>
      <c r="M1728" s="527" t="s">
        <v>315</v>
      </c>
      <c r="N1728" s="528" t="s">
        <v>315</v>
      </c>
      <c r="O1728" s="663"/>
      <c r="P1728" s="529"/>
      <c r="Q1728" s="531"/>
      <c r="R1728" s="530"/>
      <c r="S1728" s="530" t="s">
        <v>315</v>
      </c>
      <c r="T1728" s="667"/>
    </row>
    <row r="1729" spans="1:20" ht="45" hidden="1">
      <c r="A1729" s="518" t="s">
        <v>3528</v>
      </c>
      <c r="B1729" s="506"/>
      <c r="C1729" s="506" t="s">
        <v>2272</v>
      </c>
      <c r="D1729" s="509" t="s">
        <v>3489</v>
      </c>
      <c r="E1729" s="509" t="str">
        <f>IF('GPS Anthro Tool'!$B$4=1,"North America Internal","")</f>
        <v>North America Internal</v>
      </c>
      <c r="F1729" s="506" t="s">
        <v>4316</v>
      </c>
      <c r="G1729" s="509" t="s">
        <v>2273</v>
      </c>
      <c r="H1729" s="509" t="s">
        <v>2253</v>
      </c>
      <c r="I1729" s="509"/>
      <c r="J1729" s="506"/>
      <c r="K1729" s="519" t="s">
        <v>315</v>
      </c>
      <c r="L1729" s="526" t="s">
        <v>315</v>
      </c>
      <c r="M1729" s="527" t="s">
        <v>315</v>
      </c>
      <c r="N1729" s="528" t="s">
        <v>315</v>
      </c>
      <c r="O1729" s="663"/>
      <c r="P1729" s="529"/>
      <c r="Q1729" s="531"/>
      <c r="R1729" s="530"/>
      <c r="S1729" s="530" t="s">
        <v>315</v>
      </c>
      <c r="T1729" s="667"/>
    </row>
    <row r="1730" spans="1:20" ht="45" hidden="1">
      <c r="A1730" s="518" t="s">
        <v>3528</v>
      </c>
      <c r="B1730" s="506"/>
      <c r="C1730" s="513"/>
      <c r="D1730" s="514" t="s">
        <v>2976</v>
      </c>
      <c r="E1730" s="509" t="str">
        <f>IF('GPS Anthro Tool'!$B$4=1,"North America Internal","")</f>
        <v>North America Internal</v>
      </c>
      <c r="F1730" s="506" t="s">
        <v>4316</v>
      </c>
      <c r="G1730" s="514" t="s">
        <v>2119</v>
      </c>
      <c r="H1730" s="514" t="s">
        <v>2941</v>
      </c>
      <c r="I1730" s="514"/>
      <c r="J1730" s="513"/>
      <c r="K1730" s="519" t="s">
        <v>315</v>
      </c>
      <c r="L1730" s="526" t="s">
        <v>315</v>
      </c>
      <c r="M1730" s="527" t="s">
        <v>315</v>
      </c>
      <c r="N1730" s="528" t="s">
        <v>315</v>
      </c>
      <c r="O1730" s="663"/>
      <c r="P1730" s="529"/>
      <c r="Q1730" s="531"/>
      <c r="R1730" s="530"/>
      <c r="S1730" s="530" t="s">
        <v>315</v>
      </c>
      <c r="T1730" s="667"/>
    </row>
    <row r="1731" spans="1:20" ht="75" hidden="1">
      <c r="A1731" s="518" t="s">
        <v>3528</v>
      </c>
      <c r="B1731" s="506"/>
      <c r="C1731" s="514" t="s">
        <v>3040</v>
      </c>
      <c r="D1731" s="514" t="s">
        <v>3016</v>
      </c>
      <c r="E1731" s="509" t="str">
        <f>IF('GPS Anthro Tool'!$B$4=1,"North America Internal","")</f>
        <v>North America Internal</v>
      </c>
      <c r="F1731" s="506" t="s">
        <v>4316</v>
      </c>
      <c r="G1731" s="513"/>
      <c r="H1731" s="514" t="s">
        <v>3041</v>
      </c>
      <c r="I1731" s="514"/>
      <c r="J1731" s="513"/>
      <c r="K1731" s="519" t="s">
        <v>315</v>
      </c>
      <c r="L1731" s="526" t="s">
        <v>315</v>
      </c>
      <c r="M1731" s="527" t="s">
        <v>315</v>
      </c>
      <c r="N1731" s="528" t="s">
        <v>315</v>
      </c>
      <c r="O1731" s="663"/>
      <c r="P1731" s="529"/>
      <c r="Q1731" s="531"/>
      <c r="R1731" s="530"/>
      <c r="S1731" s="530" t="s">
        <v>315</v>
      </c>
      <c r="T1731" s="667"/>
    </row>
    <row r="1732" spans="1:20" ht="45" hidden="1">
      <c r="A1732" s="518" t="s">
        <v>3528</v>
      </c>
      <c r="B1732" s="506"/>
      <c r="C1732" s="506" t="s">
        <v>2277</v>
      </c>
      <c r="D1732" s="509" t="s">
        <v>2278</v>
      </c>
      <c r="E1732" s="509" t="str">
        <f>IF('GPS Anthro Tool'!$B$4=1,"North America QTM 1","")</f>
        <v>North America QTM 1</v>
      </c>
      <c r="F1732" s="506" t="s">
        <v>4246</v>
      </c>
      <c r="G1732" s="506"/>
      <c r="H1732" s="509" t="s">
        <v>2280</v>
      </c>
      <c r="I1732" s="509"/>
      <c r="J1732" s="506"/>
      <c r="K1732" s="519" t="s">
        <v>315</v>
      </c>
      <c r="L1732" s="526" t="s">
        <v>315</v>
      </c>
      <c r="M1732" s="527" t="s">
        <v>315</v>
      </c>
      <c r="N1732" s="528" t="s">
        <v>315</v>
      </c>
      <c r="O1732" s="663"/>
      <c r="P1732" s="529"/>
      <c r="Q1732" s="531"/>
      <c r="R1732" s="530"/>
      <c r="S1732" s="530" t="s">
        <v>315</v>
      </c>
      <c r="T1732" s="667"/>
    </row>
    <row r="1733" spans="1:20" ht="30" hidden="1">
      <c r="A1733" s="518"/>
      <c r="B1733" s="506"/>
      <c r="C1733" s="513"/>
      <c r="D1733" s="514" t="s">
        <v>3003</v>
      </c>
      <c r="E1733" s="516" t="str">
        <f>IF('GPS Anthro Tool'!$B$4=1,"North America QTM-20","")</f>
        <v>North America QTM-20</v>
      </c>
      <c r="F1733" s="506" t="s">
        <v>4246</v>
      </c>
      <c r="G1733" s="513"/>
      <c r="H1733" s="514" t="s">
        <v>3004</v>
      </c>
      <c r="I1733" s="514"/>
      <c r="J1733" s="513"/>
      <c r="K1733" s="519" t="s">
        <v>315</v>
      </c>
      <c r="L1733" s="526" t="s">
        <v>315</v>
      </c>
      <c r="M1733" s="527" t="s">
        <v>315</v>
      </c>
      <c r="N1733" s="528" t="s">
        <v>315</v>
      </c>
      <c r="O1733" s="663"/>
      <c r="P1733" s="529"/>
      <c r="Q1733" s="531"/>
      <c r="R1733" s="530"/>
      <c r="S1733" s="530" t="s">
        <v>315</v>
      </c>
      <c r="T1733" s="667"/>
    </row>
    <row r="1734" spans="1:20" hidden="1">
      <c r="A1734" s="518"/>
      <c r="B1734" s="519" t="s">
        <v>1991</v>
      </c>
      <c r="C1734" s="568" t="s">
        <v>1992</v>
      </c>
      <c r="D1734" s="568"/>
      <c r="E1734" s="519" t="str">
        <f>IF('GPS Anthro Tool'!$B$5=1,"Packaging DEU-QA-0324","")</f>
        <v/>
      </c>
      <c r="F1734" s="506" t="s">
        <v>4246</v>
      </c>
      <c r="G1734" s="506" t="s">
        <v>2066</v>
      </c>
      <c r="H1734" s="538" t="s">
        <v>2093</v>
      </c>
      <c r="I1734" s="506"/>
      <c r="J1734" s="506"/>
      <c r="K1734" s="519"/>
      <c r="L1734" s="526"/>
      <c r="M1734" s="527"/>
      <c r="N1734" s="528"/>
      <c r="O1734" s="663"/>
      <c r="P1734" s="666"/>
      <c r="Q1734" s="566" t="s">
        <v>1828</v>
      </c>
      <c r="R1734" s="535" t="s">
        <v>1819</v>
      </c>
      <c r="S1734" s="527"/>
      <c r="T1734" s="667"/>
    </row>
  </sheetData>
  <autoFilter ref="B9:T1734" xr:uid="{00000000-0009-0000-0000-000006000000}">
    <filterColumn colId="1">
      <filters>
        <filter val="Crash"/>
        <filter val="Dummy"/>
      </filters>
    </filterColumn>
    <filterColumn colId="2">
      <filters blank="1">
        <filter val="16 CFR 1223, ASTM F2050, 5.5"/>
        <filter val="16 CFR 1223, ASTM F2050, 5.6"/>
        <filter val="49CFR-571.213, TP-213 12 A.3, D"/>
        <filter val="49CFR-571.213, TP-213 12 A.3, D; CMVSS 213 SOR/DORS 2010-90 217 (b), 315(f)"/>
        <filter val="49CFR-571.213, TP-213 12 A.3, D; CMVSS 213 SOR/DORS/2010-90 215(c ),315(c ), 407(c )"/>
        <filter val="49CFR-571.213, TP-213 12 A.3, D; CMVSS 213 SOR/DORS/2010-90 216(a),407(e)"/>
        <filter val="49CFR-571.213, TP-213 12 A.3, D; CMVSS 213 SOR/DORS/2010-90 216(b), 407(f)"/>
        <filter val="49CRF571.202a"/>
        <filter val="ASTM D3359, ASTM F977-09 Section 7.4.4"/>
        <filter val="ASTM D756-93"/>
        <filter val="ASTM F2050, 5.6"/>
        <filter val="CP-QR-00001"/>
        <filter val="CP-QR-00002"/>
        <filter val="CP-QR-00003, FMVSS 213 S5.4"/>
        <filter val="CP-QR-00004, FMVSS 213 S5.4"/>
        <filter val="CP-QR-00006, FMVSS 213 S5.4"/>
        <filter val="CP-QR-00008, FMVSS 213 S5.4"/>
        <filter val="CP-QR-00016, FMVSS 213 S5.5.1, TP-213 C.1, SOR/DORS 2010-90 101"/>
        <filter val="CP-QR-00017"/>
        <filter val="CP-QR-00023"/>
        <filter val="FMVSS 213 S5.5.3, TP-213 C.1,2,3"/>
        <filter val="FMVSS 213 S5.6.3"/>
        <filter val="FMVSS 213 S5.7 FMVSS 302, TP-213 12 A.1, CMVSS 213 SOR/DORS 2010-90  205,307"/>
        <filter val="FMVSS 213 S5.7 FMVSS 302, TP-213 12 A.1, SOR/DORS 2010-90  205,307"/>
        <filter val="FMVSS 213 S8.2, TP-213 12 A.4, E"/>
        <filter val="FMVSS S5.2.1(a)"/>
        <filter val="FMVSS S5.2.1(b)"/>
        <filter val="FMVSS S5.2.2 (a)"/>
        <filter val="FMVSS S5.2.2(a)"/>
        <filter val="FMVSS S5.2.2(a), TP-213 C6.1, CMVSS 213 SOR/DORS 2010-90  209 (a)"/>
        <filter val="FMVSS S5.2.2.1(b), TP-213 C.6.2"/>
        <filter val="FMVSS S5.2.2.1(c) TP-213 C.6.3"/>
        <filter val="FMVSS-213 S5.2.1(a), SOR/DORS 2010-90  205"/>
        <filter val="FMVSS-213 S5.2.1(a), TP-213 12 C.4, SOR/DORS 2010-90  215(2)(a)(i), 315(3)(a)"/>
        <filter val="FMVSS-213 S5.2.1(b)"/>
        <filter val="FMVSS-213 S5.2.2(a), TP-213 C6.1, SOR/DORS 2010-90  209 (a)"/>
        <filter val="FMVSS-213 S5.2.2.1(b), TP-213 C.6.2"/>
        <filter val="FMVSS-213 S5.2.4,  TP-213 12 C.8"/>
        <filter val="FMVSS-213 S5.2.4, TP-213 12 C.8, CMVSS 213 SOR/DORS/2010-90 212,406"/>
        <filter val="FMVSS-213 S5.4"/>
        <filter val="FMVSS-213 S5.4.3.1"/>
        <filter val="FMVSS-213 S5.4.3.4(c)"/>
        <filter val="FMVSS-213 S5.5, Dorel Procedure"/>
        <filter val="ISTA 3A"/>
        <filter val="NHTSA Ease of Use Star Rating"/>
        <filter val="QTM 10, 16 CFR 1500.48"/>
        <filter val="QTM 2, 16 CFR 1500.52 (e)"/>
        <filter val="QTM 3, 16 CFR 1500.52 (f)"/>
        <filter val="QTM 33 &amp; QTM 97"/>
        <filter val="QTM 4, 16 CFR 1500.52 (g)"/>
        <filter val="QTM 5, 16 CFR 1500.51,52,53"/>
        <filter val="QTM 6, 16 CFR 1501"/>
        <filter val="QTM 87, FMVSS 209 S5.2(a),  ASTM B117"/>
        <filter val="QTM 9; 16 CFR 1500.49"/>
        <filter val="QTM 97"/>
        <filter val="QTM-20"/>
        <filter val="S5(b)"/>
        <filter val="S5(c)"/>
        <filter val="S5(d)"/>
        <filter val="S5(e)"/>
        <filter val="S5(f)"/>
        <filter val="S5.1"/>
        <filter val="S5.1.1"/>
        <filter val="S5.1.1(a)"/>
        <filter val="S5.1.1(b)(1)"/>
        <filter val="S5.1.1(b)(2)(i)"/>
        <filter val="S5.1.1(b)(2)(ii)"/>
        <filter val="S5.1.1, TP-213 12 A.3, D"/>
        <filter val="S5.1.1, TP-213 12 A.3, D; CMVSS 213 SOR/DORS 2010-90 315(1)(a),(b)"/>
        <filter val="S5.1.2"/>
        <filter val="S5.1.2(a)"/>
        <filter val="S5.1.2(b)"/>
        <filter val="S5.1.2.1"/>
        <filter val="S5.1.2.1(a)"/>
        <filter val="S5.1.2.1(b)"/>
        <filter val="S5.1.3"/>
        <filter val="S5.1.3.1"/>
        <filter val="S5.1.3.1(a)"/>
        <filter val="S5.1.3.1(a)(1)"/>
        <filter val="S5.1.3.1(a)(2)"/>
        <filter val="S5.1.3.1(b)"/>
        <filter val="S5.1.3.2"/>
        <filter val="S5.1.3.3"/>
        <filter val="S5.1.4"/>
        <filter val="S5.2"/>
        <filter val="S5.2.1"/>
        <filter val="S5.2.1.1"/>
        <filter val="S5.2.1.1(a)"/>
        <filter val="S5.2.1.1(a)(1)"/>
        <filter val="S5.2.1.1(a)(2)"/>
        <filter val="S5.2.1.1(b)"/>
        <filter val="S5.2.1.1(c)"/>
        <filter val="S5.2.1.2"/>
        <filter val="S5.2.1.2(a)"/>
        <filter val="S5.2.2"/>
        <filter val="S5.2.2.1(a)"/>
        <filter val="S5.2.2.1(b)"/>
        <filter val="S5.2.2.1(c)"/>
        <filter val="S5.2.2.2"/>
        <filter val="S5.2.2.2(a)"/>
        <filter val="S5.2.2.2(a)(1)"/>
        <filter val="S5.2.2.2(a)(2)"/>
        <filter val="S5.2.2.2(b)"/>
        <filter val="S5.2.3"/>
        <filter val="S5.2.3.1"/>
        <filter val="S5.2.3.2"/>
        <filter val="S5.2.3.2(a)"/>
        <filter val="S5.2.3.2(b)"/>
        <filter val="S5.2.4"/>
        <filter val="S5.3"/>
        <filter val="S5.3.1"/>
        <filter val="S5.3.1(a)"/>
        <filter val="S5.3.1(b)"/>
        <filter val="S5.3.1(b)(1)"/>
        <filter val="S5.3.1(b)(2)"/>
        <filter val="S5.3.1(b)(3)"/>
        <filter val="S5.3.2"/>
        <filter val="S5.3.3"/>
        <filter val="S5.4"/>
        <filter val="S5.4.1.2"/>
        <filter val="S5.4.1.2(a)"/>
        <filter val="S5.4.1.2(b)(1)"/>
        <filter val="S5.4.1.2(b)(2)"/>
        <filter val="S5.4.1.2(c)(1)"/>
        <filter val="S5.4.1.2(c)(2)"/>
        <filter val="S5.4.1.2(d)"/>
        <filter val="S5.4.1.3"/>
        <filter val="S5.4.2"/>
        <filter val="S5.4.3"/>
        <filter val="S5.4.3.1"/>
        <filter val="S5.4.3.2"/>
        <filter val="S5.4.3.2(a)"/>
        <filter val="S5.4.3.2(b)"/>
        <filter val="S5.4.3.3"/>
        <filter val="S5.4.3.3(a)"/>
        <filter val="S5.4.3.3(a)(i)"/>
        <filter val="S5.4.3.3(a)(ii)"/>
        <filter val="S5.4.3.3(b)"/>
        <filter val="S5.4.3.3(b)(i)"/>
        <filter val="S5.4.3.3(b)(ii)"/>
        <filter val="S5.4.3.3(c)(i)"/>
        <filter val="S5.4.3.3(c)(ii)"/>
        <filter val="S5.4.3.3b(c)"/>
        <filter val="S5.4.3.4"/>
        <filter val="S5.4.3.4(a)"/>
        <filter val="S5.4.3.4(b)"/>
        <filter val="S5.4.3.4(c)"/>
        <filter val="S5.4.3.5"/>
        <filter val="S5.4.3.5(a)"/>
        <filter val="S5.4.3.5(b)"/>
        <filter val="S5.4.3.5(c)"/>
        <filter val="S5.4.3.5(d)"/>
        <filter val="S5.4.3.5(e)"/>
        <filter val="S5.5"/>
        <filter val="S5.5.1"/>
        <filter val="S5.5.2"/>
        <filter val="S5.5.2(a)"/>
        <filter val="S5.5.2(b)"/>
        <filter val="S5.5.2(c)"/>
        <filter val="S5.5.2(d)"/>
        <filter val="S5.5.2(e)"/>
        <filter val="S5.5.2(f)"/>
        <filter val="S5.5.2(f)(1)"/>
        <filter val="S5.5.2(f)(2)"/>
        <filter val="S5.5.2(f)(3)"/>
        <filter val="S5.5.2(f)(4)"/>
        <filter val="S5.5.2(g)(1)"/>
        <filter val="S5.5.2(g)(1)(i)"/>
        <filter val="S5.5.2(g)(1)(ii)"/>
        <filter val="S5.5.2(g)(1)(iii)"/>
        <filter val="S5.5.2(g)(1)(iv)"/>
        <filter val="S5.5.2(g)(2)"/>
        <filter val="S5.5.2(g)(3)"/>
        <filter val="S5.5.2(h)"/>
        <filter val="S5.5.2(i)(1)"/>
        <filter val="S5.5.2(i)(1)(i)"/>
        <filter val="S5.5.2(i)(1)(ii)"/>
        <filter val="S5.5.2(i)(2)(i)"/>
        <filter val="S5.5.2(i)(2)(ii)"/>
        <filter val="S5.5.2(j)"/>
        <filter val="S5.5.2(k)(1)"/>
        <filter val="S5.5.2(k)(2)"/>
        <filter val="S5.5.2(k)(3)"/>
        <filter val="S5.5.2(k)(3)(i)"/>
        <filter val="S5.5.2(k)(3)(ii)"/>
        <filter val="S5.5.2(k)(3)(iii)"/>
        <filter val="S5.5.2(k)(4)"/>
        <filter val="S5.5.2(l)"/>
        <filter val="S5.5.2(l)(1)"/>
        <filter val="S5.5.2(l)(2)"/>
        <filter val="S5.5.2(l)(3)"/>
        <filter val="S5.5.2(l)(3)(i)"/>
        <filter val="S5.5.2(l)(3)(i)(A)"/>
        <filter val="S5.5.2(l)(3)(i)(C)"/>
        <filter val="S5.5.2(l)(3)(ii)"/>
        <filter val="S5.5.2(l)(3)(ii)(a)"/>
        <filter val="S5.5.2(l)(3)(ii)(b)"/>
        <filter val="S5.5.2(l)(3)(ii)(c)"/>
        <filter val="S5.5.2(m)"/>
        <filter val="S5.5.2(m)(i)"/>
        <filter val="S5.5.2(m)(ii)"/>
        <filter val="S5.5.2(n)"/>
        <filter val="S5.5.3"/>
        <filter val="S5.5.4(a)"/>
        <filter val="S5.5.4(b) "/>
        <filter val="S5.5.5"/>
        <filter val="S5.5.5(a)"/>
        <filter val="S5.5.5(b)"/>
        <filter val="S5.5.5(c)"/>
        <filter val="S5.5.5(d)"/>
        <filter val="S5.5.5(e)"/>
        <filter val="S5.5.5(f)"/>
        <filter val="S5.5.5(f)(1)"/>
        <filter val="S5.5.5(f)(2)"/>
        <filter val="S5.5.5(f)(3)"/>
        <filter val="S5.5.5(f)(4)"/>
        <filter val="S5.5.5(g)"/>
        <filter val="S5.5.5(g)(1)"/>
        <filter val="S5.5.5(g)(2)"/>
        <filter val="S5.5.5(g)(3)"/>
        <filter val="S5.5.5(h)"/>
        <filter val="S5.5.5(i)"/>
        <filter val="S5.5.5(j)"/>
        <filter val="S5.5.5(k)"/>
        <filter val="S5.5.5(k)(i)"/>
        <filter val="S5.5.5(k)(ii)"/>
        <filter val="S5.5.5(l)"/>
        <filter val="S5.6"/>
        <filter val="S5.6.1"/>
        <filter val="S5.6.1.1"/>
        <filter val="S5.6.1.10(a)"/>
        <filter val="S5.6.1.10(a)(1)"/>
        <filter val="S5.6.1.10(a)(2)"/>
        <filter val="S5.6.1.10(b)(1)"/>
        <filter val="S5.6.1.10(b)(2)"/>
        <filter val="S5.6.1.10(c)"/>
        <filter val="S5.6.1.11"/>
        <filter val="S5.6.1.12(a)"/>
        <filter val="S5.6.1.12(b)"/>
        <filter val="S5.6.1.2"/>
        <filter val="S5.6.1.3"/>
        <filter val="S5.6.1.4"/>
        <filter val="S5.6.1.5"/>
        <filter val="S5.6.1.6"/>
        <filter val="S5.6.1.7"/>
        <filter val="S5.6.1.7(i)"/>
        <filter val="S5.6.1.7(ii)"/>
        <filter val="S5.6.1.8"/>
        <filter val="S5.6.1.9"/>
        <filter val="S5.6.2"/>
        <filter val="S5.6.2(a)"/>
        <filter val="S5.6.2(b)"/>
        <filter val="S5.6.2.1"/>
        <filter val="S5.6.2.2"/>
        <filter val="S5.6.2.2(i)"/>
        <filter val="S5.6.2.2(ii)"/>
        <filter val="S5.6.2.3"/>
        <filter val="S5.6.2.4"/>
        <filter val="S5.6.2.5"/>
        <filter val="S5.6.3"/>
        <filter val="S5.7"/>
        <filter val="S5.8"/>
        <filter val="S5.8.1"/>
        <filter val="S5.8.1(a)"/>
        <filter val="S5.8.1(b)"/>
        <filter val="S5.8.1(b)(1)"/>
        <filter val="S5.8.1(b)(2)"/>
        <filter val="S5.8.1(b)(3)"/>
        <filter val="S5.8.1(c)"/>
        <filter val="S5.8.1(d)"/>
        <filter val="S5.8.2"/>
        <filter val="S5.8.2(a)"/>
        <filter val="S5.8.2(a)(1)"/>
        <filter val="S5.8.2(a)(1)(i)"/>
        <filter val="S5.8.2(a)(1)(ii)"/>
        <filter val="S5.8.2(a)(1)(iii)"/>
        <filter val="S5.8.2(a)(1)(iv)"/>
        <filter val="S5.8.2(a)(1)(v)"/>
        <filter val="S5.8.2(a)(2)"/>
        <filter val="S5.9"/>
        <filter val="S5.9(a)"/>
        <filter val="S5.9(b)"/>
        <filter val="S5.9(c)"/>
        <filter val="S5.9(d)"/>
        <filter val="S6.2, TP-213 12 A.3, D"/>
        <filter val="S7"/>
        <filter val="S7.1.2"/>
        <filter val="S7.1.2(a)"/>
        <filter val="S7.1.2(b)"/>
        <filter val="S7.1.2(c)"/>
        <filter val="S7.1.2(d)"/>
        <filter val="S7.1.2(e)"/>
        <filter val="S7.1.2(f)"/>
        <filter val="S7.1.3"/>
        <filter val="S8"/>
        <filter val="S8.1"/>
        <filter val="S8.2"/>
        <filter val="S8.2.1"/>
        <filter val="S8.2.2"/>
        <filter val="S8.2.3"/>
        <filter val="S8.2.4"/>
        <filter val="S8.2.5"/>
        <filter val="S8.2.6"/>
        <filter val="SAE J1819"/>
        <filter val="See FMVSS S10"/>
        <filter val="See FMVSS S10.1"/>
        <filter val="See FMVSS S10.2"/>
        <filter val="See FMVSS S10.2.1"/>
        <filter val="See FMVSS S10.2.1(a)"/>
        <filter val="See FMVSS S10.2.1(b)(2)"/>
        <filter val="See FMVSS S10.2.1(c)(1)(i)"/>
        <filter val="See FMVSS S10.2.1(c)(1)(i)(A)"/>
        <filter val="See FMVSS S10.2.1(c)(1)(i)(B)"/>
        <filter val="See FMVSS S10.2.1(c)(1)(ii)"/>
        <filter val="See FMVSS S10.2.1(c)(2)"/>
        <filter val="See FMVSS S10.2.2"/>
        <filter val="See FMVSS S10.2.2(a)"/>
        <filter val="See FMVSS S10.2.2(a)(1)"/>
        <filter val="See FMVSS S10.2.2(a)(2)"/>
        <filter val="See FMVSS S10.2.2(b)"/>
        <filter val="See FMVSS S10.2.2(c)"/>
        <filter val="See FMVSS S10.2.2(c)(1)"/>
        <filter val="See FMVSS S10.2.2(c)(2)"/>
        <filter val="See FMVSS S10.2.2(d)"/>
        <filter val="See FMVSS S10.2.3"/>
        <filter val="See FMVSS S10.2.3(a)"/>
        <filter val="See FMVSS S10.2.3(a)(1)"/>
        <filter val="See FMVSS S10.2.3(a)(1)(i)"/>
        <filter val="See FMVSS S10.2.3(a)(1)(ii)"/>
        <filter val="See FMVSS S10.2.3(a)(1)(iii)"/>
        <filter val="See FMVSS S10.2.3(a)(1)(iv)"/>
        <filter val="See FMVSS S10.2.3(a)(1)(v)"/>
        <filter val="See FMVSS S10.2.3(a)(1)(vi)"/>
        <filter val="See FMVSS S10.2.3(a)(2)"/>
        <filter val="See FMVSS S10.2.3(a)(2)(i)"/>
        <filter val="See FMVSS S10.2.3(a)(2)(ii)"/>
        <filter val="See FMVSS S10.2.3(a)(2)(iii)"/>
        <filter val="See FMVSS S10.2.3(b)"/>
        <filter val="See FMVSS S10.2.3(c)"/>
        <filter val="See FMVSS S10.2.3(c)(1)"/>
        <filter val="See FMVSS S10.2.3(c)(2)"/>
        <filter val="See FMVSS S10.2.3(c)(3)"/>
        <filter val="See FMVSS S10.2.3(c)(3)(i)"/>
        <filter val="See FMVSS S10.2.3(c)(3)(ii)"/>
        <filter val="See FMVSS S10.2.3(c)(4)"/>
        <filter val="See FMVSS S10.2.3(c)(5)"/>
        <filter val="See FMVSS S10.2.3(d)"/>
        <filter val="See FMVSS S10.2.3(e)"/>
        <filter val="See FMVSS S10.2.3(e)(1)"/>
        <filter val="See FMVSS S10.2.3(e)(2)"/>
        <filter val="See FMVSS S5 (b)"/>
        <filter val="See FMVSS S5 (c)"/>
        <filter val="See FMVSS S5 (d)"/>
        <filter val="See FMVSS S5 (e)"/>
        <filter val="See FMVSS S5 (f)"/>
        <filter val="See FMVSS S5.1"/>
        <filter val="See FMVSS S5.1.1"/>
        <filter val="See FMVSS S5.1.1(a)"/>
        <filter val="See FMVSS S5.1.1(b)(1)"/>
        <filter val="See FMVSS S5.1.1(b)(2)(i)"/>
        <filter val="See FMVSS S5.1.1(b)(2)(ii)"/>
        <filter val="See FMVSS S5.1.1(c)"/>
        <filter val="See FMVSS S5.1.2.1"/>
        <filter val="See FMVSS S5.1.2.1(a)"/>
        <filter val="See FMVSS S5.1.2.1(b)"/>
        <filter val="See FMVSS S5.1.2.2"/>
        <filter val="See FMVSS S5.1.3"/>
        <filter val="See FMVSS S5.1.3.1"/>
        <filter val="See FMVSS S5.1.3.1(a)"/>
        <filter val="See FMVSS S5.1.3.1(a)(1)"/>
        <filter val="See FMVSS S5.1.3.1(a)(2)"/>
        <filter val="See FMVSS S5.1.3.2"/>
        <filter val="See FMVSS S5.1.3.3"/>
        <filter val="See FMVSS S5.1.4"/>
        <filter val="See FMVSS S5.2"/>
        <filter val="See FMVSS S5.2.1"/>
        <filter val="See FMVSS S5.2.1(a)"/>
        <filter val="See FMVSS S5.2.1(b)"/>
        <filter val="See FMVSS S5.2.1.1"/>
        <filter val="See FMVSS S5.2.1.1(a)"/>
        <filter val="See FMVSS S5.2.1.1(a)(1)"/>
        <filter val="See FMVSS S5.2.1.1(a)(2)"/>
        <filter val="See FMVSS S5.2.1.1(b)"/>
        <filter val="See FMVSS S5.2.1.1(c)"/>
        <filter val="See FMVSS S5.2.1.2"/>
        <filter val="See FMVSS S5.2.1.3(a)"/>
        <filter val="See FMVSS S5.2.2"/>
        <filter val="See FMVSS S5.2.2 (a)"/>
        <filter val="See FMVSS S5.2.2(a)"/>
        <filter val="See FMVSS S5.2.2(a), TP-213 C6.1, CMVSS FMVSS FMVSS S 213 See FMVSS SOR/DORS FMVSS S 2010-90  209 (a)"/>
        <filter val="See FMVSS S5.2.2.1(a)"/>
        <filter val="See FMVSS S5.2.2.1(b)"/>
        <filter val="See FMVSS S5.2.2.1(b), TP-213 C.6.2"/>
        <filter val="See FMVSS S5.2.2.1(c)"/>
        <filter val="See FMVSS S5.2.2.1(c) TP-213 C.6.3"/>
        <filter val="See FMVSS S5.2.2.2"/>
        <filter val="See FMVSS S5.2.2.2(a)"/>
        <filter val="See FMVSS S5.2.2.2(a)(1)"/>
        <filter val="See FMVSS S5.2.2.2(a)(2)"/>
        <filter val="See FMVSS S5.2.2.2(b)"/>
        <filter val="See FMVSS S5.2.3"/>
        <filter val="See FMVSS S5.2.4"/>
        <filter val="See FMVSS S5.3"/>
        <filter val="See FMVSS S5.3.1"/>
        <filter val="See FMVSS S5.3.1(a)"/>
        <filter val="See FMVSS S5.3.1(b)"/>
        <filter val="See FMVSS S5.3.1(b)(1)"/>
        <filter val="See FMVSS S5.3.1(b)(2)"/>
        <filter val="See FMVSS S5.3.1(b)(3)"/>
        <filter val="See FMVSS S5.3.2"/>
        <filter val="See FMVSS S5.3.3"/>
        <filter val="See FMVSS S5.4"/>
        <filter val="See FMVSS S5.4.1"/>
        <filter val="See FMVSS S5.4.1.2"/>
        <filter val="See FMVSS S5.4.1.2(b)(1)"/>
        <filter val="See FMVSS S5.4.1.2(b)(2)"/>
        <filter val="See FMVSS S5.4.1.2(c)(1)"/>
        <filter val="See FMVSS S5.4.1.2(c)(2)"/>
        <filter val="See FMVSS S5.4.1.2(d)"/>
        <filter val="See FMVSS S5.4.1.3"/>
        <filter val="See FMVSS S5.4.2(a)"/>
        <filter val="See FMVSS S5.4.3"/>
        <filter val="See FMVSS S5.4.3.1"/>
        <filter val="See FMVSS S5.4.3.2"/>
        <filter val="See FMVSS S5.4.3.2(a)"/>
        <filter val="See FMVSS S5.4.3.2(b)"/>
        <filter val="See FMVSS S5.4.3.3"/>
        <filter val="See FMVSS S5.4.3.4"/>
        <filter val="See FMVSS S5.4.3.4(a)"/>
        <filter val="See FMVSS S5.4.3.4(a) (i)"/>
        <filter val="See FMVSS S5.4.3.4(a) (ii)"/>
        <filter val="See FMVSS S5.4.3.4(b)"/>
        <filter val="See FMVSS S5.4.3.4(c)"/>
        <filter val="See FMVSS S5.4.3.4b(b)"/>
        <filter val="See FMVSS S5.4.3.4b(b)(i)"/>
        <filter val="See FMVSS S5.4.3.4b(b)(ii)"/>
        <filter val="See FMVSS S5.4.3.4b(c)"/>
        <filter val="See FMVSS S5.4.3.4b(c)(i)"/>
        <filter val="See FMVSS S5.4.3.4b(c)(ii)"/>
        <filter val="See FMVSS S5.4.3.5"/>
        <filter val="See FMVSS S5.4.3.5(a)"/>
        <filter val="See FMVSS S5.4.3.5(b)"/>
        <filter val="See FMVSS S5.4.3.5(c)"/>
        <filter val="See FMVSS S5.4.3.5(d)"/>
        <filter val="See FMVSS S5.4.3.5(e)"/>
        <filter val="See FMVSS S5.5"/>
        <filter val="See FMVSS S5.5.1"/>
        <filter val="See FMVSS S5.5.2"/>
        <filter val="See FMVSS S5.5.2(a)"/>
        <filter val="See FMVSS S5.5.2(b)"/>
        <filter val="See FMVSS S5.5.2(c)"/>
        <filter val="See FMVSS S5.5.2(d)"/>
        <filter val="See FMVSS S5.5.2(e)"/>
        <filter val="See FMVSS S5.5.2(f)"/>
        <filter val="See FMVSS S5.5.2(f)(1)"/>
        <filter val="See FMVSS S5.5.2(f)(2)"/>
        <filter val="See FMVSS S5.5.2(f)(3)"/>
        <filter val="See FMVSS S5.5.2(f)(4)"/>
        <filter val="See FMVSS S5.5.2(g)(1)"/>
        <filter val="See FMVSS S5.5.2(g)(1)(i)"/>
        <filter val="See FMVSS S5.5.2(g)(1)(ii)"/>
        <filter val="See FMVSS S5.5.2(g)(1)(iii)"/>
        <filter val="See FMVSS S5.5.2(g)(1)(iv)"/>
        <filter val="See FMVSS S5.5.2(g)(2)"/>
        <filter val="See FMVSS S5.5.2(g)(3)"/>
        <filter val="See FMVSS S5.5.2(h)"/>
        <filter val="See FMVSS S5.5.2(i)(1)"/>
        <filter val="See FMVSS S5.5.2(i)(1)(i)"/>
        <filter val="See FMVSS S5.5.2(i)(1)(ii)"/>
        <filter val="See FMVSS S5.5.2(i)(2)(i)"/>
        <filter val="See FMVSS S5.5.2(i)(2)(ii)"/>
        <filter val="See FMVSS S5.5.2(j)"/>
        <filter val="See FMVSS S5.5.2(k)(1)"/>
        <filter val="See FMVSS S5.5.2(k)(2)"/>
        <filter val="See FMVSS S5.5.2(k)(3)"/>
        <filter val="See FMVSS S5.5.2(k)(3)(i)"/>
        <filter val="See FMVSS S5.5.2(k)(3)(ii)"/>
        <filter val="See FMVSS S5.5.2(k)(3)(iii)"/>
        <filter val="See FMVSS S5.5.2(k)(4)"/>
        <filter val="See FMVSS S5.5.2(l)"/>
        <filter val="See FMVSS S5.5.2(l)(1)"/>
        <filter val="See FMVSS S5.5.2(l)(2)"/>
        <filter val="See FMVSS S5.5.2(l)(3)"/>
        <filter val="See FMVSS S5.5.2(l)(3)(A)"/>
        <filter val="See FMVSS S5.5.2(l)(3)(B)"/>
        <filter val="See FMVSS S5.5.3"/>
        <filter val="See FMVSS S5.6"/>
        <filter val="See FMVSS S5.6.1"/>
        <filter val="See FMVSS S5.6.1.1"/>
        <filter val="See FMVSS S5.6.1.10(a)"/>
        <filter val="See FMVSS S5.6.1.10(a)(1)"/>
        <filter val="See FMVSS S5.6.1.10(a)(2)"/>
        <filter val="See FMVSS S5.6.1.10(b)(1)"/>
        <filter val="See FMVSS S5.6.1.10(b)(2)"/>
        <filter val="See FMVSS S5.6.1.10(c)"/>
        <filter val="See FMVSS S5.6.1.12(a)"/>
        <filter val="See FMVSS S5.6.1.12(b)"/>
        <filter val="See FMVSS S5.6.1.2"/>
        <filter val="See FMVSS S5.6.1.3"/>
        <filter val="See FMVSS S5.6.1.4"/>
        <filter val="See FMVSS S5.6.1.5"/>
        <filter val="See FMVSS S5.6.1.6"/>
        <filter val="See FMVSS S5.6.1.7"/>
        <filter val="See FMVSS S5.6.1.7(i)"/>
        <filter val="See FMVSS S5.6.1.7(ii)"/>
        <filter val="See FMVSS S5.6.1.8"/>
        <filter val="See FMVSS S5.6.1.9"/>
        <filter val="See FMVSS S5.6.3"/>
        <filter val="See FMVSS S5.8"/>
        <filter val="See FMVSS S5.8.1"/>
        <filter val="See FMVSS S5.8.1(a)"/>
        <filter val="See FMVSS S5.8.1(b)"/>
        <filter val="See FMVSS S5.8.1(b)(1)"/>
        <filter val="See FMVSS S5.8.1(b)(2)"/>
        <filter val="See FMVSS S5.8.1(b)(3)"/>
        <filter val="See FMVSS S5.8.1(c)"/>
        <filter val="See FMVSS S5.8.1(d)"/>
        <filter val="See FMVSS S5.8.2"/>
        <filter val="See FMVSS S5.8.2(a)"/>
        <filter val="See FMVSS S5.8.2(a)(1)"/>
        <filter val="See FMVSS S5.8.2(a)(1)(i)"/>
        <filter val="See FMVSS S5.8.2(a)(1)(ii)"/>
        <filter val="See FMVSS S5.8.2(a)(1)(iii)"/>
        <filter val="See FMVSS S5.8.2(a)(1)(iv)"/>
        <filter val="See FMVSS S5.8.2(a)(1)(v)"/>
        <filter val="See FMVSS S5.8.2(a)(2)"/>
        <filter val="See FMVSS S5.9(a)"/>
        <filter val="See FMVSS S5.9(b)"/>
        <filter val="See FMVSS S5.9(c)"/>
        <filter val="See FMVSS S5.9(d)"/>
        <filter val="See FMVSS S6"/>
        <filter val="See FMVSS S6.1"/>
        <filter val="See FMVSS S6.1.1"/>
        <filter val="See FMVSS S6.1.1(a)"/>
        <filter val="See FMVSS S6.1.1(a)(1)"/>
        <filter val="See FMVSS S6.1.1(a)(1)(i)"/>
        <filter val="See FMVSS S6.1.1(a)(1)(ii)"/>
        <filter val="See FMVSS S6.1.1(b)(1)"/>
        <filter val="See FMVSS S6.1.1(c)"/>
        <filter val="See FMVSS S6.1.1(d)(1)"/>
        <filter val="See FMVSS S6.1.1(d)(2)"/>
        <filter val="See FMVSS S6.1.1(e)"/>
        <filter val="See FMVSS S6.1.2"/>
        <filter val="See FMVSS S6.1.2(a)"/>
        <filter val="See FMVSS S6.1.2(a)(1)"/>
        <filter val="See FMVSS S6.1.2(a)(1)(i)"/>
        <filter val="See FMVSS S6.1.2(a)(1)(i)(A)"/>
        <filter val="See FMVSS S6.1.2(a)(1)(i)(B)"/>
        <filter val="See FMVSS S6.1.2(a)(1)(i)(C)"/>
        <filter val="See FMVSS S6.1.2(a)(1)(i)(D)"/>
        <filter val="See FMVSS S6.1.2(a)(1)(ii)"/>
        <filter val="See FMVSS S6.1.2(a)(2)"/>
        <filter val="See FMVSS S6.1.2(b)"/>
        <filter val="See FMVSS S6.1.2(c)"/>
        <filter val="See FMVSS S6.1.2(d)"/>
        <filter val="See FMVSS S6.1.2(d)(1)"/>
        <filter val="See FMVSS S6.1.2(d)(1)(i)"/>
        <filter val="See FMVSS S6.1.2(d)(1)(ii)"/>
        <filter val="See FMVSS S6.1.2(d)(1)(iii)"/>
        <filter val="See FMVSS S6.1.2(d)(2)"/>
        <filter val="See FMVSS S6.1.2(d)(2)(i)"/>
        <filter val="See FMVSS S6.1.2(d)(2)(ii)"/>
        <filter val="See FMVSS S6.1.2(e)"/>
        <filter val="See FMVSS S6.1.2(f)"/>
        <filter val="See FMVSS S6.2"/>
        <filter val="See FMVSS S6.2.1"/>
        <filter val="See FMVSS S6.2.2"/>
        <filter val="See FMVSS S6.2.3"/>
        <filter val="See FMVSS S6.2.3(a)"/>
        <filter val="See FMVSS S6.2.4"/>
        <filter val="See FMVSS S6.3"/>
        <filter val="See FMVSS S7"/>
        <filter val="See FMVSS S7.1.1"/>
        <filter val="See FMVSS S7.1.2"/>
        <filter val="See FMVSS S7.1.2(c)"/>
        <filter val="See FMVSS S7.1.3"/>
        <filter val="See FMVSS S8"/>
        <filter val="See FMVSS S8.1"/>
        <filter val="See FMVSS S8.2"/>
        <filter val="See FMVSS S8.2.1"/>
        <filter val="See FMVSS S8.2.2"/>
        <filter val="See FMVSS S8.2.3"/>
        <filter val="See FMVSS S8.2.4"/>
        <filter val="See FMVSS S8.2.5"/>
        <filter val="See FMVSS S8.2.6"/>
        <filter val="See FMVSS S9"/>
        <filter val="See FMVSS S9.1"/>
        <filter val="See FMVSS S9.1(a)"/>
        <filter val="See FMVSS S9.1(b)"/>
        <filter val="See FMVSS S9.1(c)"/>
        <filter val="See FMVSS S9.1(d)"/>
        <filter val="See FMVSS S9.1(e)"/>
        <filter val="See FMVSS S9.1(f)"/>
        <filter val="See FMVSS S9.2"/>
        <filter val="See FMVSS S9.3"/>
        <filter val="See FMVSS S9.3.1"/>
        <filter val="See FMVSS S9.3.2"/>
      </filters>
    </filterColumn>
    <filterColumn colId="3">
      <filters>
        <filter val="North America FMVSS"/>
      </filters>
    </filterColumn>
    <sortState xmlns:xlrd2="http://schemas.microsoft.com/office/spreadsheetml/2017/richdata2" ref="B10:T1734">
      <sortCondition ref="E10:E1734"/>
      <sortCondition ref="F10:F1734"/>
      <sortCondition ref="D10:D1734"/>
    </sortState>
  </autoFilter>
  <sortState xmlns:xlrd2="http://schemas.microsoft.com/office/spreadsheetml/2017/richdata2" ref="A10:T1822">
    <sortCondition ref="E10:E1822"/>
    <sortCondition ref="D10:D1822"/>
    <sortCondition ref="B10:B1822"/>
    <sortCondition ref="C10:C1822"/>
  </sortState>
  <mergeCells count="16">
    <mergeCell ref="E3:I3"/>
    <mergeCell ref="D1:I2"/>
    <mergeCell ref="J1:J5"/>
    <mergeCell ref="L1:O1"/>
    <mergeCell ref="P1:T1"/>
    <mergeCell ref="L2:O2"/>
    <mergeCell ref="P2:T2"/>
    <mergeCell ref="L3:O3"/>
    <mergeCell ref="P3:T3"/>
    <mergeCell ref="L4:O4"/>
    <mergeCell ref="D3:D4"/>
    <mergeCell ref="P4:T4"/>
    <mergeCell ref="E5:I5"/>
    <mergeCell ref="L5:O5"/>
    <mergeCell ref="P5:T5"/>
    <mergeCell ref="E4:I4"/>
  </mergeCells>
  <phoneticPr fontId="104" type="noConversion"/>
  <conditionalFormatting sqref="R99:S100 R70:S70 D70 D73 R73:S73 R76:S76 D76 R147:S153 R156:S156 R163:S163 R102:S102 R105:S107 R84:S85 R161:S161 R165:S166 R319:S321 S53:S60 R10:R13 K911:K1508 C157:C160 C154 L154:N155 P154:S155 C155:D155 L17:N18 P17:S18 D19:D25 L23:N34 K14:K60 L40:N42 P23:S42 D35:D60 R79:S82 C79:D84 C85:C100 D85:D95 L86:N95 P86:S95 K62:K354 G84:G158 E647 R647 R658:R690 D658:D707 G642:G712 K356:K712 T658:T712 C713:D777 S691:S777 P911:S1734 L911:N1734">
    <cfRule type="expression" dxfId="270" priority="326" stopIfTrue="1">
      <formula>#REF!="NO"</formula>
    </cfRule>
  </conditionalFormatting>
  <conditionalFormatting sqref="G161:G162 G496:G500 G319:G320 G324:G353 G426:G437">
    <cfRule type="expression" dxfId="269" priority="327" stopIfTrue="1">
      <formula>#REF!="NO"</formula>
    </cfRule>
  </conditionalFormatting>
  <conditionalFormatting sqref="C780">
    <cfRule type="expression" dxfId="268" priority="324" stopIfTrue="1">
      <formula>#REF!="NO"</formula>
    </cfRule>
  </conditionalFormatting>
  <conditionalFormatting sqref="E19:E22 E591:E597 E602:E607 E612 E614:E615 E617 E619 E621 E623 E625:E626 E629:E635 E637:E638 E643:E644 E649 E651:E652">
    <cfRule type="expression" dxfId="267" priority="323" stopIfTrue="1">
      <formula>#REF!="NO"</formula>
    </cfRule>
  </conditionalFormatting>
  <conditionalFormatting sqref="D105:D107 D99:D102">
    <cfRule type="expression" dxfId="266" priority="325" stopIfTrue="1">
      <formula>#REF!="NO"</formula>
    </cfRule>
  </conditionalFormatting>
  <conditionalFormatting sqref="P19:Q22">
    <cfRule type="expression" dxfId="265" priority="321" stopIfTrue="1">
      <formula>#REF!="NO"</formula>
    </cfRule>
  </conditionalFormatting>
  <conditionalFormatting sqref="S300 S19:S22 S591:S597 S602:S607 S612 S614:S615 S625:S626 S623 S621 S619 S617 S629:S635 S637:S638 S643:S644">
    <cfRule type="expression" dxfId="264" priority="320" stopIfTrue="1">
      <formula>#REF!="NO"</formula>
    </cfRule>
  </conditionalFormatting>
  <conditionalFormatting sqref="S408 S412">
    <cfRule type="iconSet" priority="319">
      <iconSet iconSet="3Symbols2" showValue="0">
        <cfvo type="percent" val="0"/>
        <cfvo type="percent" val="33"/>
        <cfvo type="percent" val="67"/>
      </iconSet>
    </cfRule>
  </conditionalFormatting>
  <conditionalFormatting sqref="S96:S98 S414:S441 S514:S588">
    <cfRule type="expression" dxfId="263" priority="317" stopIfTrue="1">
      <formula>#REF!="NO"</formula>
    </cfRule>
  </conditionalFormatting>
  <conditionalFormatting sqref="S780">
    <cfRule type="expression" dxfId="262" priority="316" stopIfTrue="1">
      <formula>#REF!="NO"</formula>
    </cfRule>
  </conditionalFormatting>
  <conditionalFormatting sqref="S904">
    <cfRule type="iconSet" priority="315">
      <iconSet iconSet="3Symbols2" showValue="0">
        <cfvo type="percent" val="0"/>
        <cfvo type="percent" val="33"/>
        <cfvo type="percent" val="67"/>
      </iconSet>
    </cfRule>
  </conditionalFormatting>
  <conditionalFormatting sqref="R251:R264 R514:R588 R19:R22">
    <cfRule type="expression" dxfId="261" priority="314" stopIfTrue="1">
      <formula>#REF!="NO"</formula>
    </cfRule>
  </conditionalFormatting>
  <conditionalFormatting sqref="R591:R597 R602:R607 R612 R614:R615 R625:R626 R623 R621 R619 R617 R629:R635 R637:R638 R643:R644 R655:R656 R651:R653 R649">
    <cfRule type="expression" dxfId="260" priority="313" stopIfTrue="1">
      <formula>#REF!="NO"</formula>
    </cfRule>
  </conditionalFormatting>
  <conditionalFormatting sqref="C70 C73 C76">
    <cfRule type="expression" dxfId="259" priority="312" stopIfTrue="1">
      <formula>#REF!="NO"</formula>
    </cfRule>
  </conditionalFormatting>
  <conditionalFormatting sqref="C102">
    <cfRule type="expression" dxfId="258" priority="311" stopIfTrue="1">
      <formula>#REF!="NO"</formula>
    </cfRule>
  </conditionalFormatting>
  <conditionalFormatting sqref="C105:C107">
    <cfRule type="expression" dxfId="257" priority="310" stopIfTrue="1">
      <formula>#REF!="NO"</formula>
    </cfRule>
  </conditionalFormatting>
  <conditionalFormatting sqref="C147:C153 C156 C161">
    <cfRule type="expression" dxfId="256" priority="309" stopIfTrue="1">
      <formula>#REF!="NO"</formula>
    </cfRule>
  </conditionalFormatting>
  <conditionalFormatting sqref="S296 S266:S268 S277 S294 S298:S299 S279:S281">
    <cfRule type="iconSet" priority="330">
      <iconSet iconSet="3Symbols2" showValue="0">
        <cfvo type="percent" val="0"/>
        <cfvo type="percent" val="33"/>
        <cfvo type="percent" val="67"/>
      </iconSet>
    </cfRule>
  </conditionalFormatting>
  <conditionalFormatting sqref="H325">
    <cfRule type="expression" dxfId="255" priority="308" stopIfTrue="1">
      <formula>#REF!="NO"</formula>
    </cfRule>
  </conditionalFormatting>
  <conditionalFormatting sqref="C333">
    <cfRule type="expression" dxfId="254" priority="307" stopIfTrue="1">
      <formula>#REF!="NO"</formula>
    </cfRule>
  </conditionalFormatting>
  <conditionalFormatting sqref="C338:C339">
    <cfRule type="expression" dxfId="253" priority="306" stopIfTrue="1">
      <formula>#REF!="NO"</formula>
    </cfRule>
  </conditionalFormatting>
  <conditionalFormatting sqref="S442">
    <cfRule type="iconSet" priority="331">
      <iconSet iconSet="3Symbols2" showValue="0">
        <cfvo type="percent" val="0"/>
        <cfvo type="percent" val="33"/>
        <cfvo type="percent" val="67"/>
      </iconSet>
    </cfRule>
  </conditionalFormatting>
  <conditionalFormatting sqref="D780">
    <cfRule type="expression" dxfId="252" priority="304" stopIfTrue="1">
      <formula>#REF!="NO"</formula>
    </cfRule>
  </conditionalFormatting>
  <conditionalFormatting sqref="L330:N330 C326:C330 Q330:S330">
    <cfRule type="expression" dxfId="251" priority="227" stopIfTrue="1">
      <formula>#REF!="NO"</formula>
    </cfRule>
  </conditionalFormatting>
  <conditionalFormatting sqref="H330">
    <cfRule type="expression" dxfId="250" priority="226" stopIfTrue="1">
      <formula>#REF!="NO"</formula>
    </cfRule>
  </conditionalFormatting>
  <conditionalFormatting sqref="S658:S662">
    <cfRule type="expression" dxfId="249" priority="184" stopIfTrue="1">
      <formula>#REF!="NO"</formula>
    </cfRule>
  </conditionalFormatting>
  <conditionalFormatting sqref="C65:D69 L64:N69 P64:S69">
    <cfRule type="expression" dxfId="248" priority="303" stopIfTrue="1">
      <formula>#REF!="NO"</formula>
    </cfRule>
  </conditionalFormatting>
  <conditionalFormatting sqref="C64:D64">
    <cfRule type="expression" dxfId="247" priority="302" stopIfTrue="1">
      <formula>#REF!="NO"</formula>
    </cfRule>
  </conditionalFormatting>
  <conditionalFormatting sqref="C71:D71 L71:N71 P71:S71 D72">
    <cfRule type="expression" dxfId="246" priority="301" stopIfTrue="1">
      <formula>#REF!="NO"</formula>
    </cfRule>
  </conditionalFormatting>
  <conditionalFormatting sqref="C74:D74 L74:N74 P74:S74">
    <cfRule type="expression" dxfId="245" priority="300" stopIfTrue="1">
      <formula>#REF!="NO"</formula>
    </cfRule>
  </conditionalFormatting>
  <conditionalFormatting sqref="C77:D77 L77:N77 P77:S77">
    <cfRule type="expression" dxfId="244" priority="299" stopIfTrue="1">
      <formula>#REF!="NO"</formula>
    </cfRule>
  </conditionalFormatting>
  <conditionalFormatting sqref="P142:S145 L142:N145 C142:C146 D141:D143 C132:D140 L132:N140 P132:S140">
    <cfRule type="expression" dxfId="243" priority="298" stopIfTrue="1">
      <formula>#REF!="NO"</formula>
    </cfRule>
  </conditionalFormatting>
  <conditionalFormatting sqref="L157:N158 P157:S158">
    <cfRule type="expression" dxfId="242" priority="295" stopIfTrue="1">
      <formula>#REF!="NO"</formula>
    </cfRule>
  </conditionalFormatting>
  <conditionalFormatting sqref="D157:D158">
    <cfRule type="expression" dxfId="241" priority="294" stopIfTrue="1">
      <formula>#REF!="NO"</formula>
    </cfRule>
  </conditionalFormatting>
  <conditionalFormatting sqref="L162:N162 P162:S162 C162:C170">
    <cfRule type="expression" dxfId="240" priority="293" stopIfTrue="1">
      <formula>#REF!="NO"</formula>
    </cfRule>
  </conditionalFormatting>
  <conditionalFormatting sqref="D162">
    <cfRule type="expression" dxfId="239" priority="292" stopIfTrue="1">
      <formula>#REF!="NO"</formula>
    </cfRule>
  </conditionalFormatting>
  <conditionalFormatting sqref="L167:N167 P167:S167">
    <cfRule type="expression" dxfId="238" priority="291" stopIfTrue="1">
      <formula>#REF!="NO"</formula>
    </cfRule>
  </conditionalFormatting>
  <conditionalFormatting sqref="D167">
    <cfRule type="expression" dxfId="237" priority="290" stopIfTrue="1">
      <formula>#REF!="NO"</formula>
    </cfRule>
  </conditionalFormatting>
  <conditionalFormatting sqref="C108:C110">
    <cfRule type="expression" dxfId="236" priority="283" stopIfTrue="1">
      <formula>#REF!="NO"</formula>
    </cfRule>
  </conditionalFormatting>
  <conditionalFormatting sqref="L111:N119 P111:S119">
    <cfRule type="expression" dxfId="235" priority="286" stopIfTrue="1">
      <formula>#REF!="NO"</formula>
    </cfRule>
  </conditionalFormatting>
  <conditionalFormatting sqref="C111:C123">
    <cfRule type="expression" dxfId="234" priority="285" stopIfTrue="1">
      <formula>#REF!="NO"</formula>
    </cfRule>
  </conditionalFormatting>
  <conditionalFormatting sqref="D108:D110 L108:N110 P108:S110">
    <cfRule type="expression" dxfId="233" priority="284" stopIfTrue="1">
      <formula>#REF!="NO"</formula>
    </cfRule>
  </conditionalFormatting>
  <conditionalFormatting sqref="L172:N172 P172:S172">
    <cfRule type="expression" dxfId="232" priority="282" stopIfTrue="1">
      <formula>#REF!="NO"</formula>
    </cfRule>
  </conditionalFormatting>
  <conditionalFormatting sqref="L174:N174 P174:S174">
    <cfRule type="expression" dxfId="231" priority="281" stopIfTrue="1">
      <formula>#REF!="NO"</formula>
    </cfRule>
  </conditionalFormatting>
  <conditionalFormatting sqref="L176:N176 P176:S176">
    <cfRule type="expression" dxfId="230" priority="280" stopIfTrue="1">
      <formula>#REF!="NO"</formula>
    </cfRule>
  </conditionalFormatting>
  <conditionalFormatting sqref="L178:N178 P178:S178">
    <cfRule type="expression" dxfId="229" priority="279" stopIfTrue="1">
      <formula>#REF!="NO"</formula>
    </cfRule>
  </conditionalFormatting>
  <conditionalFormatting sqref="L182:N182 P182:S182">
    <cfRule type="expression" dxfId="228" priority="278" stopIfTrue="1">
      <formula>#REF!="NO"</formula>
    </cfRule>
  </conditionalFormatting>
  <conditionalFormatting sqref="P184:S184 L184:N184">
    <cfRule type="expression" dxfId="227" priority="277" stopIfTrue="1">
      <formula>#REF!="NO"</formula>
    </cfRule>
  </conditionalFormatting>
  <conditionalFormatting sqref="P186:S186 L186:N186">
    <cfRule type="expression" dxfId="226" priority="276" stopIfTrue="1">
      <formula>#REF!="NO"</formula>
    </cfRule>
  </conditionalFormatting>
  <conditionalFormatting sqref="P188:S188 L188:N188">
    <cfRule type="expression" dxfId="225" priority="275" stopIfTrue="1">
      <formula>#REF!="NO"</formula>
    </cfRule>
  </conditionalFormatting>
  <conditionalFormatting sqref="D215 D218:D220 P191:S220 L191:N220">
    <cfRule type="expression" dxfId="224" priority="274" stopIfTrue="1">
      <formula>#REF!="NO"</formula>
    </cfRule>
  </conditionalFormatting>
  <conditionalFormatting sqref="L181:N181 P181:S181">
    <cfRule type="expression" dxfId="223" priority="273" stopIfTrue="1">
      <formula>#REF!="NO"</formula>
    </cfRule>
  </conditionalFormatting>
  <conditionalFormatting sqref="P269:S270 L269:N270 D269:D270">
    <cfRule type="expression" dxfId="222" priority="272" stopIfTrue="1">
      <formula>#REF!="NO"</formula>
    </cfRule>
  </conditionalFormatting>
  <conditionalFormatting sqref="P271:S276 L271:N276">
    <cfRule type="expression" dxfId="221" priority="271" stopIfTrue="1">
      <formula>#REF!="NO"</formula>
    </cfRule>
  </conditionalFormatting>
  <conditionalFormatting sqref="P282:S283 L282:N283 L290:N292 P290:S292 D282:D289">
    <cfRule type="expression" dxfId="220" priority="270" stopIfTrue="1">
      <formula>#REF!="NO"</formula>
    </cfRule>
  </conditionalFormatting>
  <conditionalFormatting sqref="P293:S293 L293:N293">
    <cfRule type="expression" dxfId="219" priority="269" stopIfTrue="1">
      <formula>#REF!="NO"</formula>
    </cfRule>
  </conditionalFormatting>
  <conditionalFormatting sqref="P295:S295 L295:N295">
    <cfRule type="expression" dxfId="218" priority="268" stopIfTrue="1">
      <formula>#REF!="NO"</formula>
    </cfRule>
  </conditionalFormatting>
  <conditionalFormatting sqref="D27:D30 D34">
    <cfRule type="expression" dxfId="217" priority="265" stopIfTrue="1">
      <formula>#REF!="NO"</formula>
    </cfRule>
  </conditionalFormatting>
  <conditionalFormatting sqref="P44:S52 L44:N52">
    <cfRule type="expression" dxfId="216" priority="264" stopIfTrue="1">
      <formula>#REF!="NO"</formula>
    </cfRule>
  </conditionalFormatting>
  <conditionalFormatting sqref="L466:N466 P466:S466">
    <cfRule type="expression" dxfId="215" priority="263" stopIfTrue="1">
      <formula>#REF!="NO"</formula>
    </cfRule>
  </conditionalFormatting>
  <conditionalFormatting sqref="P468:S468 L468:N468 D468">
    <cfRule type="expression" dxfId="214" priority="262" stopIfTrue="1">
      <formula>#REF!="NO"</formula>
    </cfRule>
  </conditionalFormatting>
  <conditionalFormatting sqref="D470:D473 D475:D476 P470:S476 L470:N476 C466:C495">
    <cfRule type="expression" dxfId="213" priority="261" stopIfTrue="1">
      <formula>#REF!="NO"</formula>
    </cfRule>
  </conditionalFormatting>
  <conditionalFormatting sqref="D479:D481 P478:S481 L478:N481">
    <cfRule type="expression" dxfId="212" priority="260" stopIfTrue="1">
      <formula>#REF!="NO"</formula>
    </cfRule>
  </conditionalFormatting>
  <conditionalFormatting sqref="P483:S484 L483:N484 D483:D484">
    <cfRule type="expression" dxfId="211" priority="259" stopIfTrue="1">
      <formula>#REF!="NO"</formula>
    </cfRule>
  </conditionalFormatting>
  <conditionalFormatting sqref="D488:D489 C496:D500 P488:S513 L488:N513 D491:D495 D501:D513">
    <cfRule type="expression" dxfId="210" priority="258" stopIfTrue="1">
      <formula>#REF!="NO"</formula>
    </cfRule>
  </conditionalFormatting>
  <conditionalFormatting sqref="D590 L590:N590 P590:S590">
    <cfRule type="expression" dxfId="209" priority="257" stopIfTrue="1">
      <formula>#REF!="NO"</formula>
    </cfRule>
  </conditionalFormatting>
  <conditionalFormatting sqref="P598:S601 L598:N601 D598:D601">
    <cfRule type="expression" dxfId="208" priority="256" stopIfTrue="1">
      <formula>#REF!="NO"</formula>
    </cfRule>
  </conditionalFormatting>
  <conditionalFormatting sqref="P608:S611 L608:N611">
    <cfRule type="expression" dxfId="207" priority="255" stopIfTrue="1">
      <formula>#REF!="NO"</formula>
    </cfRule>
  </conditionalFormatting>
  <conditionalFormatting sqref="L613:N613 P613:S613">
    <cfRule type="expression" dxfId="206" priority="254" stopIfTrue="1">
      <formula>#REF!="NO"</formula>
    </cfRule>
  </conditionalFormatting>
  <conditionalFormatting sqref="L624:N624 P624:S624">
    <cfRule type="expression" dxfId="205" priority="253" stopIfTrue="1">
      <formula>#REF!="NO"</formula>
    </cfRule>
  </conditionalFormatting>
  <conditionalFormatting sqref="L622:N622 P622:S622">
    <cfRule type="expression" dxfId="204" priority="252" stopIfTrue="1">
      <formula>#REF!="NO"</formula>
    </cfRule>
  </conditionalFormatting>
  <conditionalFormatting sqref="L620:N620 P620:S620">
    <cfRule type="expression" dxfId="203" priority="251" stopIfTrue="1">
      <formula>#REF!="NO"</formula>
    </cfRule>
  </conditionalFormatting>
  <conditionalFormatting sqref="L618:N618 P618:S618">
    <cfRule type="expression" dxfId="202" priority="250" stopIfTrue="1">
      <formula>#REF!="NO"</formula>
    </cfRule>
  </conditionalFormatting>
  <conditionalFormatting sqref="L616:N616 P616:S616">
    <cfRule type="expression" dxfId="201" priority="249" stopIfTrue="1">
      <formula>#REF!="NO"</formula>
    </cfRule>
  </conditionalFormatting>
  <conditionalFormatting sqref="P627:S628 L627:N628">
    <cfRule type="expression" dxfId="200" priority="248" stopIfTrue="1">
      <formula>#REF!="NO"</formula>
    </cfRule>
  </conditionalFormatting>
  <conditionalFormatting sqref="P636:S636 L636:N636">
    <cfRule type="expression" dxfId="199" priority="247" stopIfTrue="1">
      <formula>#REF!="NO"</formula>
    </cfRule>
  </conditionalFormatting>
  <conditionalFormatting sqref="L639:N641 P639:S641">
    <cfRule type="expression" dxfId="198" priority="246" stopIfTrue="1">
      <formula>#REF!="NO"</formula>
    </cfRule>
  </conditionalFormatting>
  <conditionalFormatting sqref="L642:N642 P642:S642">
    <cfRule type="expression" dxfId="197" priority="245" stopIfTrue="1">
      <formula>#REF!="NO"</formula>
    </cfRule>
  </conditionalFormatting>
  <conditionalFormatting sqref="L645:N645 P645:S645">
    <cfRule type="expression" dxfId="196" priority="243" stopIfTrue="1">
      <formula>#REF!="NO"</formula>
    </cfRule>
  </conditionalFormatting>
  <conditionalFormatting sqref="L646:N646 P646:S646">
    <cfRule type="expression" dxfId="195" priority="242" stopIfTrue="1">
      <formula>#REF!="NO"</formula>
    </cfRule>
  </conditionalFormatting>
  <conditionalFormatting sqref="C657:D657 L657:N657 P657:S657">
    <cfRule type="expression" dxfId="194" priority="241" stopIfTrue="1">
      <formula>#REF!="NO"</formula>
    </cfRule>
  </conditionalFormatting>
  <conditionalFormatting sqref="C654:D654 L654:N654 P654:S654">
    <cfRule type="expression" dxfId="193" priority="240" stopIfTrue="1">
      <formula>#REF!="NO"</formula>
    </cfRule>
  </conditionalFormatting>
  <conditionalFormatting sqref="L650:N650 P650:S650">
    <cfRule type="expression" dxfId="192" priority="239" stopIfTrue="1">
      <formula>#REF!="NO"</formula>
    </cfRule>
  </conditionalFormatting>
  <conditionalFormatting sqref="L648:N648 P648:S648">
    <cfRule type="expression" dxfId="191" priority="238" stopIfTrue="1">
      <formula>#REF!="NO"</formula>
    </cfRule>
  </conditionalFormatting>
  <conditionalFormatting sqref="P449:S450 L449:N450 D449:D450">
    <cfRule type="expression" dxfId="190" priority="233" stopIfTrue="1">
      <formula>#REF!="NO"</formula>
    </cfRule>
  </conditionalFormatting>
  <conditionalFormatting sqref="P453:S454 L453:N454 D453:D454">
    <cfRule type="expression" dxfId="189" priority="232" stopIfTrue="1">
      <formula>#REF!="NO"</formula>
    </cfRule>
  </conditionalFormatting>
  <conditionalFormatting sqref="P456:S456 L456:N456 D456">
    <cfRule type="expression" dxfId="188" priority="231" stopIfTrue="1">
      <formula>#REF!="NO"</formula>
    </cfRule>
  </conditionalFormatting>
  <conditionalFormatting sqref="P459:S460 L459:N460 D459:D460">
    <cfRule type="expression" dxfId="187" priority="230" stopIfTrue="1">
      <formula>#REF!="NO"</formula>
    </cfRule>
  </conditionalFormatting>
  <conditionalFormatting sqref="P323:S323 L323:N323 C323:D323">
    <cfRule type="expression" dxfId="186" priority="229" stopIfTrue="1">
      <formula>#REF!="NO"</formula>
    </cfRule>
  </conditionalFormatting>
  <conditionalFormatting sqref="P326:S329 L326:N329 D326:D329">
    <cfRule type="expression" dxfId="185" priority="228" stopIfTrue="1">
      <formula>#REF!="NO"</formula>
    </cfRule>
  </conditionalFormatting>
  <conditionalFormatting sqref="L332:N332 D332 P332:S332">
    <cfRule type="expression" dxfId="184" priority="225" stopIfTrue="1">
      <formula>#REF!="NO"</formula>
    </cfRule>
  </conditionalFormatting>
  <conditionalFormatting sqref="L334:N337 C334:D337 P334:S337">
    <cfRule type="expression" dxfId="183" priority="224" stopIfTrue="1">
      <formula>#REF!="NO"</formula>
    </cfRule>
  </conditionalFormatting>
  <conditionalFormatting sqref="L340:N340 C340:D340 P340:S340">
    <cfRule type="expression" dxfId="182" priority="223" stopIfTrue="1">
      <formula>#REF!="NO"</formula>
    </cfRule>
  </conditionalFormatting>
  <conditionalFormatting sqref="L342:N342 D342 P342:S342">
    <cfRule type="expression" dxfId="181" priority="222" stopIfTrue="1">
      <formula>#REF!="NO"</formula>
    </cfRule>
  </conditionalFormatting>
  <conditionalFormatting sqref="L344:N344 D344 P344:S344">
    <cfRule type="expression" dxfId="180" priority="221" stopIfTrue="1">
      <formula>#REF!="NO"</formula>
    </cfRule>
  </conditionalFormatting>
  <conditionalFormatting sqref="L348:N352 D348:D352 P348:S352">
    <cfRule type="expression" dxfId="179" priority="220" stopIfTrue="1">
      <formula>#REF!="NO"</formula>
    </cfRule>
  </conditionalFormatting>
  <conditionalFormatting sqref="L361:N361 D361 P361:S361">
    <cfRule type="expression" dxfId="178" priority="219" stopIfTrue="1">
      <formula>#REF!="NO"</formula>
    </cfRule>
  </conditionalFormatting>
  <conditionalFormatting sqref="L389:N389 D389 P389:S389">
    <cfRule type="expression" dxfId="177" priority="199" stopIfTrue="1">
      <formula>#REF!="NO"</formula>
    </cfRule>
  </conditionalFormatting>
  <conditionalFormatting sqref="L363:N363 D363 P363:S363">
    <cfRule type="expression" dxfId="176" priority="217" stopIfTrue="1">
      <formula>#REF!="NO"</formula>
    </cfRule>
  </conditionalFormatting>
  <conditionalFormatting sqref="L385:N385 D385 P385:S385">
    <cfRule type="expression" dxfId="175" priority="197" stopIfTrue="1">
      <formula>#REF!="NO"</formula>
    </cfRule>
  </conditionalFormatting>
  <conditionalFormatting sqref="L365:N365 D365 P365:S365">
    <cfRule type="expression" dxfId="174" priority="215" stopIfTrue="1">
      <formula>#REF!="NO"</formula>
    </cfRule>
  </conditionalFormatting>
  <conditionalFormatting sqref="L381:N381 D381 P381:S381">
    <cfRule type="expression" dxfId="173" priority="195" stopIfTrue="1">
      <formula>#REF!="NO"</formula>
    </cfRule>
  </conditionalFormatting>
  <conditionalFormatting sqref="L367:N367 D367 P367:S367">
    <cfRule type="expression" dxfId="172" priority="213" stopIfTrue="1">
      <formula>#REF!="NO"</formula>
    </cfRule>
  </conditionalFormatting>
  <conditionalFormatting sqref="P401:S401 L401:N401 D401">
    <cfRule type="expression" dxfId="171" priority="193" stopIfTrue="1">
      <formula>#REF!="NO"</formula>
    </cfRule>
  </conditionalFormatting>
  <conditionalFormatting sqref="L369:N369 D369 P369:S369">
    <cfRule type="expression" dxfId="170" priority="211" stopIfTrue="1">
      <formula>#REF!="NO"</formula>
    </cfRule>
  </conditionalFormatting>
  <conditionalFormatting sqref="P405:S405 L405:N405 D405">
    <cfRule type="expression" dxfId="169" priority="191" stopIfTrue="1">
      <formula>#REF!="NO"</formula>
    </cfRule>
  </conditionalFormatting>
  <conditionalFormatting sqref="L370:N371 P370:S371 D370:D371">
    <cfRule type="expression" dxfId="168" priority="209" stopIfTrue="1">
      <formula>#REF!="NO"</formula>
    </cfRule>
  </conditionalFormatting>
  <conditionalFormatting sqref="P409:S409 L409:N409 D409">
    <cfRule type="expression" dxfId="167" priority="189" stopIfTrue="1">
      <formula>#REF!="NO"</formula>
    </cfRule>
  </conditionalFormatting>
  <conditionalFormatting sqref="L373:N373 D373 P373:S373">
    <cfRule type="expression" dxfId="166" priority="207" stopIfTrue="1">
      <formula>#REF!="NO"</formula>
    </cfRule>
  </conditionalFormatting>
  <conditionalFormatting sqref="L375:N375 D375 P375:S375">
    <cfRule type="expression" dxfId="165" priority="206" stopIfTrue="1">
      <formula>#REF!="NO"</formula>
    </cfRule>
  </conditionalFormatting>
  <conditionalFormatting sqref="L377:N377 D377 P377:S377">
    <cfRule type="expression" dxfId="164" priority="205" stopIfTrue="1">
      <formula>#REF!="NO"</formula>
    </cfRule>
  </conditionalFormatting>
  <conditionalFormatting sqref="L399:N399 D399 P399:S399">
    <cfRule type="expression" dxfId="163" priority="204" stopIfTrue="1">
      <formula>#REF!="NO"</formula>
    </cfRule>
  </conditionalFormatting>
  <conditionalFormatting sqref="L397:N397 D397 P397:S397">
    <cfRule type="expression" dxfId="162" priority="203" stopIfTrue="1">
      <formula>#REF!="NO"</formula>
    </cfRule>
  </conditionalFormatting>
  <conditionalFormatting sqref="L395:N395 D395 P395:S395">
    <cfRule type="expression" dxfId="161" priority="202" stopIfTrue="1">
      <formula>#REF!="NO"</formula>
    </cfRule>
  </conditionalFormatting>
  <conditionalFormatting sqref="L393:N393 D393 P393:S393">
    <cfRule type="expression" dxfId="160" priority="201" stopIfTrue="1">
      <formula>#REF!="NO"</formula>
    </cfRule>
  </conditionalFormatting>
  <conditionalFormatting sqref="L391:N391 D391 P391:S391">
    <cfRule type="expression" dxfId="159" priority="200" stopIfTrue="1">
      <formula>#REF!="NO"</formula>
    </cfRule>
  </conditionalFormatting>
  <conditionalFormatting sqref="L387:N387 D387 P387:S387">
    <cfRule type="expression" dxfId="158" priority="198" stopIfTrue="1">
      <formula>#REF!="NO"</formula>
    </cfRule>
  </conditionalFormatting>
  <conditionalFormatting sqref="L383:N383 D383 P383:S383">
    <cfRule type="expression" dxfId="157" priority="196" stopIfTrue="1">
      <formula>#REF!="NO"</formula>
    </cfRule>
  </conditionalFormatting>
  <conditionalFormatting sqref="L379:N379 P379:S379">
    <cfRule type="expression" dxfId="156" priority="194" stopIfTrue="1">
      <formula>#REF!="NO"</formula>
    </cfRule>
  </conditionalFormatting>
  <conditionalFormatting sqref="P403:S403 L403:N403 D403">
    <cfRule type="expression" dxfId="155" priority="192" stopIfTrue="1">
      <formula>#REF!="NO"</formula>
    </cfRule>
  </conditionalFormatting>
  <conditionalFormatting sqref="P407:S407 L407:N407 D407">
    <cfRule type="expression" dxfId="154" priority="190" stopIfTrue="1">
      <formula>#REF!="NO"</formula>
    </cfRule>
  </conditionalFormatting>
  <conditionalFormatting sqref="P410:S410 L410:N410 D410">
    <cfRule type="expression" dxfId="153" priority="188" stopIfTrue="1">
      <formula>#REF!="NO"</formula>
    </cfRule>
  </conditionalFormatting>
  <conditionalFormatting sqref="P411:S411 L411:N411 D411">
    <cfRule type="expression" dxfId="152" priority="187" stopIfTrue="1">
      <formula>#REF!="NO"</formula>
    </cfRule>
  </conditionalFormatting>
  <conditionalFormatting sqref="P413:S413 L413:N413 D413">
    <cfRule type="expression" dxfId="151" priority="186" stopIfTrue="1">
      <formula>#REF!="NO"</formula>
    </cfRule>
  </conditionalFormatting>
  <conditionalFormatting sqref="P461:S464 L461:N464 D461:D464">
    <cfRule type="expression" dxfId="150" priority="185" stopIfTrue="1">
      <formula>#REF!="NO"</formula>
    </cfRule>
  </conditionalFormatting>
  <conditionalFormatting sqref="S322 S324:S325 S331 S333 S338:S339 S341 S343 S345:S346">
    <cfRule type="iconSet" priority="332">
      <iconSet iconSet="3Symbols2" showValue="0">
        <cfvo type="percent" val="0"/>
        <cfvo type="percent" val="33"/>
        <cfvo type="percent" val="67"/>
      </iconSet>
    </cfRule>
  </conditionalFormatting>
  <conditionalFormatting sqref="L43:N43 P43 R43:S43">
    <cfRule type="expression" dxfId="149" priority="181" stopIfTrue="1">
      <formula>#REF!="NO"</formula>
    </cfRule>
  </conditionalFormatting>
  <conditionalFormatting sqref="Q43">
    <cfRule type="expression" dxfId="148" priority="180" stopIfTrue="1">
      <formula>#REF!="NO"</formula>
    </cfRule>
  </conditionalFormatting>
  <conditionalFormatting sqref="L72:N72 P72 R72:S72">
    <cfRule type="expression" dxfId="147" priority="179" stopIfTrue="1">
      <formula>#REF!="NO"</formula>
    </cfRule>
  </conditionalFormatting>
  <conditionalFormatting sqref="C72">
    <cfRule type="expression" dxfId="146" priority="178" stopIfTrue="1">
      <formula>#REF!="NO"</formula>
    </cfRule>
  </conditionalFormatting>
  <conditionalFormatting sqref="Q72">
    <cfRule type="expression" dxfId="145" priority="177" stopIfTrue="1">
      <formula>#REF!="NO"</formula>
    </cfRule>
  </conditionalFormatting>
  <conditionalFormatting sqref="L75:N75 P75 R75:S75">
    <cfRule type="expression" dxfId="144" priority="176" stopIfTrue="1">
      <formula>#REF!="NO"</formula>
    </cfRule>
  </conditionalFormatting>
  <conditionalFormatting sqref="C75">
    <cfRule type="expression" dxfId="143" priority="175" stopIfTrue="1">
      <formula>#REF!="NO"</formula>
    </cfRule>
  </conditionalFormatting>
  <conditionalFormatting sqref="Q75">
    <cfRule type="expression" dxfId="142" priority="174" stopIfTrue="1">
      <formula>#REF!="NO"</formula>
    </cfRule>
  </conditionalFormatting>
  <conditionalFormatting sqref="L78:N78 P78 R78:S78">
    <cfRule type="expression" dxfId="141" priority="173" stopIfTrue="1">
      <formula>#REF!="NO"</formula>
    </cfRule>
  </conditionalFormatting>
  <conditionalFormatting sqref="C78">
    <cfRule type="expression" dxfId="140" priority="172" stopIfTrue="1">
      <formula>#REF!="NO"</formula>
    </cfRule>
  </conditionalFormatting>
  <conditionalFormatting sqref="Q78">
    <cfRule type="expression" dxfId="139" priority="171" stopIfTrue="1">
      <formula>#REF!="NO"</formula>
    </cfRule>
  </conditionalFormatting>
  <conditionalFormatting sqref="L101:N101 P101 R101:S101">
    <cfRule type="expression" dxfId="138" priority="170" stopIfTrue="1">
      <formula>#REF!="NO"</formula>
    </cfRule>
  </conditionalFormatting>
  <conditionalFormatting sqref="C101">
    <cfRule type="expression" dxfId="137" priority="169" stopIfTrue="1">
      <formula>#REF!="NO"</formula>
    </cfRule>
  </conditionalFormatting>
  <conditionalFormatting sqref="Q101">
    <cfRule type="expression" dxfId="136" priority="168" stopIfTrue="1">
      <formula>#REF!="NO"</formula>
    </cfRule>
  </conditionalFormatting>
  <conditionalFormatting sqref="L103:N103 P103 R103:S103">
    <cfRule type="expression" dxfId="135" priority="167" stopIfTrue="1">
      <formula>#REF!="NO"</formula>
    </cfRule>
  </conditionalFormatting>
  <conditionalFormatting sqref="C103">
    <cfRule type="expression" dxfId="134" priority="166" stopIfTrue="1">
      <formula>#REF!="NO"</formula>
    </cfRule>
  </conditionalFormatting>
  <conditionalFormatting sqref="Q103">
    <cfRule type="expression" dxfId="133" priority="165" stopIfTrue="1">
      <formula>#REF!="NO"</formula>
    </cfRule>
  </conditionalFormatting>
  <conditionalFormatting sqref="L104:N104 P104 R104:S104">
    <cfRule type="expression" dxfId="132" priority="164" stopIfTrue="1">
      <formula>#REF!="NO"</formula>
    </cfRule>
  </conditionalFormatting>
  <conditionalFormatting sqref="C104">
    <cfRule type="expression" dxfId="131" priority="163" stopIfTrue="1">
      <formula>#REF!="NO"</formula>
    </cfRule>
  </conditionalFormatting>
  <conditionalFormatting sqref="Q104">
    <cfRule type="expression" dxfId="130" priority="162" stopIfTrue="1">
      <formula>#REF!="NO"</formula>
    </cfRule>
  </conditionalFormatting>
  <conditionalFormatting sqref="L141:N141 P141 R141:S141">
    <cfRule type="expression" dxfId="129" priority="161" stopIfTrue="1">
      <formula>#REF!="NO"</formula>
    </cfRule>
  </conditionalFormatting>
  <conditionalFormatting sqref="C141">
    <cfRule type="expression" dxfId="128" priority="160" stopIfTrue="1">
      <formula>#REF!="NO"</formula>
    </cfRule>
  </conditionalFormatting>
  <conditionalFormatting sqref="Q141">
    <cfRule type="expression" dxfId="127" priority="159" stopIfTrue="1">
      <formula>#REF!="NO"</formula>
    </cfRule>
  </conditionalFormatting>
  <conditionalFormatting sqref="L120:N126 P120:P126 R120:S126">
    <cfRule type="expression" dxfId="126" priority="158" stopIfTrue="1">
      <formula>#REF!="NO"</formula>
    </cfRule>
  </conditionalFormatting>
  <conditionalFormatting sqref="C124:C126">
    <cfRule type="expression" dxfId="125" priority="157" stopIfTrue="1">
      <formula>#REF!="NO"</formula>
    </cfRule>
  </conditionalFormatting>
  <conditionalFormatting sqref="Q120:Q126">
    <cfRule type="expression" dxfId="124" priority="156" stopIfTrue="1">
      <formula>#REF!="NO"</formula>
    </cfRule>
  </conditionalFormatting>
  <conditionalFormatting sqref="L284:N289 P284:P289 R284:S289">
    <cfRule type="expression" dxfId="123" priority="155" stopIfTrue="1">
      <formula>#REF!="NO"</formula>
    </cfRule>
  </conditionalFormatting>
  <conditionalFormatting sqref="Q284:Q289">
    <cfRule type="expression" dxfId="122" priority="154" stopIfTrue="1">
      <formula>#REF!="NO"</formula>
    </cfRule>
  </conditionalFormatting>
  <conditionalFormatting sqref="L297:N297 P297 R297:S297">
    <cfRule type="expression" dxfId="121" priority="153" stopIfTrue="1">
      <formula>#REF!="NO"</formula>
    </cfRule>
  </conditionalFormatting>
  <conditionalFormatting sqref="Q297">
    <cfRule type="expression" dxfId="120" priority="152" stopIfTrue="1">
      <formula>#REF!="NO"</formula>
    </cfRule>
  </conditionalFormatting>
  <conditionalFormatting sqref="L83:N83">
    <cfRule type="expression" dxfId="119" priority="149" stopIfTrue="1">
      <formula>#REF!="NO"</formula>
    </cfRule>
  </conditionalFormatting>
  <conditionalFormatting sqref="S83">
    <cfRule type="expression" dxfId="118" priority="148" stopIfTrue="1">
      <formula>#REF!="NO"</formula>
    </cfRule>
  </conditionalFormatting>
  <conditionalFormatting sqref="R83">
    <cfRule type="expression" dxfId="117" priority="147" stopIfTrue="1">
      <formula>#REF!="NO"</formula>
    </cfRule>
  </conditionalFormatting>
  <conditionalFormatting sqref="L146:N146">
    <cfRule type="expression" dxfId="116" priority="144" stopIfTrue="1">
      <formula>#REF!="NO"</formula>
    </cfRule>
  </conditionalFormatting>
  <conditionalFormatting sqref="S146">
    <cfRule type="expression" dxfId="115" priority="143" stopIfTrue="1">
      <formula>#REF!="NO"</formula>
    </cfRule>
  </conditionalFormatting>
  <conditionalFormatting sqref="R146">
    <cfRule type="expression" dxfId="114" priority="142" stopIfTrue="1">
      <formula>#REF!="NO"</formula>
    </cfRule>
  </conditionalFormatting>
  <conditionalFormatting sqref="L159:N159">
    <cfRule type="expression" dxfId="113" priority="139" stopIfTrue="1">
      <formula>#REF!="NO"</formula>
    </cfRule>
  </conditionalFormatting>
  <conditionalFormatting sqref="S159">
    <cfRule type="expression" dxfId="112" priority="138" stopIfTrue="1">
      <formula>#REF!="NO"</formula>
    </cfRule>
  </conditionalFormatting>
  <conditionalFormatting sqref="R159">
    <cfRule type="expression" dxfId="111" priority="137" stopIfTrue="1">
      <formula>#REF!="NO"</formula>
    </cfRule>
  </conditionalFormatting>
  <conditionalFormatting sqref="L160:N160">
    <cfRule type="expression" dxfId="110" priority="134" stopIfTrue="1">
      <formula>#REF!="NO"</formula>
    </cfRule>
  </conditionalFormatting>
  <conditionalFormatting sqref="S160">
    <cfRule type="expression" dxfId="109" priority="133" stopIfTrue="1">
      <formula>#REF!="NO"</formula>
    </cfRule>
  </conditionalFormatting>
  <conditionalFormatting sqref="R160">
    <cfRule type="expression" dxfId="108" priority="132" stopIfTrue="1">
      <formula>#REF!="NO"</formula>
    </cfRule>
  </conditionalFormatting>
  <conditionalFormatting sqref="L164:N164">
    <cfRule type="expression" dxfId="107" priority="129" stopIfTrue="1">
      <formula>#REF!="NO"</formula>
    </cfRule>
  </conditionalFormatting>
  <conditionalFormatting sqref="S164">
    <cfRule type="expression" dxfId="106" priority="128" stopIfTrue="1">
      <formula>#REF!="NO"</formula>
    </cfRule>
  </conditionalFormatting>
  <conditionalFormatting sqref="R164">
    <cfRule type="expression" dxfId="105" priority="127" stopIfTrue="1">
      <formula>#REF!="NO"</formula>
    </cfRule>
  </conditionalFormatting>
  <conditionalFormatting sqref="L445:N445">
    <cfRule type="expression" dxfId="104" priority="124" stopIfTrue="1">
      <formula>#REF!="NO"</formula>
    </cfRule>
  </conditionalFormatting>
  <conditionalFormatting sqref="S445">
    <cfRule type="expression" dxfId="103" priority="123" stopIfTrue="1">
      <formula>#REF!="NO"</formula>
    </cfRule>
  </conditionalFormatting>
  <conditionalFormatting sqref="R445">
    <cfRule type="expression" dxfId="102" priority="122" stopIfTrue="1">
      <formula>#REF!="NO"</formula>
    </cfRule>
  </conditionalFormatting>
  <conditionalFormatting sqref="L347:N347">
    <cfRule type="expression" dxfId="101" priority="119" stopIfTrue="1">
      <formula>#REF!="NO"</formula>
    </cfRule>
  </conditionalFormatting>
  <conditionalFormatting sqref="S347">
    <cfRule type="iconSet" priority="118">
      <iconSet iconSet="3Symbols2" showValue="0">
        <cfvo type="percent" val="0"/>
        <cfvo type="percent" val="33"/>
        <cfvo type="percent" val="67"/>
      </iconSet>
    </cfRule>
  </conditionalFormatting>
  <conditionalFormatting sqref="R347">
    <cfRule type="expression" dxfId="100" priority="117" stopIfTrue="1">
      <formula>#REF!="NO"</formula>
    </cfRule>
  </conditionalFormatting>
  <conditionalFormatting sqref="L278:N278">
    <cfRule type="expression" dxfId="99" priority="114" stopIfTrue="1">
      <formula>#REF!="NO"</formula>
    </cfRule>
  </conditionalFormatting>
  <conditionalFormatting sqref="S278">
    <cfRule type="iconSet" priority="113">
      <iconSet iconSet="3Symbols2" showValue="0">
        <cfvo type="percent" val="0"/>
        <cfvo type="percent" val="33"/>
        <cfvo type="percent" val="67"/>
      </iconSet>
    </cfRule>
  </conditionalFormatting>
  <conditionalFormatting sqref="R278 T301:T321 T221:T265">
    <cfRule type="expression" dxfId="98" priority="112" stopIfTrue="1">
      <formula>#REF!="NO"</formula>
    </cfRule>
  </conditionalFormatting>
  <conditionalFormatting sqref="L235:N236">
    <cfRule type="expression" dxfId="97" priority="110" stopIfTrue="1">
      <formula>#REF!="NO"</formula>
    </cfRule>
  </conditionalFormatting>
  <conditionalFormatting sqref="S235:S236">
    <cfRule type="expression" dxfId="96" priority="109" stopIfTrue="1">
      <formula>#REF!="NO"</formula>
    </cfRule>
  </conditionalFormatting>
  <conditionalFormatting sqref="L314:N318">
    <cfRule type="expression" dxfId="95" priority="107" stopIfTrue="1">
      <formula>#REF!="NO"</formula>
    </cfRule>
  </conditionalFormatting>
  <conditionalFormatting sqref="S314:S318">
    <cfRule type="expression" dxfId="94" priority="106" stopIfTrue="1">
      <formula>#REF!="NO"</formula>
    </cfRule>
  </conditionalFormatting>
  <conditionalFormatting sqref="R314:R318">
    <cfRule type="expression" dxfId="93" priority="105" stopIfTrue="1">
      <formula>#REF!="NO"</formula>
    </cfRule>
  </conditionalFormatting>
  <conditionalFormatting sqref="D75">
    <cfRule type="expression" dxfId="92" priority="104" stopIfTrue="1">
      <formula>#REF!="NO"</formula>
    </cfRule>
  </conditionalFormatting>
  <conditionalFormatting sqref="D78">
    <cfRule type="expression" dxfId="91" priority="103" stopIfTrue="1">
      <formula>#REF!="NO"</formula>
    </cfRule>
  </conditionalFormatting>
  <conditionalFormatting sqref="D103:D104">
    <cfRule type="expression" dxfId="90" priority="102" stopIfTrue="1">
      <formula>#REF!="NO"</formula>
    </cfRule>
  </conditionalFormatting>
  <conditionalFormatting sqref="D159">
    <cfRule type="expression" dxfId="89" priority="101" stopIfTrue="1">
      <formula>#REF!="NO"</formula>
    </cfRule>
  </conditionalFormatting>
  <conditionalFormatting sqref="G83">
    <cfRule type="expression" dxfId="88" priority="100" stopIfTrue="1">
      <formula>#REF!="NO"</formula>
    </cfRule>
  </conditionalFormatting>
  <conditionalFormatting sqref="E655:E660">
    <cfRule type="expression" dxfId="87" priority="51" stopIfTrue="1">
      <formula>#REF!="NO"</formula>
    </cfRule>
  </conditionalFormatting>
  <conditionalFormatting sqref="G159">
    <cfRule type="expression" dxfId="86" priority="98" stopIfTrue="1">
      <formula>#REF!="NO"</formula>
    </cfRule>
  </conditionalFormatting>
  <conditionalFormatting sqref="T414:T416 T353:T354 T96:T98 T356:T359 T53:T60">
    <cfRule type="expression" dxfId="85" priority="97" stopIfTrue="1">
      <formula>#REF!="NO"</formula>
    </cfRule>
  </conditionalFormatting>
  <conditionalFormatting sqref="T422">
    <cfRule type="expression" dxfId="84" priority="96" stopIfTrue="1">
      <formula>#REF!="NO"</formula>
    </cfRule>
  </conditionalFormatting>
  <conditionalFormatting sqref="T421">
    <cfRule type="expression" dxfId="83" priority="95" stopIfTrue="1">
      <formula>#REF!="NO"</formula>
    </cfRule>
  </conditionalFormatting>
  <conditionalFormatting sqref="T420">
    <cfRule type="expression" dxfId="82" priority="94" stopIfTrue="1">
      <formula>#REF!="NO"</formula>
    </cfRule>
  </conditionalFormatting>
  <conditionalFormatting sqref="T419">
    <cfRule type="expression" dxfId="81" priority="93" stopIfTrue="1">
      <formula>#REF!="NO"</formula>
    </cfRule>
  </conditionalFormatting>
  <conditionalFormatting sqref="T418">
    <cfRule type="expression" dxfId="80" priority="92" stopIfTrue="1">
      <formula>#REF!="NO"</formula>
    </cfRule>
  </conditionalFormatting>
  <conditionalFormatting sqref="T534:T588">
    <cfRule type="expression" dxfId="79" priority="87" stopIfTrue="1">
      <formula>#REF!="NO"</formula>
    </cfRule>
  </conditionalFormatting>
  <conditionalFormatting sqref="T417">
    <cfRule type="expression" dxfId="78" priority="91" stopIfTrue="1">
      <formula>#REF!="NO"</formula>
    </cfRule>
  </conditionalFormatting>
  <conditionalFormatting sqref="T514:T530 T423:T441">
    <cfRule type="expression" dxfId="77" priority="90" stopIfTrue="1">
      <formula>#REF!="NO"</formula>
    </cfRule>
  </conditionalFormatting>
  <conditionalFormatting sqref="T533">
    <cfRule type="expression" dxfId="76" priority="89" stopIfTrue="1">
      <formula>#REF!="NO"</formula>
    </cfRule>
  </conditionalFormatting>
  <conditionalFormatting sqref="T531:T532">
    <cfRule type="expression" dxfId="75" priority="88" stopIfTrue="1">
      <formula>#REF!="NO"</formula>
    </cfRule>
  </conditionalFormatting>
  <conditionalFormatting sqref="E650 E648 E645:E646 E639:E642 E636 E627:E628 E624 E622 E620 E618 E616 E613 E608:E611 E598:E601 E590 E488:E513 E483:E484 E478:E481 E470:E476 E468 E466 E459:E464 E456 E453:E454 E449:E450 E413 E409:E411 E407 E405 E403 E401 E399 E397 E395 E393 E391 E389 E387 E385 E383 E381 E379 E377 E375 E373 E369:E371 E367 E365 E363 E361 E348:E352 E344 E342 E340 E334:E337 E332 E326:E330 E323 E297 E295 E282:E293 E269:E276 E191:E220 E188 E186 E184 E181:E182 E178 E176 E174 E172 E167 K10:N13 E157:E162 E15:E18 E23:E27 E1515:E1641">
    <cfRule type="expression" dxfId="74" priority="80" stopIfTrue="1">
      <formula>#REF!="NO"</formula>
    </cfRule>
  </conditionalFormatting>
  <conditionalFormatting sqref="E589 E485:E487 E482 E477 E469 E467 E465 E457:E458 E455 E451:E452 E442:E448 E412 E408 E406 E404 E402 E400 E398 E396 E394 E392 E390 E388 E386 E384 E382 E380 E378 E376 E374 E372 E368 E366 E364 E362 E360 E345:E347 E343 E341 E338:E339 E333 E331 E324:E325 E322 E298:E300 E296 E294 E277:E281 E266:E268 E189:E190 E187 E185 E183 E179:E180 E177 E175 E173 E168:E171 E163:E166">
    <cfRule type="expression" dxfId="73" priority="79" stopIfTrue="1">
      <formula>#REF!="NO"</formula>
    </cfRule>
  </conditionalFormatting>
  <conditionalFormatting sqref="L61:N61">
    <cfRule type="expression" dxfId="72" priority="78" stopIfTrue="1">
      <formula>#REF!="NO"</formula>
    </cfRule>
  </conditionalFormatting>
  <conditionalFormatting sqref="J61">
    <cfRule type="expression" dxfId="71" priority="77" stopIfTrue="1">
      <formula>#REF!="NO"</formula>
    </cfRule>
  </conditionalFormatting>
  <conditionalFormatting sqref="S61 D61">
    <cfRule type="expression" dxfId="70" priority="76" stopIfTrue="1">
      <formula>#REF!="NO"</formula>
    </cfRule>
  </conditionalFormatting>
  <conditionalFormatting sqref="T61">
    <cfRule type="expression" dxfId="69" priority="75" stopIfTrue="1">
      <formula>#REF!="NO"</formula>
    </cfRule>
  </conditionalFormatting>
  <conditionalFormatting sqref="K61">
    <cfRule type="expression" dxfId="68" priority="74" stopIfTrue="1">
      <formula>#REF!="NO"</formula>
    </cfRule>
  </conditionalFormatting>
  <conditionalFormatting sqref="D355 L355:N355 S355">
    <cfRule type="expression" dxfId="67" priority="71" stopIfTrue="1">
      <formula>#REF!="NO"</formula>
    </cfRule>
  </conditionalFormatting>
  <conditionalFormatting sqref="J355">
    <cfRule type="expression" dxfId="66" priority="70" stopIfTrue="1">
      <formula>#REF!="NO"</formula>
    </cfRule>
  </conditionalFormatting>
  <conditionalFormatting sqref="T355">
    <cfRule type="expression" dxfId="65" priority="68" stopIfTrue="1">
      <formula>#REF!="NO"</formula>
    </cfRule>
  </conditionalFormatting>
  <conditionalFormatting sqref="K355">
    <cfRule type="expression" dxfId="64" priority="67" stopIfTrue="1">
      <formula>#REF!="NO"</formula>
    </cfRule>
  </conditionalFormatting>
  <conditionalFormatting sqref="C896 C858">
    <cfRule type="expression" dxfId="63" priority="66" stopIfTrue="1">
      <formula>#REF!="NO"</formula>
    </cfRule>
  </conditionalFormatting>
  <conditionalFormatting sqref="B7:D7">
    <cfRule type="containsText" dxfId="62" priority="62" operator="containsText" text="Excluded">
      <formula>NOT(ISERROR(SEARCH("Excluded",B7)))</formula>
    </cfRule>
    <cfRule type="containsText" dxfId="61" priority="63" operator="containsText" text="Included">
      <formula>NOT(ISERROR(SEARCH("Included",B7)))</formula>
    </cfRule>
  </conditionalFormatting>
  <conditionalFormatting sqref="B3">
    <cfRule type="containsText" dxfId="60" priority="61" operator="containsText" text="CHANGE DETECTED">
      <formula>NOT(ISERROR(SEARCH("CHANGE DETECTED",B3)))</formula>
    </cfRule>
  </conditionalFormatting>
  <conditionalFormatting sqref="E5:I5">
    <cfRule type="containsText" dxfId="59" priority="60" operator="containsText" text="ERROR">
      <formula>NOT(ISERROR(SEARCH("ERROR",E5)))</formula>
    </cfRule>
  </conditionalFormatting>
  <conditionalFormatting sqref="H1509:H1641 K1509:K1734 I1509:I1734 C1509:D1641">
    <cfRule type="expression" dxfId="58" priority="59" stopIfTrue="1">
      <formula>$K1509="NO"</formula>
    </cfRule>
  </conditionalFormatting>
  <conditionalFormatting sqref="E1507:E1514">
    <cfRule type="expression" dxfId="57" priority="50" stopIfTrue="1">
      <formula>#REF!="NO"</formula>
    </cfRule>
  </conditionalFormatting>
  <conditionalFormatting sqref="G163">
    <cfRule type="expression" dxfId="56" priority="49" stopIfTrue="1">
      <formula>#REF!="NO"</formula>
    </cfRule>
  </conditionalFormatting>
  <conditionalFormatting sqref="E661:E664 E653:E654">
    <cfRule type="expression" dxfId="55" priority="48" stopIfTrue="1">
      <formula>#REF!="NO"</formula>
    </cfRule>
  </conditionalFormatting>
  <conditionalFormatting sqref="G165:G166">
    <cfRule type="expression" dxfId="54" priority="47" stopIfTrue="1">
      <formula>#REF!="NO"</formula>
    </cfRule>
  </conditionalFormatting>
  <conditionalFormatting sqref="G167">
    <cfRule type="expression" dxfId="53" priority="46" stopIfTrue="1">
      <formula>#REF!="NO"</formula>
    </cfRule>
  </conditionalFormatting>
  <conditionalFormatting sqref="C173">
    <cfRule type="expression" dxfId="52" priority="45" stopIfTrue="1">
      <formula>#REF!="NO"</formula>
    </cfRule>
  </conditionalFormatting>
  <conditionalFormatting sqref="C178:C182">
    <cfRule type="expression" dxfId="51" priority="44" stopIfTrue="1">
      <formula>#REF!="NO"</formula>
    </cfRule>
  </conditionalFormatting>
  <conditionalFormatting sqref="C184:C194">
    <cfRule type="expression" dxfId="50" priority="43" stopIfTrue="1">
      <formula>#REF!="NO"</formula>
    </cfRule>
  </conditionalFormatting>
  <conditionalFormatting sqref="I380:I425">
    <cfRule type="expression" dxfId="49" priority="42" stopIfTrue="1">
      <formula>#REF!="NO"</formula>
    </cfRule>
  </conditionalFormatting>
  <conditionalFormatting sqref="G399">
    <cfRule type="expression" dxfId="48" priority="41" stopIfTrue="1">
      <formula>#REF!="NO"</formula>
    </cfRule>
  </conditionalFormatting>
  <conditionalFormatting sqref="G397">
    <cfRule type="expression" dxfId="47" priority="40" stopIfTrue="1">
      <formula>#REF!="NO"</formula>
    </cfRule>
  </conditionalFormatting>
  <conditionalFormatting sqref="G395">
    <cfRule type="expression" dxfId="46" priority="39" stopIfTrue="1">
      <formula>#REF!="NO"</formula>
    </cfRule>
  </conditionalFormatting>
  <conditionalFormatting sqref="G393">
    <cfRule type="expression" dxfId="45" priority="38" stopIfTrue="1">
      <formula>#REF!="NO"</formula>
    </cfRule>
  </conditionalFormatting>
  <conditionalFormatting sqref="G391">
    <cfRule type="expression" dxfId="44" priority="37" stopIfTrue="1">
      <formula>#REF!="NO"</formula>
    </cfRule>
  </conditionalFormatting>
  <conditionalFormatting sqref="G389">
    <cfRule type="expression" dxfId="43" priority="36" stopIfTrue="1">
      <formula>#REF!="NO"</formula>
    </cfRule>
  </conditionalFormatting>
  <conditionalFormatting sqref="G387">
    <cfRule type="expression" dxfId="42" priority="35" stopIfTrue="1">
      <formula>#REF!="NO"</formula>
    </cfRule>
  </conditionalFormatting>
  <conditionalFormatting sqref="G385">
    <cfRule type="expression" dxfId="41" priority="34" stopIfTrue="1">
      <formula>#REF!="NO"</formula>
    </cfRule>
  </conditionalFormatting>
  <conditionalFormatting sqref="G383">
    <cfRule type="expression" dxfId="40" priority="33" stopIfTrue="1">
      <formula>#REF!="NO"</formula>
    </cfRule>
  </conditionalFormatting>
  <conditionalFormatting sqref="G381">
    <cfRule type="expression" dxfId="39" priority="32" stopIfTrue="1">
      <formula>#REF!="NO"</formula>
    </cfRule>
  </conditionalFormatting>
  <conditionalFormatting sqref="C380:C425">
    <cfRule type="expression" dxfId="38" priority="31" stopIfTrue="1">
      <formula>#REF!="NO"</formula>
    </cfRule>
  </conditionalFormatting>
  <conditionalFormatting sqref="G361">
    <cfRule type="expression" dxfId="37" priority="30" stopIfTrue="1">
      <formula>#REF!="NO"</formula>
    </cfRule>
  </conditionalFormatting>
  <conditionalFormatting sqref="G363">
    <cfRule type="expression" dxfId="36" priority="29" stopIfTrue="1">
      <formula>#REF!="NO"</formula>
    </cfRule>
  </conditionalFormatting>
  <conditionalFormatting sqref="G365">
    <cfRule type="expression" dxfId="35" priority="28" stopIfTrue="1">
      <formula>#REF!="NO"</formula>
    </cfRule>
  </conditionalFormatting>
  <conditionalFormatting sqref="G367">
    <cfRule type="expression" dxfId="34" priority="27" stopIfTrue="1">
      <formula>#REF!="NO"</formula>
    </cfRule>
  </conditionalFormatting>
  <conditionalFormatting sqref="G369">
    <cfRule type="expression" dxfId="33" priority="26" stopIfTrue="1">
      <formula>#REF!="NO"</formula>
    </cfRule>
  </conditionalFormatting>
  <conditionalFormatting sqref="G370:G371">
    <cfRule type="expression" dxfId="32" priority="25" stopIfTrue="1">
      <formula>#REF!="NO"</formula>
    </cfRule>
  </conditionalFormatting>
  <conditionalFormatting sqref="G375">
    <cfRule type="expression" dxfId="31" priority="24" stopIfTrue="1">
      <formula>#REF!="NO"</formula>
    </cfRule>
  </conditionalFormatting>
  <conditionalFormatting sqref="G377">
    <cfRule type="expression" dxfId="30" priority="23" stopIfTrue="1">
      <formula>#REF!="NO"</formula>
    </cfRule>
  </conditionalFormatting>
  <conditionalFormatting sqref="G379">
    <cfRule type="expression" dxfId="29" priority="22" stopIfTrue="1">
      <formula>#REF!="NO"</formula>
    </cfRule>
  </conditionalFormatting>
  <conditionalFormatting sqref="G354:G359">
    <cfRule type="expression" dxfId="28" priority="21" stopIfTrue="1">
      <formula>#REF!="NO"</formula>
    </cfRule>
  </conditionalFormatting>
  <conditionalFormatting sqref="G419:G423">
    <cfRule type="expression" dxfId="27" priority="20" stopIfTrue="1">
      <formula>#REF!="NO"</formula>
    </cfRule>
  </conditionalFormatting>
  <conditionalFormatting sqref="I446:I456 I438:I444">
    <cfRule type="expression" dxfId="26" priority="19" stopIfTrue="1">
      <formula>#REF!="NO"</formula>
    </cfRule>
  </conditionalFormatting>
  <conditionalFormatting sqref="G449:G450">
    <cfRule type="expression" dxfId="25" priority="18" stopIfTrue="1">
      <formula>#REF!="NO"</formula>
    </cfRule>
  </conditionalFormatting>
  <conditionalFormatting sqref="G453:G454">
    <cfRule type="expression" dxfId="24" priority="17" stopIfTrue="1">
      <formula>#REF!="NO"</formula>
    </cfRule>
  </conditionalFormatting>
  <conditionalFormatting sqref="G456">
    <cfRule type="expression" dxfId="23" priority="16" stopIfTrue="1">
      <formula>#REF!="NO"</formula>
    </cfRule>
  </conditionalFormatting>
  <conditionalFormatting sqref="C446:C456 C438:C444">
    <cfRule type="expression" dxfId="22" priority="15" stopIfTrue="1">
      <formula>#REF!="NO"</formula>
    </cfRule>
  </conditionalFormatting>
  <conditionalFormatting sqref="G465:G471 G474:G477">
    <cfRule type="expression" dxfId="21" priority="14" stopIfTrue="1">
      <formula>#REF!="NO"</formula>
    </cfRule>
  </conditionalFormatting>
  <conditionalFormatting sqref="G478:G481">
    <cfRule type="expression" dxfId="20" priority="13" stopIfTrue="1">
      <formula>#REF!="NO"</formula>
    </cfRule>
  </conditionalFormatting>
  <conditionalFormatting sqref="G483:G487">
    <cfRule type="expression" dxfId="19" priority="12" stopIfTrue="1">
      <formula>#REF!="NO"</formula>
    </cfRule>
  </conditionalFormatting>
  <conditionalFormatting sqref="G488:G495">
    <cfRule type="expression" dxfId="18" priority="11" stopIfTrue="1">
      <formula>#REF!="NO"</formula>
    </cfRule>
  </conditionalFormatting>
  <conditionalFormatting sqref="G459:G460">
    <cfRule type="expression" dxfId="17" priority="10" stopIfTrue="1">
      <formula>#REF!="NO"</formula>
    </cfRule>
  </conditionalFormatting>
  <conditionalFormatting sqref="G461:G464">
    <cfRule type="expression" dxfId="16" priority="9" stopIfTrue="1">
      <formula>#REF!="NO"</formula>
    </cfRule>
  </conditionalFormatting>
  <conditionalFormatting sqref="I501:I513">
    <cfRule type="expression" dxfId="15" priority="8" stopIfTrue="1">
      <formula>#REF!="NO"</formula>
    </cfRule>
  </conditionalFormatting>
  <conditionalFormatting sqref="G501:G513">
    <cfRule type="expression" dxfId="14" priority="7" stopIfTrue="1">
      <formula>#REF!="NO"</formula>
    </cfRule>
  </conditionalFormatting>
  <conditionalFormatting sqref="C501:C513">
    <cfRule type="expression" dxfId="13" priority="6" stopIfTrue="1">
      <formula>#REF!="NO"</formula>
    </cfRule>
  </conditionalFormatting>
  <conditionalFormatting sqref="I514:I535">
    <cfRule type="expression" dxfId="12" priority="5" stopIfTrue="1">
      <formula>#REF!="NO"</formula>
    </cfRule>
  </conditionalFormatting>
  <conditionalFormatting sqref="C590:C603">
    <cfRule type="expression" dxfId="11" priority="2" stopIfTrue="1">
      <formula>#REF!="NO"</formula>
    </cfRule>
  </conditionalFormatting>
  <conditionalFormatting sqref="C514:C535">
    <cfRule type="expression" dxfId="10" priority="4" stopIfTrue="1">
      <formula>#REF!="NO"</formula>
    </cfRule>
  </conditionalFormatting>
  <conditionalFormatting sqref="I590:I603">
    <cfRule type="expression" dxfId="9" priority="3" stopIfTrue="1">
      <formula>#REF!="NO"</formula>
    </cfRule>
  </conditionalFormatting>
  <conditionalFormatting sqref="S655:S656 S651:S653 S649 S647 S663:S690">
    <cfRule type="iconSet" priority="937">
      <iconSet iconSet="3Symbols2" showValue="0">
        <cfvo type="percent" val="0"/>
        <cfvo type="percent" val="33"/>
        <cfvo type="percent" val="67"/>
      </iconSet>
    </cfRule>
  </conditionalFormatting>
  <conditionalFormatting sqref="E28:E156">
    <cfRule type="expression" dxfId="8" priority="1" stopIfTrue="1">
      <formula>#REF!="NO"</formula>
    </cfRule>
  </conditionalFormatting>
  <dataValidations disablePrompts="1" count="1">
    <dataValidation type="list" allowBlank="1" showInputMessage="1" showErrorMessage="1" sqref="K1509:K1734" xr:uid="{00000000-0002-0000-0600-000000000000}">
      <formula1>"Critical,Major,Minor"</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D28"/>
  <sheetViews>
    <sheetView workbookViewId="0">
      <selection activeCell="E29" sqref="E29"/>
    </sheetView>
  </sheetViews>
  <sheetFormatPr defaultRowHeight="12.75"/>
  <sheetData>
    <row r="28" spans="4:4">
      <c r="D28" t="s">
        <v>4313</v>
      </c>
    </row>
  </sheetData>
  <phoneticPr fontId="10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
  <sheetViews>
    <sheetView zoomScale="50" zoomScaleNormal="50" workbookViewId="0">
      <selection sqref="A1:AI1048576"/>
    </sheetView>
  </sheetViews>
  <sheetFormatPr defaultRowHeight="12.75"/>
  <sheetData/>
  <phoneticPr fontId="10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R19"/>
  <sheetViews>
    <sheetView workbookViewId="0">
      <selection activeCell="H22" sqref="H22"/>
    </sheetView>
  </sheetViews>
  <sheetFormatPr defaultRowHeight="12.75"/>
  <sheetData>
    <row r="1" spans="1:18">
      <c r="B1" t="s">
        <v>520</v>
      </c>
      <c r="G1" t="s">
        <v>521</v>
      </c>
    </row>
    <row r="2" spans="1:18">
      <c r="B2" s="281" t="s">
        <v>484</v>
      </c>
      <c r="C2" s="147"/>
      <c r="D2" s="147"/>
      <c r="G2" t="s">
        <v>522</v>
      </c>
      <c r="J2" t="s">
        <v>523</v>
      </c>
    </row>
    <row r="3" spans="1:18">
      <c r="B3" s="42" t="s">
        <v>308</v>
      </c>
      <c r="C3" s="42" t="s">
        <v>435</v>
      </c>
      <c r="D3" s="42" t="s">
        <v>309</v>
      </c>
      <c r="G3" s="42" t="s">
        <v>308</v>
      </c>
      <c r="H3" s="42" t="s">
        <v>435</v>
      </c>
      <c r="I3" s="42" t="s">
        <v>309</v>
      </c>
    </row>
    <row r="4" spans="1:18">
      <c r="A4" s="42" t="s">
        <v>489</v>
      </c>
      <c r="B4">
        <v>14.5</v>
      </c>
      <c r="C4">
        <v>17.3</v>
      </c>
      <c r="D4">
        <v>20.100000000000001</v>
      </c>
    </row>
    <row r="5" spans="1:18">
      <c r="A5" s="42" t="s">
        <v>490</v>
      </c>
      <c r="B5">
        <v>16.5</v>
      </c>
      <c r="C5">
        <v>18.7</v>
      </c>
      <c r="D5">
        <v>20.9</v>
      </c>
    </row>
    <row r="6" spans="1:18">
      <c r="A6" s="42" t="s">
        <v>491</v>
      </c>
      <c r="B6">
        <v>17.8</v>
      </c>
      <c r="C6">
        <v>19.600000000000001</v>
      </c>
      <c r="D6">
        <v>21.400000000000002</v>
      </c>
    </row>
    <row r="7" spans="1:18">
      <c r="A7" s="42" t="s">
        <v>492</v>
      </c>
      <c r="B7">
        <v>19.099999999999998</v>
      </c>
      <c r="C7">
        <v>20.9</v>
      </c>
      <c r="D7">
        <v>22.7</v>
      </c>
    </row>
    <row r="8" spans="1:18">
      <c r="A8" s="42" t="s">
        <v>493</v>
      </c>
      <c r="B8">
        <v>19.600000000000001</v>
      </c>
      <c r="C8">
        <v>21.6</v>
      </c>
      <c r="D8">
        <v>23.6</v>
      </c>
    </row>
    <row r="9" spans="1:18">
      <c r="A9" s="42">
        <v>2</v>
      </c>
      <c r="B9">
        <v>21.1</v>
      </c>
      <c r="C9">
        <v>24.3</v>
      </c>
      <c r="D9">
        <v>27.5</v>
      </c>
      <c r="F9" s="42">
        <v>2</v>
      </c>
      <c r="G9">
        <f>$H9-($J9*2)</f>
        <v>18.5</v>
      </c>
      <c r="H9" s="50">
        <v>21.5</v>
      </c>
      <c r="I9">
        <f>$H9+($J9*2)</f>
        <v>24.5</v>
      </c>
      <c r="J9">
        <v>1.5</v>
      </c>
      <c r="O9" s="286">
        <f>G9/B9</f>
        <v>0.87677725118483407</v>
      </c>
      <c r="P9" s="286">
        <f t="shared" ref="P9:Q17" si="0">H9/C9</f>
        <v>0.8847736625514403</v>
      </c>
      <c r="Q9" s="286">
        <f t="shared" si="0"/>
        <v>0.89090909090909087</v>
      </c>
      <c r="R9" s="287"/>
    </row>
    <row r="10" spans="1:18">
      <c r="A10" s="42">
        <v>3</v>
      </c>
      <c r="B10">
        <v>23.400000000000002</v>
      </c>
      <c r="C10">
        <v>25.6</v>
      </c>
      <c r="D10">
        <v>27.8</v>
      </c>
      <c r="F10" s="42">
        <v>3</v>
      </c>
      <c r="G10">
        <f t="shared" ref="G10:G17" si="1">$H10-($J10*2)</f>
        <v>19.7</v>
      </c>
      <c r="H10" s="50">
        <v>22.5</v>
      </c>
      <c r="I10">
        <f t="shared" ref="I10:I17" si="2">$H10+($J10*2)</f>
        <v>25.3</v>
      </c>
      <c r="J10">
        <v>1.4</v>
      </c>
      <c r="O10" s="286">
        <f t="shared" ref="O10:O17" si="3">G10/B10</f>
        <v>0.84188034188034178</v>
      </c>
      <c r="P10" s="286">
        <f t="shared" si="0"/>
        <v>0.87890625</v>
      </c>
      <c r="Q10" s="286">
        <f t="shared" si="0"/>
        <v>0.91007194244604317</v>
      </c>
      <c r="R10" s="287"/>
    </row>
    <row r="11" spans="1:18">
      <c r="A11" s="42">
        <v>4</v>
      </c>
      <c r="B11">
        <v>24.2</v>
      </c>
      <c r="C11">
        <v>26.8</v>
      </c>
      <c r="D11">
        <v>29.400000000000002</v>
      </c>
      <c r="F11" s="42">
        <v>4</v>
      </c>
      <c r="G11">
        <f t="shared" si="1"/>
        <v>20.9</v>
      </c>
      <c r="H11" s="50">
        <v>23.5</v>
      </c>
      <c r="I11">
        <f t="shared" si="2"/>
        <v>26.1</v>
      </c>
      <c r="J11">
        <v>1.3</v>
      </c>
      <c r="O11" s="286">
        <f t="shared" si="3"/>
        <v>0.86363636363636365</v>
      </c>
      <c r="P11" s="286">
        <f t="shared" si="0"/>
        <v>0.87686567164179097</v>
      </c>
      <c r="Q11" s="286">
        <f t="shared" si="0"/>
        <v>0.88775510204081631</v>
      </c>
      <c r="R11" s="287"/>
    </row>
    <row r="12" spans="1:18">
      <c r="A12" s="42">
        <v>5</v>
      </c>
      <c r="B12">
        <v>25.4</v>
      </c>
      <c r="C12">
        <v>28.2</v>
      </c>
      <c r="D12">
        <v>31</v>
      </c>
      <c r="F12" s="42">
        <v>5</v>
      </c>
      <c r="G12">
        <f t="shared" si="1"/>
        <v>22</v>
      </c>
      <c r="H12" s="50">
        <v>25</v>
      </c>
      <c r="I12">
        <f t="shared" si="2"/>
        <v>28</v>
      </c>
      <c r="J12">
        <v>1.5</v>
      </c>
      <c r="O12" s="286">
        <f t="shared" si="3"/>
        <v>0.86614173228346458</v>
      </c>
      <c r="P12" s="286">
        <f t="shared" si="0"/>
        <v>0.88652482269503552</v>
      </c>
      <c r="Q12" s="286">
        <f t="shared" si="0"/>
        <v>0.90322580645161288</v>
      </c>
      <c r="R12" s="287"/>
    </row>
    <row r="13" spans="1:18">
      <c r="A13" s="42">
        <v>6</v>
      </c>
      <c r="B13">
        <v>26.5</v>
      </c>
      <c r="C13">
        <v>29.1</v>
      </c>
      <c r="D13">
        <v>31.700000000000003</v>
      </c>
      <c r="F13" s="42">
        <v>6</v>
      </c>
      <c r="G13">
        <f t="shared" si="1"/>
        <v>22.9</v>
      </c>
      <c r="H13" s="50">
        <v>26.5</v>
      </c>
      <c r="I13">
        <f t="shared" si="2"/>
        <v>30.1</v>
      </c>
      <c r="J13">
        <v>1.8</v>
      </c>
      <c r="O13" s="286">
        <f t="shared" si="3"/>
        <v>0.86415094339622633</v>
      </c>
      <c r="P13" s="286">
        <f t="shared" si="0"/>
        <v>0.9106529209621993</v>
      </c>
      <c r="Q13" s="286">
        <f t="shared" si="0"/>
        <v>0.94952681388012616</v>
      </c>
      <c r="R13" s="287"/>
    </row>
    <row r="14" spans="1:18">
      <c r="A14" s="42">
        <v>7</v>
      </c>
      <c r="B14">
        <v>27.2</v>
      </c>
      <c r="C14">
        <v>30.4</v>
      </c>
      <c r="D14">
        <v>33.6</v>
      </c>
      <c r="F14" s="42">
        <v>7</v>
      </c>
      <c r="G14">
        <f t="shared" si="1"/>
        <v>24.5</v>
      </c>
      <c r="H14" s="50">
        <v>27.5</v>
      </c>
      <c r="I14">
        <f t="shared" si="2"/>
        <v>30.5</v>
      </c>
      <c r="J14">
        <v>1.5</v>
      </c>
      <c r="O14" s="286">
        <f t="shared" si="3"/>
        <v>0.90073529411764708</v>
      </c>
      <c r="P14" s="286">
        <f t="shared" si="0"/>
        <v>0.9046052631578948</v>
      </c>
      <c r="Q14" s="286">
        <f t="shared" si="0"/>
        <v>0.90773809523809523</v>
      </c>
      <c r="R14" s="287"/>
    </row>
    <row r="15" spans="1:18">
      <c r="A15" s="42">
        <v>8</v>
      </c>
      <c r="B15">
        <v>28.200000000000003</v>
      </c>
      <c r="C15">
        <v>31.6</v>
      </c>
      <c r="D15">
        <v>35</v>
      </c>
      <c r="F15" s="42">
        <v>8</v>
      </c>
      <c r="G15">
        <f t="shared" si="1"/>
        <v>25.9</v>
      </c>
      <c r="H15" s="50">
        <v>28.5</v>
      </c>
      <c r="I15">
        <f t="shared" si="2"/>
        <v>31.1</v>
      </c>
      <c r="J15">
        <v>1.3</v>
      </c>
      <c r="O15" s="286">
        <f t="shared" si="3"/>
        <v>0.91843971631205656</v>
      </c>
      <c r="P15" s="286">
        <f t="shared" si="0"/>
        <v>0.90189873417721511</v>
      </c>
      <c r="Q15" s="286">
        <f t="shared" si="0"/>
        <v>0.88857142857142857</v>
      </c>
      <c r="R15" s="287"/>
    </row>
    <row r="16" spans="1:18">
      <c r="A16" s="42">
        <v>9</v>
      </c>
      <c r="B16">
        <v>29.599999999999998</v>
      </c>
      <c r="C16">
        <v>32.799999999999997</v>
      </c>
      <c r="D16">
        <v>36</v>
      </c>
      <c r="F16" s="42">
        <v>9</v>
      </c>
      <c r="G16">
        <f t="shared" si="1"/>
        <v>26.5</v>
      </c>
      <c r="H16" s="50">
        <v>29.5</v>
      </c>
      <c r="I16">
        <f t="shared" si="2"/>
        <v>32.5</v>
      </c>
      <c r="J16">
        <v>1.5</v>
      </c>
      <c r="O16" s="286">
        <f t="shared" si="3"/>
        <v>0.89527027027027029</v>
      </c>
      <c r="P16" s="286">
        <f t="shared" si="0"/>
        <v>0.89939024390243916</v>
      </c>
      <c r="Q16" s="286">
        <f t="shared" si="0"/>
        <v>0.90277777777777779</v>
      </c>
      <c r="R16" s="287"/>
    </row>
    <row r="17" spans="1:18">
      <c r="A17" s="42">
        <v>10</v>
      </c>
      <c r="B17">
        <v>30.400000000000002</v>
      </c>
      <c r="C17">
        <v>34.200000000000003</v>
      </c>
      <c r="D17">
        <v>38</v>
      </c>
      <c r="F17" s="42">
        <v>10</v>
      </c>
      <c r="G17">
        <f t="shared" si="1"/>
        <v>26.9</v>
      </c>
      <c r="H17" s="50">
        <v>30.5</v>
      </c>
      <c r="I17">
        <f t="shared" si="2"/>
        <v>34.1</v>
      </c>
      <c r="J17">
        <v>1.8</v>
      </c>
      <c r="O17" s="286">
        <f t="shared" si="3"/>
        <v>0.88486842105263142</v>
      </c>
      <c r="P17" s="286">
        <f t="shared" si="0"/>
        <v>0.89181286549707595</v>
      </c>
      <c r="Q17" s="286">
        <f t="shared" si="0"/>
        <v>0.89736842105263159</v>
      </c>
      <c r="R17" s="287"/>
    </row>
    <row r="18" spans="1:18">
      <c r="O18" s="287"/>
      <c r="P18" s="287"/>
      <c r="Q18" s="287"/>
      <c r="R18" s="287"/>
    </row>
    <row r="19" spans="1:18">
      <c r="O19" s="287"/>
      <c r="P19" s="287"/>
      <c r="Q19" s="287"/>
      <c r="R19" s="288">
        <f>AVERAGE(O9:Q17)</f>
        <v>0.89204723137357589</v>
      </c>
    </row>
  </sheetData>
  <phoneticPr fontId="10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M55"/>
  <sheetViews>
    <sheetView zoomScaleNormal="100" workbookViewId="0">
      <pane ySplit="2" topLeftCell="A3" activePane="bottomLeft" state="frozen"/>
      <selection pane="bottomLeft" activeCell="J2" sqref="J2"/>
    </sheetView>
  </sheetViews>
  <sheetFormatPr defaultColWidth="8.85546875" defaultRowHeight="12.75"/>
  <cols>
    <col min="1" max="6" width="8.85546875" style="82"/>
    <col min="7" max="10" width="10.85546875" style="82" customWidth="1"/>
    <col min="11" max="11" width="2.7109375" style="82" customWidth="1"/>
    <col min="12" max="12" width="10.7109375" style="82" customWidth="1"/>
    <col min="13" max="13" width="10.85546875" style="82" customWidth="1"/>
    <col min="14" max="16384" width="8.85546875" style="82"/>
  </cols>
  <sheetData>
    <row r="1" spans="1:13" ht="15.75">
      <c r="K1" s="436"/>
      <c r="L1" s="785" t="s">
        <v>3445</v>
      </c>
      <c r="M1" s="786"/>
    </row>
    <row r="2" spans="1:13" ht="90.95" customHeight="1">
      <c r="A2" s="231" t="s">
        <v>4</v>
      </c>
      <c r="B2" s="231" t="s">
        <v>0</v>
      </c>
      <c r="C2" s="231" t="s">
        <v>1</v>
      </c>
      <c r="D2" s="231" t="s">
        <v>2</v>
      </c>
      <c r="E2" s="231" t="s">
        <v>142</v>
      </c>
      <c r="F2" s="231" t="s">
        <v>3</v>
      </c>
      <c r="G2" s="430" t="s">
        <v>3440</v>
      </c>
      <c r="H2" s="430" t="s">
        <v>3441</v>
      </c>
      <c r="I2" s="430" t="s">
        <v>3442</v>
      </c>
      <c r="J2" s="488" t="s">
        <v>3468</v>
      </c>
      <c r="K2" s="437"/>
      <c r="L2" s="432" t="s">
        <v>306</v>
      </c>
      <c r="M2" s="231" t="s">
        <v>307</v>
      </c>
    </row>
    <row r="3" spans="1:13" ht="12.95" customHeight="1">
      <c r="A3" s="171">
        <v>45</v>
      </c>
      <c r="B3" s="171">
        <v>39</v>
      </c>
      <c r="C3" s="171">
        <v>12.1</v>
      </c>
      <c r="D3" s="171">
        <v>14.2</v>
      </c>
      <c r="E3" s="171">
        <v>27.4</v>
      </c>
      <c r="F3" s="171">
        <f>IF('GPS Anthro Tool'!$B$35=0,0,29+'GPS Anthro Tool'!$B$41)</f>
        <v>0</v>
      </c>
      <c r="G3" s="783" t="s">
        <v>3443</v>
      </c>
      <c r="H3" s="783"/>
      <c r="I3" s="783"/>
      <c r="J3" s="783"/>
      <c r="K3" s="436"/>
      <c r="L3" s="433">
        <f>IF('GPS Anthro Tool'!$B$35=0,0,C3/2)</f>
        <v>0</v>
      </c>
      <c r="M3" s="171">
        <f>IF('GPS Anthro Tool'!$B$35=0,0,-C3/2)</f>
        <v>0</v>
      </c>
    </row>
    <row r="4" spans="1:13">
      <c r="A4" s="171">
        <v>50</v>
      </c>
      <c r="B4" s="171">
        <v>40.5</v>
      </c>
      <c r="C4" s="171">
        <v>14.1</v>
      </c>
      <c r="D4" s="171">
        <v>14.8</v>
      </c>
      <c r="E4" s="171">
        <v>27.6</v>
      </c>
      <c r="F4" s="171">
        <f>IF('GPS Anthro Tool'!$B$35=0,0,29.2+'GPS Anthro Tool'!$B$41)</f>
        <v>0</v>
      </c>
      <c r="G4" s="783"/>
      <c r="H4" s="783"/>
      <c r="I4" s="783"/>
      <c r="J4" s="783"/>
      <c r="K4" s="436"/>
      <c r="L4" s="433">
        <f>IF('GPS Anthro Tool'!$B$35=0,0,C4/2)</f>
        <v>0</v>
      </c>
      <c r="M4" s="171">
        <f>IF('GPS Anthro Tool'!$B$35=0,0,-C4/2)</f>
        <v>0</v>
      </c>
    </row>
    <row r="5" spans="1:13">
      <c r="A5" s="171">
        <v>55</v>
      </c>
      <c r="B5" s="171">
        <v>42</v>
      </c>
      <c r="C5" s="171">
        <v>16.100000000000001</v>
      </c>
      <c r="D5" s="171">
        <v>15.4</v>
      </c>
      <c r="E5" s="171">
        <v>27.8</v>
      </c>
      <c r="F5" s="171">
        <f>IF('GPS Anthro Tool'!$B$35=0,0,29.4+'GPS Anthro Tool'!$B$41)</f>
        <v>0</v>
      </c>
      <c r="G5" s="783"/>
      <c r="H5" s="783"/>
      <c r="I5" s="783"/>
      <c r="J5" s="783"/>
      <c r="K5" s="436"/>
      <c r="L5" s="433">
        <f>IF('GPS Anthro Tool'!$B$35=0,0,C5/2)</f>
        <v>0</v>
      </c>
      <c r="M5" s="171">
        <f>IF('GPS Anthro Tool'!$B$35=0,0,-C5/2)</f>
        <v>0</v>
      </c>
    </row>
    <row r="6" spans="1:13">
      <c r="A6" s="171">
        <v>60</v>
      </c>
      <c r="B6" s="171">
        <v>43.5</v>
      </c>
      <c r="C6" s="171">
        <v>18.100000000000001</v>
      </c>
      <c r="D6" s="171">
        <v>16</v>
      </c>
      <c r="E6" s="171">
        <v>28</v>
      </c>
      <c r="F6" s="171">
        <f>IF('GPS Anthro Tool'!$B$35=0,0,29.6+'GPS Anthro Tool'!$B$41)</f>
        <v>0</v>
      </c>
      <c r="G6" s="783"/>
      <c r="H6" s="783"/>
      <c r="I6" s="783"/>
      <c r="J6" s="783"/>
      <c r="K6" s="436"/>
      <c r="L6" s="433">
        <f>IF('GPS Anthro Tool'!$B$35=0,0,C6/2)</f>
        <v>0</v>
      </c>
      <c r="M6" s="171">
        <f>IF('GPS Anthro Tool'!$B$35=0,0,-C6/2)</f>
        <v>0</v>
      </c>
    </row>
    <row r="7" spans="1:13">
      <c r="A7" s="171">
        <v>65</v>
      </c>
      <c r="B7" s="171">
        <v>45</v>
      </c>
      <c r="C7" s="171">
        <v>20.100000000000001</v>
      </c>
      <c r="D7" s="171">
        <v>17.2</v>
      </c>
      <c r="E7" s="171">
        <v>28.2</v>
      </c>
      <c r="F7" s="171">
        <f>IF('GPS Anthro Tool'!$B$35=0,0,29.8+'GPS Anthro Tool'!$B$41)</f>
        <v>0</v>
      </c>
      <c r="G7" s="783"/>
      <c r="H7" s="783"/>
      <c r="I7" s="783"/>
      <c r="J7" s="783"/>
      <c r="K7" s="436"/>
      <c r="L7" s="433">
        <f>IF('GPS Anthro Tool'!$B$35=0,0,C7/2)</f>
        <v>0</v>
      </c>
      <c r="M7" s="171">
        <f>IF('GPS Anthro Tool'!$B$35=0,0,-C7/2)</f>
        <v>0</v>
      </c>
    </row>
    <row r="8" spans="1:13">
      <c r="A8" s="171">
        <v>70</v>
      </c>
      <c r="B8" s="171">
        <v>47.1</v>
      </c>
      <c r="C8" s="171">
        <v>22.1</v>
      </c>
      <c r="D8" s="171">
        <v>18.399999999999999</v>
      </c>
      <c r="E8" s="171">
        <v>28.3</v>
      </c>
      <c r="F8" s="171">
        <f>IF('GPS Anthro Tool'!$B$35=0,0,30+'GPS Anthro Tool'!$B$41)</f>
        <v>0</v>
      </c>
      <c r="G8" s="783"/>
      <c r="H8" s="783"/>
      <c r="I8" s="783"/>
      <c r="J8" s="783"/>
      <c r="K8" s="436"/>
      <c r="L8" s="433">
        <f>IF('GPS Anthro Tool'!$B$35=0,0,C8/2)</f>
        <v>0</v>
      </c>
      <c r="M8" s="171">
        <f>IF('GPS Anthro Tool'!$B$35=0,0,-C8/2)</f>
        <v>0</v>
      </c>
    </row>
    <row r="9" spans="1:13">
      <c r="A9" s="171">
        <v>75</v>
      </c>
      <c r="B9" s="171">
        <v>49.2</v>
      </c>
      <c r="C9" s="171">
        <v>24.1</v>
      </c>
      <c r="D9" s="431">
        <v>19.600000000000001</v>
      </c>
      <c r="E9" s="171">
        <v>28.4</v>
      </c>
      <c r="F9" s="171">
        <f>IF('GPS Anthro Tool'!$B$35=0,0,31.3+'GPS Anthro Tool'!$B$41)</f>
        <v>0</v>
      </c>
      <c r="G9" s="431">
        <v>12.5</v>
      </c>
      <c r="H9" s="431">
        <v>15.1</v>
      </c>
      <c r="I9" s="431">
        <v>5.7</v>
      </c>
      <c r="J9" s="431">
        <v>8.4</v>
      </c>
      <c r="K9" s="436"/>
      <c r="L9" s="433">
        <f>IF('GPS Anthro Tool'!$B$35=0,0,C9/2)</f>
        <v>0</v>
      </c>
      <c r="M9" s="171">
        <f>IF('GPS Anthro Tool'!$B$35=0,0,-C9/2)</f>
        <v>0</v>
      </c>
    </row>
    <row r="10" spans="1:13">
      <c r="A10" s="171">
        <v>80</v>
      </c>
      <c r="B10" s="171">
        <v>51.3</v>
      </c>
      <c r="C10" s="171">
        <v>26.1</v>
      </c>
      <c r="D10" s="431">
        <v>20.8</v>
      </c>
      <c r="E10" s="171">
        <v>29.2</v>
      </c>
      <c r="F10" s="171">
        <f>IF('GPS Anthro Tool'!$B$35=0,0,32.6+'GPS Anthro Tool'!$B$41)</f>
        <v>0</v>
      </c>
      <c r="G10" s="431">
        <v>12.7</v>
      </c>
      <c r="H10" s="431">
        <v>15.7</v>
      </c>
      <c r="I10" s="431">
        <v>5.8</v>
      </c>
      <c r="J10" s="431">
        <v>8.4</v>
      </c>
      <c r="K10" s="436"/>
      <c r="L10" s="433">
        <f>IF('GPS Anthro Tool'!$B$35=0,0,C10/2)</f>
        <v>0</v>
      </c>
      <c r="M10" s="171">
        <f>IF('GPS Anthro Tool'!$B$35=0,0,-C10/2)</f>
        <v>0</v>
      </c>
    </row>
    <row r="11" spans="1:13">
      <c r="A11" s="171">
        <v>85</v>
      </c>
      <c r="B11" s="171">
        <v>53.4</v>
      </c>
      <c r="C11" s="171">
        <v>26.9</v>
      </c>
      <c r="D11" s="431">
        <v>22</v>
      </c>
      <c r="E11" s="171">
        <v>30</v>
      </c>
      <c r="F11" s="171">
        <f>IF('GPS Anthro Tool'!$B$35=0,0,33.9+'GPS Anthro Tool'!$B$41)</f>
        <v>0</v>
      </c>
      <c r="G11" s="431">
        <v>12.9</v>
      </c>
      <c r="H11" s="431">
        <v>16.2</v>
      </c>
      <c r="I11" s="431">
        <v>5.9</v>
      </c>
      <c r="J11" s="431">
        <v>8.5</v>
      </c>
      <c r="K11" s="436"/>
      <c r="L11" s="433">
        <f>IF('GPS Anthro Tool'!$B$35=0,0,C11/2)</f>
        <v>0</v>
      </c>
      <c r="M11" s="171">
        <f>IF('GPS Anthro Tool'!$B$35=0,0,-C11/2)</f>
        <v>0</v>
      </c>
    </row>
    <row r="12" spans="1:13">
      <c r="A12" s="171">
        <v>87.5</v>
      </c>
      <c r="B12" s="167">
        <f>((B13-B11)/2)+B11</f>
        <v>54.45</v>
      </c>
      <c r="C12" s="167">
        <f>((C13-C11)/2)+C11</f>
        <v>27.299999999999997</v>
      </c>
      <c r="D12" s="438">
        <f>((D13-D11)/2)+D11</f>
        <v>22.25</v>
      </c>
      <c r="E12" s="167">
        <f>((E13-E11)/2)+E11</f>
        <v>30.4</v>
      </c>
      <c r="F12" s="186">
        <f>IF('GPS Anthro Tool'!$B$35=0,0,34.6+'GPS Anthro Tool'!$B$41)</f>
        <v>0</v>
      </c>
      <c r="G12" s="438">
        <f t="shared" ref="G12:I12" si="0">IF(D9=0,0,((G13-G11)/2)+G11)</f>
        <v>13</v>
      </c>
      <c r="H12" s="438">
        <f t="shared" si="0"/>
        <v>16.5</v>
      </c>
      <c r="I12" s="438">
        <f t="shared" si="0"/>
        <v>0</v>
      </c>
      <c r="J12" s="438">
        <f>IF(G9=0,0,((J13-J11)/2)+J11)</f>
        <v>8.5</v>
      </c>
      <c r="K12" s="436"/>
      <c r="L12" s="433">
        <f>IF('GPS Anthro Tool'!$B$35=0,0,C12/2)</f>
        <v>0</v>
      </c>
      <c r="M12" s="171">
        <f>IF('GPS Anthro Tool'!$B$35=0,0,-C12/2)</f>
        <v>0</v>
      </c>
    </row>
    <row r="13" spans="1:13">
      <c r="A13" s="171">
        <v>90</v>
      </c>
      <c r="B13" s="171">
        <v>55.5</v>
      </c>
      <c r="C13" s="171">
        <v>27.7</v>
      </c>
      <c r="D13" s="431">
        <v>22.5</v>
      </c>
      <c r="E13" s="171">
        <v>30.8</v>
      </c>
      <c r="F13" s="171">
        <f>IF('GPS Anthro Tool'!$B$35=0,0,35.2+'GPS Anthro Tool'!$B$41)</f>
        <v>0</v>
      </c>
      <c r="G13" s="431">
        <v>13.1</v>
      </c>
      <c r="H13" s="431">
        <v>16.8</v>
      </c>
      <c r="I13" s="431">
        <v>6.2</v>
      </c>
      <c r="J13" s="431">
        <v>8.5</v>
      </c>
      <c r="K13" s="436"/>
      <c r="L13" s="433">
        <f>IF('GPS Anthro Tool'!$B$35=0,0,C13/2)</f>
        <v>0</v>
      </c>
      <c r="M13" s="171">
        <f>IF('GPS Anthro Tool'!$B$35=0,0,-C13/2)</f>
        <v>0</v>
      </c>
    </row>
    <row r="14" spans="1:13">
      <c r="A14" s="171">
        <v>95</v>
      </c>
      <c r="B14" s="171">
        <v>57.6</v>
      </c>
      <c r="C14" s="171">
        <v>28.5</v>
      </c>
      <c r="D14" s="431">
        <v>23</v>
      </c>
      <c r="E14" s="171">
        <v>31.6</v>
      </c>
      <c r="F14" s="171">
        <f>IF('GPS Anthro Tool'!$B$35=0,0,36.5+'GPS Anthro Tool'!$B$41)</f>
        <v>0</v>
      </c>
      <c r="G14" s="431">
        <v>13.3</v>
      </c>
      <c r="H14" s="431">
        <v>17.8</v>
      </c>
      <c r="I14" s="431">
        <v>6.5</v>
      </c>
      <c r="J14" s="431">
        <v>8.9</v>
      </c>
      <c r="K14" s="436"/>
      <c r="L14" s="433">
        <f>IF('GPS Anthro Tool'!$B$35=0,0,C14/2)</f>
        <v>0</v>
      </c>
      <c r="M14" s="171">
        <f>IF('GPS Anthro Tool'!$B$35=0,0,-C14/2)</f>
        <v>0</v>
      </c>
    </row>
    <row r="15" spans="1:13">
      <c r="A15" s="171">
        <v>100</v>
      </c>
      <c r="B15" s="171">
        <v>59.7</v>
      </c>
      <c r="C15" s="171">
        <v>29.3</v>
      </c>
      <c r="D15" s="431">
        <v>23.5</v>
      </c>
      <c r="E15" s="171">
        <v>32.4</v>
      </c>
      <c r="F15" s="171">
        <f>IF('GPS Anthro Tool'!$B$35=0,0,37.8+'GPS Anthro Tool'!$B$41)</f>
        <v>0</v>
      </c>
      <c r="G15" s="431">
        <v>13.5</v>
      </c>
      <c r="H15" s="431">
        <v>18.2</v>
      </c>
      <c r="I15" s="431">
        <v>6.5</v>
      </c>
      <c r="J15" s="431">
        <v>9.6</v>
      </c>
      <c r="K15" s="436"/>
      <c r="L15" s="433">
        <f>IF('GPS Anthro Tool'!$B$35=0,0,C15/2)</f>
        <v>0</v>
      </c>
      <c r="M15" s="171">
        <f>IF('GPS Anthro Tool'!$B$35=0,0,-C15/2)</f>
        <v>0</v>
      </c>
    </row>
    <row r="16" spans="1:13">
      <c r="A16" s="171">
        <v>105</v>
      </c>
      <c r="B16" s="171">
        <v>61.8</v>
      </c>
      <c r="C16" s="171">
        <v>30.1</v>
      </c>
      <c r="D16" s="431">
        <v>24.9</v>
      </c>
      <c r="E16" s="171">
        <v>33.200000000000003</v>
      </c>
      <c r="F16" s="171">
        <f>IF('GPS Anthro Tool'!$B$35=0,0,39.1+'GPS Anthro Tool'!$B$41)</f>
        <v>0</v>
      </c>
      <c r="G16" s="431">
        <v>13.6</v>
      </c>
      <c r="H16" s="431">
        <v>18.8</v>
      </c>
      <c r="I16" s="431">
        <v>6.6</v>
      </c>
      <c r="J16" s="431">
        <v>10.3</v>
      </c>
      <c r="K16" s="436"/>
      <c r="L16" s="433">
        <f>IF('GPS Anthro Tool'!$B$35=0,0,C16/2)</f>
        <v>0</v>
      </c>
      <c r="M16" s="171">
        <f>IF('GPS Anthro Tool'!$B$35=0,0,-C16/2)</f>
        <v>0</v>
      </c>
    </row>
    <row r="17" spans="1:13">
      <c r="A17" s="171">
        <v>110</v>
      </c>
      <c r="B17" s="171">
        <v>63.9</v>
      </c>
      <c r="C17" s="171">
        <v>30.9</v>
      </c>
      <c r="D17" s="431">
        <v>26.3</v>
      </c>
      <c r="E17" s="171">
        <v>34</v>
      </c>
      <c r="F17" s="171">
        <f>IF('GPS Anthro Tool'!$B$35=0,0,40.4+'GPS Anthro Tool'!$B$41)</f>
        <v>0</v>
      </c>
      <c r="G17" s="431">
        <v>13.9</v>
      </c>
      <c r="H17" s="431">
        <v>19.600000000000001</v>
      </c>
      <c r="I17" s="431">
        <v>6.6</v>
      </c>
      <c r="J17" s="431">
        <v>10.3</v>
      </c>
      <c r="K17" s="436"/>
      <c r="L17" s="433">
        <f>IF('GPS Anthro Tool'!$B$35=0,0,C17/2)</f>
        <v>0</v>
      </c>
      <c r="M17" s="171">
        <f>IF('GPS Anthro Tool'!$B$35=0,0,-C17/2)</f>
        <v>0</v>
      </c>
    </row>
    <row r="18" spans="1:13">
      <c r="A18" s="171">
        <v>115</v>
      </c>
      <c r="B18" s="171">
        <v>66</v>
      </c>
      <c r="C18" s="171">
        <v>32.1</v>
      </c>
      <c r="D18" s="431">
        <v>27.7</v>
      </c>
      <c r="E18" s="171">
        <v>35.5</v>
      </c>
      <c r="F18" s="171">
        <f>IF('GPS Anthro Tool'!$B$35=0,0,41.7+'GPS Anthro Tool'!$B$41)</f>
        <v>0</v>
      </c>
      <c r="G18" s="431">
        <v>13.9</v>
      </c>
      <c r="H18" s="431">
        <v>19.899999999999999</v>
      </c>
      <c r="I18" s="431">
        <v>6.6</v>
      </c>
      <c r="J18" s="431">
        <v>10.4</v>
      </c>
      <c r="K18" s="436"/>
      <c r="L18" s="433">
        <f>IF('GPS Anthro Tool'!$B$35=0,0,C18/2)</f>
        <v>0</v>
      </c>
      <c r="M18" s="171">
        <f>IF('GPS Anthro Tool'!$B$35=0,0,-C18/2)</f>
        <v>0</v>
      </c>
    </row>
    <row r="19" spans="1:13">
      <c r="A19" s="171">
        <v>120</v>
      </c>
      <c r="B19" s="171">
        <v>68.099999999999994</v>
      </c>
      <c r="C19" s="431">
        <v>33.299999999999997</v>
      </c>
      <c r="D19" s="431">
        <v>29.1</v>
      </c>
      <c r="E19" s="171">
        <v>37</v>
      </c>
      <c r="F19" s="171">
        <f>IF('GPS Anthro Tool'!$B$35=0,0,43+'GPS Anthro Tool'!$B$41)</f>
        <v>0</v>
      </c>
      <c r="G19" s="431">
        <v>14.3</v>
      </c>
      <c r="H19" s="431">
        <v>20.2</v>
      </c>
      <c r="I19" s="431">
        <v>6.8</v>
      </c>
      <c r="J19" s="431">
        <v>10.5</v>
      </c>
      <c r="K19" s="436"/>
      <c r="L19" s="433">
        <f>IF('GPS Anthro Tool'!$B$35=0,0,C19/2)</f>
        <v>0</v>
      </c>
      <c r="M19" s="171">
        <f>IF('GPS Anthro Tool'!$B$35=0,0,-C19/2)</f>
        <v>0</v>
      </c>
    </row>
    <row r="20" spans="1:13">
      <c r="A20" s="171">
        <v>125</v>
      </c>
      <c r="B20" s="171">
        <v>70.2</v>
      </c>
      <c r="C20" s="431">
        <v>33.299999999999997</v>
      </c>
      <c r="D20" s="431">
        <v>29.1</v>
      </c>
      <c r="E20" s="171">
        <v>38.5</v>
      </c>
      <c r="F20" s="171">
        <f>IF('GPS Anthro Tool'!$B$35=0,0,44.3+'GPS Anthro Tool'!$B$41)</f>
        <v>0</v>
      </c>
      <c r="G20" s="431">
        <v>14.7</v>
      </c>
      <c r="H20" s="431">
        <v>20.7</v>
      </c>
      <c r="I20" s="431">
        <v>7.5</v>
      </c>
      <c r="J20" s="431">
        <v>10.9</v>
      </c>
      <c r="K20" s="436"/>
      <c r="L20" s="433">
        <f>IF('GPS Anthro Tool'!$B$35=0,0,C20/2)</f>
        <v>0</v>
      </c>
      <c r="M20" s="171">
        <f>IF('GPS Anthro Tool'!$B$35=0,0,-C20/2)</f>
        <v>0</v>
      </c>
    </row>
    <row r="21" spans="1:13" ht="12.95" customHeight="1">
      <c r="A21" s="171">
        <v>130</v>
      </c>
      <c r="B21" s="171">
        <v>72.3</v>
      </c>
      <c r="C21" s="431">
        <v>33.299999999999997</v>
      </c>
      <c r="D21" s="171">
        <v>29.1</v>
      </c>
      <c r="E21" s="171">
        <v>40</v>
      </c>
      <c r="F21" s="171">
        <f>IF('GPS Anthro Tool'!$B$35=0,0,46.1+'GPS Anthro Tool'!$B$41)</f>
        <v>0</v>
      </c>
      <c r="G21" s="784" t="s">
        <v>3443</v>
      </c>
      <c r="H21" s="784"/>
      <c r="I21" s="784"/>
      <c r="J21" s="784"/>
      <c r="K21" s="436"/>
      <c r="L21" s="433">
        <f>IF('GPS Anthro Tool'!$B$35=0,0,C21/2)</f>
        <v>0</v>
      </c>
      <c r="M21" s="171">
        <f>IF('GPS Anthro Tool'!$B$35=0,0,-C21/2)</f>
        <v>0</v>
      </c>
    </row>
    <row r="22" spans="1:13">
      <c r="A22" s="171">
        <v>135</v>
      </c>
      <c r="B22" s="171">
        <v>74.400000000000006</v>
      </c>
      <c r="C22" s="431">
        <v>33.299999999999997</v>
      </c>
      <c r="D22" s="171">
        <v>29.1</v>
      </c>
      <c r="E22" s="171">
        <v>41.5</v>
      </c>
      <c r="F22" s="171">
        <f>IF('GPS Anthro Tool'!$B$35=0,0,47.9+'GPS Anthro Tool'!$B$41)</f>
        <v>0</v>
      </c>
      <c r="G22" s="784"/>
      <c r="H22" s="784"/>
      <c r="I22" s="784"/>
      <c r="J22" s="784"/>
      <c r="K22" s="436"/>
      <c r="L22" s="433">
        <f>IF('GPS Anthro Tool'!$B$35=0,0,C22/2)</f>
        <v>0</v>
      </c>
      <c r="M22" s="171">
        <f>IF('GPS Anthro Tool'!$B$35=0,0,-C22/2)</f>
        <v>0</v>
      </c>
    </row>
    <row r="23" spans="1:13">
      <c r="A23" s="171">
        <v>140</v>
      </c>
      <c r="B23" s="171">
        <v>76.5</v>
      </c>
      <c r="C23" s="431">
        <v>34.200000000000003</v>
      </c>
      <c r="D23" s="171">
        <v>29.6</v>
      </c>
      <c r="E23" s="171">
        <v>43</v>
      </c>
      <c r="F23" s="171">
        <f>IF('GPS Anthro Tool'!$B$35=0,0,49.7+'GPS Anthro Tool'!$B$41)</f>
        <v>0</v>
      </c>
      <c r="G23" s="784"/>
      <c r="H23" s="784"/>
      <c r="I23" s="784"/>
      <c r="J23" s="784"/>
      <c r="K23" s="436"/>
      <c r="L23" s="433">
        <f>IF('GPS Anthro Tool'!$B$35=0,0,C23/2)</f>
        <v>0</v>
      </c>
      <c r="M23" s="171">
        <f>IF('GPS Anthro Tool'!$B$35=0,0,-C23/2)</f>
        <v>0</v>
      </c>
    </row>
    <row r="24" spans="1:13">
      <c r="A24" s="171">
        <v>145</v>
      </c>
      <c r="B24" s="171">
        <v>78.599999999999994</v>
      </c>
      <c r="C24" s="431">
        <v>35.299999999999997</v>
      </c>
      <c r="D24" s="171">
        <v>30.8</v>
      </c>
      <c r="E24" s="171">
        <v>44.5</v>
      </c>
      <c r="F24" s="171">
        <f>IF('GPS Anthro Tool'!$B$35=0,0,51.5+'GPS Anthro Tool'!$B$41)</f>
        <v>0</v>
      </c>
      <c r="G24" s="784"/>
      <c r="H24" s="784"/>
      <c r="I24" s="784"/>
      <c r="J24" s="784"/>
      <c r="K24" s="436"/>
      <c r="L24" s="433">
        <f>IF('GPS Anthro Tool'!$B$35=0,0,C24/2)</f>
        <v>0</v>
      </c>
      <c r="M24" s="171">
        <f>IF('GPS Anthro Tool'!$B$35=0,0,-C24/2)</f>
        <v>0</v>
      </c>
    </row>
    <row r="25" spans="1:13">
      <c r="A25" s="171">
        <v>150</v>
      </c>
      <c r="B25" s="171">
        <v>81.099999999999994</v>
      </c>
      <c r="C25" s="431">
        <v>36.4</v>
      </c>
      <c r="D25" s="171">
        <v>32</v>
      </c>
      <c r="E25" s="171">
        <v>46.3</v>
      </c>
      <c r="F25" s="171">
        <f>IF('GPS Anthro Tool'!$B$35=0,0,53.3+'GPS Anthro Tool'!$B$41)</f>
        <v>0</v>
      </c>
      <c r="G25" s="784"/>
      <c r="H25" s="784"/>
      <c r="I25" s="784"/>
      <c r="J25" s="784"/>
      <c r="K25" s="436"/>
      <c r="L25" s="434">
        <f>IF('GPS Anthro Tool'!$B$35=0,0,C25/2)</f>
        <v>0</v>
      </c>
      <c r="M25" s="435">
        <f>IF('GPS Anthro Tool'!$B$35=0,0,-C25/2)</f>
        <v>0</v>
      </c>
    </row>
    <row r="28" spans="1:13">
      <c r="A28" s="780" t="s">
        <v>3448</v>
      </c>
      <c r="B28" s="781"/>
      <c r="C28" s="781"/>
      <c r="D28" s="781"/>
      <c r="E28" s="781"/>
      <c r="F28" s="781"/>
      <c r="G28" s="781"/>
      <c r="H28" s="781"/>
      <c r="I28" s="781"/>
      <c r="J28" s="782"/>
    </row>
    <row r="29" spans="1:13">
      <c r="A29" s="440">
        <f>IF(A9&gt;'GPS Anthro Tool'!$B$14,0,IF(A9&lt;'GPS Anthro Tool'!$B$15,0,A9))</f>
        <v>75</v>
      </c>
      <c r="D29" s="441">
        <f t="shared" ref="D29:D40" si="1">IF($A29=0,0,D9)</f>
        <v>19.600000000000001</v>
      </c>
      <c r="E29" s="171"/>
      <c r="F29" s="171"/>
      <c r="G29" s="441">
        <f t="shared" ref="G29:J40" si="2">IF($A29=0,0,G9)</f>
        <v>12.5</v>
      </c>
      <c r="H29" s="441">
        <f t="shared" si="2"/>
        <v>15.1</v>
      </c>
      <c r="I29" s="441">
        <f t="shared" si="2"/>
        <v>5.7</v>
      </c>
      <c r="J29" s="442">
        <f t="shared" si="2"/>
        <v>8.4</v>
      </c>
    </row>
    <row r="30" spans="1:13">
      <c r="A30" s="440">
        <f>IF(A10&gt;'GPS Anthro Tool'!$B$14,0,IF(A10&lt;'GPS Anthro Tool'!$B$15,0,A10))</f>
        <v>0</v>
      </c>
      <c r="D30" s="441">
        <f t="shared" si="1"/>
        <v>0</v>
      </c>
      <c r="E30" s="171"/>
      <c r="F30" s="171"/>
      <c r="G30" s="441">
        <f t="shared" si="2"/>
        <v>0</v>
      </c>
      <c r="H30" s="441">
        <f t="shared" si="2"/>
        <v>0</v>
      </c>
      <c r="I30" s="441">
        <f t="shared" si="2"/>
        <v>0</v>
      </c>
      <c r="J30" s="442">
        <f t="shared" si="2"/>
        <v>0</v>
      </c>
    </row>
    <row r="31" spans="1:13">
      <c r="A31" s="440">
        <f>IF(A11&gt;'GPS Anthro Tool'!$B$14,0,IF(A11&lt;'GPS Anthro Tool'!$B$15,0,A11))</f>
        <v>0</v>
      </c>
      <c r="D31" s="441">
        <f t="shared" si="1"/>
        <v>0</v>
      </c>
      <c r="E31" s="171"/>
      <c r="F31" s="171"/>
      <c r="G31" s="441">
        <f t="shared" si="2"/>
        <v>0</v>
      </c>
      <c r="H31" s="441">
        <f t="shared" si="2"/>
        <v>0</v>
      </c>
      <c r="I31" s="441">
        <f t="shared" si="2"/>
        <v>0</v>
      </c>
      <c r="J31" s="442">
        <f t="shared" si="2"/>
        <v>0</v>
      </c>
    </row>
    <row r="32" spans="1:13">
      <c r="A32" s="440">
        <f>IF(A12&gt;'GPS Anthro Tool'!$B$14,0,IF(A12&lt;'GPS Anthro Tool'!$B$15,0,A12))</f>
        <v>0</v>
      </c>
      <c r="D32" s="441">
        <f t="shared" si="1"/>
        <v>0</v>
      </c>
      <c r="E32" s="167"/>
      <c r="F32" s="186"/>
      <c r="G32" s="441">
        <f t="shared" si="2"/>
        <v>0</v>
      </c>
      <c r="H32" s="441">
        <f t="shared" si="2"/>
        <v>0</v>
      </c>
      <c r="I32" s="443">
        <f t="shared" si="2"/>
        <v>0</v>
      </c>
      <c r="J32" s="442">
        <f t="shared" si="2"/>
        <v>0</v>
      </c>
    </row>
    <row r="33" spans="1:10">
      <c r="A33" s="440">
        <f>IF(A13&gt;'GPS Anthro Tool'!$B$14,0,IF(A13&lt;'GPS Anthro Tool'!$B$15,0,A13))</f>
        <v>0</v>
      </c>
      <c r="D33" s="441">
        <f t="shared" si="1"/>
        <v>0</v>
      </c>
      <c r="E33" s="171"/>
      <c r="F33" s="171"/>
      <c r="G33" s="441">
        <f t="shared" si="2"/>
        <v>0</v>
      </c>
      <c r="H33" s="441">
        <f t="shared" si="2"/>
        <v>0</v>
      </c>
      <c r="I33" s="441">
        <f t="shared" si="2"/>
        <v>0</v>
      </c>
      <c r="J33" s="442">
        <f t="shared" si="2"/>
        <v>0</v>
      </c>
    </row>
    <row r="34" spans="1:10">
      <c r="A34" s="440">
        <f>IF(A14&gt;'GPS Anthro Tool'!$B$14,0,IF(A14&lt;'GPS Anthro Tool'!$B$15,0,A14))</f>
        <v>0</v>
      </c>
      <c r="D34" s="441">
        <f t="shared" si="1"/>
        <v>0</v>
      </c>
      <c r="E34" s="171"/>
      <c r="F34" s="171"/>
      <c r="G34" s="441">
        <f t="shared" si="2"/>
        <v>0</v>
      </c>
      <c r="H34" s="441">
        <f t="shared" si="2"/>
        <v>0</v>
      </c>
      <c r="I34" s="441">
        <f t="shared" si="2"/>
        <v>0</v>
      </c>
      <c r="J34" s="442">
        <f t="shared" si="2"/>
        <v>0</v>
      </c>
    </row>
    <row r="35" spans="1:10">
      <c r="A35" s="440">
        <f>IF(A15&gt;'GPS Anthro Tool'!$B$14,0,IF(A15&lt;'GPS Anthro Tool'!$B$15,0,A15))</f>
        <v>0</v>
      </c>
      <c r="D35" s="441">
        <f t="shared" si="1"/>
        <v>0</v>
      </c>
      <c r="E35" s="171"/>
      <c r="F35" s="171"/>
      <c r="G35" s="441">
        <f t="shared" si="2"/>
        <v>0</v>
      </c>
      <c r="H35" s="441">
        <f t="shared" si="2"/>
        <v>0</v>
      </c>
      <c r="I35" s="441">
        <f t="shared" si="2"/>
        <v>0</v>
      </c>
      <c r="J35" s="442">
        <f t="shared" si="2"/>
        <v>0</v>
      </c>
    </row>
    <row r="36" spans="1:10">
      <c r="A36" s="440">
        <f>IF(A16&gt;'GPS Anthro Tool'!$B$14,0,IF(A16&lt;'GPS Anthro Tool'!$B$15,0,A16))</f>
        <v>0</v>
      </c>
      <c r="D36" s="441">
        <f t="shared" si="1"/>
        <v>0</v>
      </c>
      <c r="E36" s="171"/>
      <c r="F36" s="171"/>
      <c r="G36" s="441">
        <f t="shared" si="2"/>
        <v>0</v>
      </c>
      <c r="H36" s="441">
        <f t="shared" si="2"/>
        <v>0</v>
      </c>
      <c r="I36" s="441">
        <f t="shared" si="2"/>
        <v>0</v>
      </c>
      <c r="J36" s="442">
        <f t="shared" si="2"/>
        <v>0</v>
      </c>
    </row>
    <row r="37" spans="1:10">
      <c r="A37" s="440">
        <f>IF(A17&gt;'GPS Anthro Tool'!$B$14,0,IF(A17&lt;'GPS Anthro Tool'!$B$15,0,A17))</f>
        <v>0</v>
      </c>
      <c r="D37" s="441">
        <f t="shared" si="1"/>
        <v>0</v>
      </c>
      <c r="E37" s="171"/>
      <c r="F37" s="171"/>
      <c r="G37" s="441">
        <f t="shared" si="2"/>
        <v>0</v>
      </c>
      <c r="H37" s="441">
        <f t="shared" si="2"/>
        <v>0</v>
      </c>
      <c r="I37" s="441">
        <f t="shared" si="2"/>
        <v>0</v>
      </c>
      <c r="J37" s="442">
        <f t="shared" si="2"/>
        <v>0</v>
      </c>
    </row>
    <row r="38" spans="1:10">
      <c r="A38" s="440">
        <f>IF(A18&gt;'GPS Anthro Tool'!$B$14,0,IF(A18&lt;'GPS Anthro Tool'!$B$15,0,A18))</f>
        <v>0</v>
      </c>
      <c r="D38" s="441">
        <f t="shared" si="1"/>
        <v>0</v>
      </c>
      <c r="E38" s="171"/>
      <c r="F38" s="171"/>
      <c r="G38" s="441">
        <f t="shared" si="2"/>
        <v>0</v>
      </c>
      <c r="H38" s="441">
        <f t="shared" si="2"/>
        <v>0</v>
      </c>
      <c r="I38" s="441">
        <f t="shared" si="2"/>
        <v>0</v>
      </c>
      <c r="J38" s="442">
        <f t="shared" si="2"/>
        <v>0</v>
      </c>
    </row>
    <row r="39" spans="1:10">
      <c r="A39" s="440">
        <f>IF(A19&gt;'GPS Anthro Tool'!$B$14,0,IF(A19&lt;'GPS Anthro Tool'!$B$15,0,A19))</f>
        <v>0</v>
      </c>
      <c r="D39" s="441">
        <f t="shared" si="1"/>
        <v>0</v>
      </c>
      <c r="E39" s="171"/>
      <c r="F39" s="171"/>
      <c r="G39" s="441">
        <f t="shared" si="2"/>
        <v>0</v>
      </c>
      <c r="H39" s="441">
        <f t="shared" si="2"/>
        <v>0</v>
      </c>
      <c r="I39" s="441">
        <f t="shared" si="2"/>
        <v>0</v>
      </c>
      <c r="J39" s="442">
        <f t="shared" si="2"/>
        <v>0</v>
      </c>
    </row>
    <row r="40" spans="1:10">
      <c r="A40" s="444">
        <f>IF(A20&gt;'GPS Anthro Tool'!$B$14,0,IF(A20&lt;'GPS Anthro Tool'!$B$15,0,A20))</f>
        <v>0</v>
      </c>
      <c r="B40" s="445"/>
      <c r="C40" s="445"/>
      <c r="D40" s="446">
        <f t="shared" si="1"/>
        <v>0</v>
      </c>
      <c r="E40" s="435"/>
      <c r="F40" s="435"/>
      <c r="G40" s="446">
        <f t="shared" si="2"/>
        <v>0</v>
      </c>
      <c r="H40" s="446">
        <f t="shared" si="2"/>
        <v>0</v>
      </c>
      <c r="I40" s="446">
        <f t="shared" si="2"/>
        <v>0</v>
      </c>
      <c r="J40" s="447">
        <f t="shared" si="2"/>
        <v>0</v>
      </c>
    </row>
    <row r="43" spans="1:10">
      <c r="D43" s="780" t="s">
        <v>3446</v>
      </c>
      <c r="E43" s="781"/>
      <c r="F43" s="781"/>
      <c r="G43" s="782"/>
    </row>
    <row r="44" spans="1:10">
      <c r="D44" s="433">
        <f>D45</f>
        <v>0</v>
      </c>
      <c r="G44" s="448">
        <f>IF('GPS Anthro Tool'!B4=1,0,IF('GPS Anthro Tool'!$B$5=1,IF('GPS Anthro Tool'!$B$34=1,SMALL($I$29:$I$40,COUNTIF($I$29:$I$40,0)+1)),0))</f>
        <v>0</v>
      </c>
    </row>
    <row r="45" spans="1:10">
      <c r="D45" s="433">
        <f>-D46</f>
        <v>0</v>
      </c>
      <c r="G45" s="448">
        <f>G46</f>
        <v>0</v>
      </c>
    </row>
    <row r="46" spans="1:10">
      <c r="D46" s="449">
        <f>IF('GPS Anthro Tool'!B4=1,0,IF('GPS Anthro Tool'!$B$5=1,IF('GPS Anthro Tool'!$B$34=1,-SMALL($D$29:$D$40,COUNTIF($D$29:$D$40,0)+1)/2),0))</f>
        <v>0</v>
      </c>
      <c r="G46" s="450">
        <f>IF('GPS Anthro Tool'!B4=1,0,IF('GPS Anthro Tool'!$B$5=1,IF('GPS Anthro Tool'!$B$34=1,-SMALL($G$29:$G$40,COUNTIF($G$29:$G$40,0)+1)),0))</f>
        <v>0</v>
      </c>
    </row>
    <row r="47" spans="1:10">
      <c r="D47" s="433">
        <f>D46</f>
        <v>0</v>
      </c>
      <c r="G47" s="448">
        <f>G44</f>
        <v>0</v>
      </c>
    </row>
    <row r="48" spans="1:10">
      <c r="D48" s="434">
        <f>D44</f>
        <v>0</v>
      </c>
      <c r="E48" s="445"/>
      <c r="F48" s="445"/>
      <c r="G48" s="451">
        <f>G47</f>
        <v>0</v>
      </c>
    </row>
    <row r="49" spans="4:7">
      <c r="D49" s="171"/>
      <c r="G49" s="171"/>
    </row>
    <row r="50" spans="4:7">
      <c r="D50" s="780" t="s">
        <v>3447</v>
      </c>
      <c r="E50" s="781"/>
      <c r="F50" s="781"/>
      <c r="G50" s="782"/>
    </row>
    <row r="51" spans="4:7">
      <c r="D51" s="433">
        <f>D52</f>
        <v>0</v>
      </c>
      <c r="G51" s="448">
        <f>G55</f>
        <v>0</v>
      </c>
    </row>
    <row r="52" spans="4:7">
      <c r="D52" s="433">
        <f>-D53</f>
        <v>0</v>
      </c>
      <c r="G52" s="448">
        <f>G53</f>
        <v>0</v>
      </c>
    </row>
    <row r="53" spans="4:7">
      <c r="D53" s="449">
        <f>IF('GPS Anthro Tool'!B4=1,0,IF('GPS Anthro Tool'!$B$5=1,IF('GPS Anthro Tool'!$B$34=1,-MAX($D$29:$D$40)/2),0))</f>
        <v>0</v>
      </c>
      <c r="G53" s="450">
        <f>IF('GPS Anthro Tool'!B4=1,0,IF('GPS Anthro Tool'!$B$5=1,IF('GPS Anthro Tool'!$B$34=1,-MAX($H$29:$H$40)),0))</f>
        <v>0</v>
      </c>
    </row>
    <row r="54" spans="4:7">
      <c r="D54" s="433">
        <f>D53</f>
        <v>0</v>
      </c>
      <c r="G54" s="448">
        <f>IF('GPS Anthro Tool'!B4=1,0,IF('GPS Anthro Tool'!$B$5=1,IF('GPS Anthro Tool'!$B$34=1,MAX($J$29:$J$40)),0))</f>
        <v>0</v>
      </c>
    </row>
    <row r="55" spans="4:7">
      <c r="D55" s="434">
        <f>D51</f>
        <v>0</v>
      </c>
      <c r="E55" s="445"/>
      <c r="F55" s="445"/>
      <c r="G55" s="451">
        <f>G54</f>
        <v>0</v>
      </c>
    </row>
  </sheetData>
  <sheetProtection selectLockedCells="1" selectUnlockedCells="1"/>
  <mergeCells count="6">
    <mergeCell ref="D50:G50"/>
    <mergeCell ref="G3:J8"/>
    <mergeCell ref="G21:J25"/>
    <mergeCell ref="L1:M1"/>
    <mergeCell ref="A28:J28"/>
    <mergeCell ref="D43:G43"/>
  </mergeCells>
  <phoneticPr fontId="104"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70C0"/>
  </sheetPr>
  <dimension ref="A1:DB94"/>
  <sheetViews>
    <sheetView workbookViewId="0">
      <pane xSplit="2" ySplit="1" topLeftCell="C2" activePane="bottomRight" state="frozen"/>
      <selection pane="topRight" activeCell="C1" sqref="C1"/>
      <selection pane="bottomLeft" activeCell="A2" sqref="A2"/>
      <selection pane="bottomRight"/>
    </sheetView>
  </sheetViews>
  <sheetFormatPr defaultRowHeight="12.75"/>
  <cols>
    <col min="2" max="2" width="3.7109375" customWidth="1"/>
    <col min="6" max="6" width="1.7109375" customWidth="1"/>
    <col min="10" max="10" width="1.7109375" customWidth="1"/>
    <col min="14" max="14" width="1.7109375" customWidth="1"/>
    <col min="18" max="18" width="1.7109375" customWidth="1"/>
    <col min="22" max="22" width="1.7109375" customWidth="1"/>
    <col min="26" max="26" width="1.7109375" customWidth="1"/>
    <col min="30" max="30" width="1.7109375" customWidth="1"/>
    <col min="34" max="34" width="1.7109375" customWidth="1"/>
    <col min="38" max="38" width="1.7109375" customWidth="1"/>
    <col min="42" max="42" width="1.7109375" customWidth="1"/>
    <col min="46" max="46" width="1.7109375" customWidth="1"/>
    <col min="50" max="50" width="1.7109375" customWidth="1"/>
    <col min="54" max="54" width="1.7109375" customWidth="1"/>
    <col min="62" max="62" width="1.7109375" customWidth="1"/>
    <col min="66" max="66" width="1.7109375" style="214" customWidth="1"/>
    <col min="70" max="70" width="1.7109375" customWidth="1"/>
    <col min="74" max="74" width="1.7109375" style="214" customWidth="1"/>
    <col min="78" max="78" width="1.7109375" customWidth="1"/>
    <col min="82" max="82" width="1.7109375" style="214" customWidth="1"/>
    <col min="86" max="86" width="1.7109375" customWidth="1"/>
  </cols>
  <sheetData>
    <row r="1" spans="1:106" s="682" customFormat="1" ht="59.1" customHeight="1">
      <c r="C1" s="787" t="s">
        <v>526</v>
      </c>
      <c r="D1" s="787"/>
      <c r="E1" s="787"/>
      <c r="G1" s="787" t="s">
        <v>527</v>
      </c>
      <c r="H1" s="787"/>
      <c r="I1" s="787"/>
      <c r="J1" s="684"/>
      <c r="K1" s="787" t="s">
        <v>528</v>
      </c>
      <c r="L1" s="787"/>
      <c r="M1" s="787"/>
      <c r="O1" s="787" t="s">
        <v>529</v>
      </c>
      <c r="P1" s="787"/>
      <c r="Q1" s="787"/>
      <c r="S1" s="787" t="s">
        <v>530</v>
      </c>
      <c r="T1" s="787"/>
      <c r="U1" s="787"/>
      <c r="W1" s="787" t="s">
        <v>531</v>
      </c>
      <c r="X1" s="787"/>
      <c r="Y1" s="787"/>
      <c r="Z1" s="684"/>
      <c r="AA1" s="787" t="s">
        <v>532</v>
      </c>
      <c r="AB1" s="787"/>
      <c r="AC1" s="787"/>
      <c r="AD1" s="684"/>
      <c r="AE1" s="787" t="s">
        <v>533</v>
      </c>
      <c r="AF1" s="787"/>
      <c r="AG1" s="787"/>
      <c r="AH1" s="685"/>
      <c r="AI1" s="787" t="s">
        <v>548</v>
      </c>
      <c r="AJ1" s="787"/>
      <c r="AK1" s="787"/>
      <c r="AL1" s="685"/>
      <c r="AM1" s="787" t="s">
        <v>535</v>
      </c>
      <c r="AN1" s="787"/>
      <c r="AO1" s="787"/>
      <c r="AP1" s="685"/>
      <c r="AQ1" s="787" t="s">
        <v>536</v>
      </c>
      <c r="AR1" s="787"/>
      <c r="AS1" s="787"/>
      <c r="AT1" s="685"/>
      <c r="AU1" s="787" t="s">
        <v>537</v>
      </c>
      <c r="AV1" s="787"/>
      <c r="AW1" s="787"/>
      <c r="AX1" s="685"/>
      <c r="AY1" s="787" t="s">
        <v>538</v>
      </c>
      <c r="AZ1" s="787"/>
      <c r="BA1" s="787"/>
      <c r="BB1" s="685"/>
      <c r="BC1" s="787" t="s">
        <v>534</v>
      </c>
      <c r="BD1" s="787"/>
      <c r="BE1" s="787"/>
      <c r="BF1" s="686"/>
      <c r="BG1" s="787" t="s">
        <v>548</v>
      </c>
      <c r="BH1" s="787"/>
      <c r="BI1" s="787"/>
      <c r="BJ1" s="687"/>
      <c r="BK1" s="787" t="s">
        <v>542</v>
      </c>
      <c r="BL1" s="787"/>
      <c r="BM1" s="787"/>
      <c r="BN1" s="687"/>
      <c r="BO1" s="787" t="s">
        <v>543</v>
      </c>
      <c r="BP1" s="787"/>
      <c r="BQ1" s="787"/>
      <c r="BR1" s="687"/>
      <c r="BS1" s="787" t="s">
        <v>544</v>
      </c>
      <c r="BT1" s="787"/>
      <c r="BU1" s="787"/>
      <c r="BV1" s="688"/>
      <c r="BW1" s="296" t="s">
        <v>545</v>
      </c>
      <c r="BX1" s="683"/>
      <c r="BY1" s="683"/>
      <c r="BZ1" s="688"/>
      <c r="CA1" s="787" t="s">
        <v>546</v>
      </c>
      <c r="CB1" s="787"/>
      <c r="CC1" s="787"/>
      <c r="CD1" s="688"/>
      <c r="CE1" s="787" t="s">
        <v>547</v>
      </c>
      <c r="CF1" s="787"/>
      <c r="CG1" s="787"/>
      <c r="CH1" s="688"/>
    </row>
    <row r="2" spans="1:106">
      <c r="A2" s="171" t="s">
        <v>204</v>
      </c>
      <c r="B2" s="82"/>
      <c r="C2" s="156" t="s">
        <v>308</v>
      </c>
      <c r="D2" s="156" t="s">
        <v>435</v>
      </c>
      <c r="E2" s="156" t="s">
        <v>309</v>
      </c>
      <c r="F2" s="171"/>
      <c r="G2" s="156" t="s">
        <v>308</v>
      </c>
      <c r="H2" s="156" t="s">
        <v>435</v>
      </c>
      <c r="I2" s="156" t="s">
        <v>309</v>
      </c>
      <c r="J2" s="156"/>
      <c r="K2" s="156" t="s">
        <v>308</v>
      </c>
      <c r="L2" s="156" t="s">
        <v>435</v>
      </c>
      <c r="M2" s="156" t="s">
        <v>309</v>
      </c>
      <c r="N2" s="82"/>
      <c r="O2" s="156" t="s">
        <v>308</v>
      </c>
      <c r="P2" s="156" t="s">
        <v>435</v>
      </c>
      <c r="Q2" s="156" t="s">
        <v>309</v>
      </c>
      <c r="R2" s="82"/>
      <c r="S2" s="156" t="s">
        <v>308</v>
      </c>
      <c r="T2" s="156" t="s">
        <v>435</v>
      </c>
      <c r="U2" s="156" t="s">
        <v>309</v>
      </c>
      <c r="V2" s="82"/>
      <c r="W2" s="156" t="s">
        <v>308</v>
      </c>
      <c r="X2" s="156" t="s">
        <v>435</v>
      </c>
      <c r="Y2" s="156" t="s">
        <v>309</v>
      </c>
      <c r="Z2" s="156"/>
      <c r="AA2" s="156" t="s">
        <v>308</v>
      </c>
      <c r="AB2" s="156" t="s">
        <v>435</v>
      </c>
      <c r="AC2" s="156" t="s">
        <v>309</v>
      </c>
      <c r="AD2" s="156"/>
      <c r="AE2" s="156" t="s">
        <v>308</v>
      </c>
      <c r="AF2" s="156" t="s">
        <v>435</v>
      </c>
      <c r="AG2" s="156" t="s">
        <v>309</v>
      </c>
      <c r="AH2" s="204"/>
      <c r="AI2" s="156" t="s">
        <v>308</v>
      </c>
      <c r="AJ2" s="156" t="s">
        <v>435</v>
      </c>
      <c r="AK2" s="156" t="s">
        <v>309</v>
      </c>
      <c r="AL2" s="204"/>
      <c r="AM2" s="156" t="s">
        <v>308</v>
      </c>
      <c r="AN2" s="156" t="s">
        <v>435</v>
      </c>
      <c r="AO2" s="156" t="s">
        <v>309</v>
      </c>
      <c r="AP2" s="204"/>
      <c r="AQ2" s="156" t="s">
        <v>308</v>
      </c>
      <c r="AR2" s="156" t="s">
        <v>435</v>
      </c>
      <c r="AS2" s="156" t="s">
        <v>309</v>
      </c>
      <c r="AT2" s="204"/>
      <c r="AU2" s="156" t="s">
        <v>308</v>
      </c>
      <c r="AV2" s="156" t="s">
        <v>435</v>
      </c>
      <c r="AW2" s="156" t="s">
        <v>309</v>
      </c>
      <c r="AX2" s="204"/>
      <c r="AY2" s="156" t="s">
        <v>308</v>
      </c>
      <c r="AZ2" s="156" t="s">
        <v>435</v>
      </c>
      <c r="BA2" s="156" t="s">
        <v>309</v>
      </c>
      <c r="BB2" s="204"/>
      <c r="BC2" s="156" t="s">
        <v>308</v>
      </c>
      <c r="BD2" s="156" t="s">
        <v>435</v>
      </c>
      <c r="BE2" s="156" t="s">
        <v>309</v>
      </c>
      <c r="BF2" s="207"/>
      <c r="BG2" s="156" t="s">
        <v>308</v>
      </c>
      <c r="BH2" s="156" t="s">
        <v>435</v>
      </c>
      <c r="BI2" s="156" t="s">
        <v>309</v>
      </c>
      <c r="BJ2" s="205"/>
      <c r="BK2" s="156" t="s">
        <v>308</v>
      </c>
      <c r="BL2" s="156" t="s">
        <v>435</v>
      </c>
      <c r="BM2" s="156" t="s">
        <v>309</v>
      </c>
      <c r="BN2" s="205"/>
      <c r="BO2" s="156" t="s">
        <v>308</v>
      </c>
      <c r="BP2" s="156" t="s">
        <v>435</v>
      </c>
      <c r="BQ2" s="156" t="s">
        <v>309</v>
      </c>
      <c r="BR2" s="205"/>
      <c r="BS2" s="156" t="s">
        <v>308</v>
      </c>
      <c r="BT2" s="156" t="s">
        <v>435</v>
      </c>
      <c r="BU2" s="156" t="s">
        <v>309</v>
      </c>
      <c r="BV2" s="210"/>
      <c r="BW2" s="156" t="s">
        <v>308</v>
      </c>
      <c r="BX2" s="156" t="s">
        <v>435</v>
      </c>
      <c r="BY2" s="156" t="s">
        <v>309</v>
      </c>
      <c r="BZ2" s="210"/>
      <c r="CA2" s="156" t="s">
        <v>308</v>
      </c>
      <c r="CB2" s="156" t="s">
        <v>435</v>
      </c>
      <c r="CC2" s="156" t="s">
        <v>309</v>
      </c>
      <c r="CD2" s="210"/>
      <c r="CE2" s="156" t="s">
        <v>308</v>
      </c>
      <c r="CF2" s="156" t="s">
        <v>435</v>
      </c>
      <c r="CG2" s="156" t="s">
        <v>309</v>
      </c>
      <c r="CH2" s="210"/>
      <c r="CI2" s="82"/>
      <c r="CJ2" s="82"/>
      <c r="CK2" s="82"/>
      <c r="CL2" s="82"/>
      <c r="CM2" s="82"/>
      <c r="CN2" s="82"/>
      <c r="CO2" s="82"/>
      <c r="CP2" s="82"/>
      <c r="CQ2" s="82"/>
      <c r="CR2" s="82"/>
      <c r="CS2" s="82"/>
      <c r="CT2" s="82"/>
      <c r="CU2" s="82"/>
      <c r="CV2" s="82"/>
      <c r="CW2" s="82"/>
      <c r="CX2" s="82"/>
      <c r="CY2" s="82"/>
      <c r="CZ2" s="82"/>
      <c r="DA2" s="82"/>
      <c r="DB2" s="82"/>
    </row>
    <row r="3" spans="1:106">
      <c r="A3" s="184" t="s">
        <v>236</v>
      </c>
      <c r="B3" s="153">
        <v>1</v>
      </c>
      <c r="C3" s="172">
        <f>IF('GPS Anthro Tool'!$B$4=0,0,IF('GPS Anthro Tool'!$B$11=0,0,IF('US Child Data'!$B3=0,0,IF(C21&gt;'GPS Anthro Tool'!$B$16,0,IF(C21&lt;'GPS Anthro Tool'!$B$17,0,C21)))))</f>
        <v>2.8576321199999994</v>
      </c>
      <c r="D3" s="172">
        <f>IF('GPS Anthro Tool'!$B$4=0,0,IF('GPS Anthro Tool'!$B$10=0,0,IF('US Child Data'!$B3=0,0,IF(D21&gt;'GPS Anthro Tool'!$B$16,0,IF(D21&lt;'GPS Anthro Tool'!$B$17,0,D21)))))</f>
        <v>5.3070310799999998</v>
      </c>
      <c r="E3" s="172">
        <f>IF('GPS Anthro Tool'!$B$4=0,0,IF('GPS Anthro Tool'!$B$9=0,0,IF('US Child Data'!$B3=0,0,IF(E21&gt;'GPS Anthro Tool'!$B$16,0,IF(E21&lt;'GPS Anthro Tool'!$B$17,0,E21)))))</f>
        <v>7.7564300399999997</v>
      </c>
      <c r="F3" s="171"/>
      <c r="G3" s="173">
        <f>IF('GPS Anthro Tool'!$B$4=0,0,IF('GPS Anthro Tool'!$B$11=0,0,IF('US Child Data'!$B3=0,0,IF(G21&gt;'GPS Anthro Tool'!$B$14,0,IF(G21&lt;'GPS Anthro Tool'!$B$15,0,IF($C$3=0,0,G21))))))</f>
        <v>48.006</v>
      </c>
      <c r="H3" s="173">
        <f>IF('GPS Anthro Tool'!$B$4=0,0,IF('GPS Anthro Tool'!$B$10=0,0,IF('US Child Data'!$B3=0,0,IF(H21&gt;'GPS Anthro Tool'!$B$14,0,IF(H21&lt;'GPS Anthro Tool'!$B$15,0,IF($D$3=0,0,H21))))))</f>
        <v>56.134</v>
      </c>
      <c r="I3" s="173">
        <f>IF('GPS Anthro Tool'!$B$4=0,0,IF('GPS Anthro Tool'!$B$9=0,0,IF('US Child Data'!$B3=0,0,IF(I21&gt;'GPS Anthro Tool'!$B$14,0,IF(I21&lt;'GPS Anthro Tool'!$B$15,0,IF($E$3=0,0,I21))))))</f>
        <v>64.262</v>
      </c>
      <c r="J3" s="157"/>
      <c r="K3" s="460">
        <f>IF('GPS Anthro Tool'!$B$4=0,0,IF($G3=0,0,K21+'GPS Anthro Tool'!$B$41))</f>
        <v>33.75</v>
      </c>
      <c r="L3" s="460">
        <f>IF('GPS Anthro Tool'!$B$4=0,0,IF($H3=0,0,L21+'GPS Anthro Tool'!$B$41))</f>
        <v>39.845999999999997</v>
      </c>
      <c r="M3" s="460">
        <f>IF('GPS Anthro Tool'!$B$4=0,0,IF($I3=0,0,M21+'GPS Anthro Tool'!$B$41))</f>
        <v>45.942</v>
      </c>
      <c r="N3" s="461"/>
      <c r="O3" s="460">
        <f>IF('GPS Anthro Tool'!$B$4=0,0,IF($G3=0,0,O21+'GPS Anthro Tool'!$B$41))</f>
        <v>23.59</v>
      </c>
      <c r="P3" s="460">
        <f>IF('GPS Anthro Tool'!$B$4=0,0,IF($H3=0,0,P21+'GPS Anthro Tool'!$B$41))</f>
        <v>27.146000000000001</v>
      </c>
      <c r="Q3" s="460">
        <f>IF('GPS Anthro Tool'!$B$4=0,0,IF($I3=0,0,Q21+'GPS Anthro Tool'!$B$41))</f>
        <v>30.702000000000002</v>
      </c>
      <c r="R3" s="157"/>
      <c r="S3" s="174">
        <f>IF('GPS Anthro Tool'!$B$4=0,0,IF($G3=0,0,S21))</f>
        <v>9.3979999999999997</v>
      </c>
      <c r="T3" s="174">
        <f>IF('GPS Anthro Tool'!$B$4=0,0,IF($H3=0,0,T21))</f>
        <v>13.462</v>
      </c>
      <c r="U3" s="174">
        <f>IF('GPS Anthro Tool'!$B$4=0,0,IF($I3=0,0,U21))</f>
        <v>17.526</v>
      </c>
      <c r="V3" s="157"/>
      <c r="W3" s="174">
        <f>IF('GPS Anthro Tool'!$B$4=0,0,IF($G3=0,0,W21))</f>
        <v>12.7</v>
      </c>
      <c r="X3" s="174">
        <f>IF('GPS Anthro Tool'!$B$4=0,0,IF($H3=0,0,X21))</f>
        <v>16.256</v>
      </c>
      <c r="Y3" s="174">
        <f>IF('GPS Anthro Tool'!$B$4=0,0,IF($I3=0,0,Y21))</f>
        <v>19.812000000000001</v>
      </c>
      <c r="Z3" s="157">
        <v>0</v>
      </c>
      <c r="AA3" s="174">
        <f>IF('GPS Anthro Tool'!$B$4=0,0,IF($G3=0,0,AA21))</f>
        <v>8.1213959999999989</v>
      </c>
      <c r="AB3" s="174">
        <f>IF('GPS Anthro Tool'!$B$4=0,0,IF($H3=0,0,AB21))</f>
        <v>9.6418400000000002</v>
      </c>
      <c r="AC3" s="174">
        <f>IF('GPS Anthro Tool'!$B$4=0,0,IF($I3=0,0,AC21))</f>
        <v>11.162284</v>
      </c>
      <c r="AD3" s="86"/>
      <c r="AE3" s="174">
        <f>IF('GPS Anthro Tool'!$B$4=0,0,IF($G3=0,0,AE21))</f>
        <v>4.8259999999999996</v>
      </c>
      <c r="AF3" s="174">
        <f>IF('GPS Anthro Tool'!$B$4=0,0,IF($H3=0,0,AF21))</f>
        <v>5.8419999999999996</v>
      </c>
      <c r="AG3" s="174">
        <f>IF('GPS Anthro Tool'!$B$4=0,0,IF($I3=0,0,AG21))</f>
        <v>6.8579999999999997</v>
      </c>
      <c r="AH3" s="211"/>
      <c r="AI3" s="460">
        <f>IF('GPS Anthro Tool'!$B$4=0,0,IF($G3=0,0,AI21+'GPS Anthro Tool'!$B$42))</f>
        <v>9.1120000000000001</v>
      </c>
      <c r="AJ3" s="460">
        <f>IF('GPS Anthro Tool'!$B$4=0,0,IF($H3=0,0,AJ21+'GPS Anthro Tool'!$B$42))</f>
        <v>11.144</v>
      </c>
      <c r="AK3" s="460">
        <f>IF('GPS Anthro Tool'!$B$4=0,0,IF($I3=0,0,AK21+'GPS Anthro Tool'!$B$42))</f>
        <v>13.176</v>
      </c>
      <c r="AL3" s="211"/>
      <c r="AM3" s="174">
        <f>IF('GPS Anthro Tool'!$B$4=0,0,IF($G3=0,0,AM21-'GPS Anthro Tool'!$B$42))</f>
        <v>-11.611360000000001</v>
      </c>
      <c r="AN3" s="174">
        <f>IF('GPS Anthro Tool'!$B$4=0,0,IF($H3=0,0,AN21-'GPS Anthro Tool'!$B$42))</f>
        <v>-14.293600000000001</v>
      </c>
      <c r="AO3" s="174">
        <f>IF('GPS Anthro Tool'!$B$4=0,0,IF($I3=0,0,AO21-'GPS Anthro Tool'!$B$42))</f>
        <v>-16.975839999999998</v>
      </c>
      <c r="AP3" s="211"/>
      <c r="AQ3" s="174">
        <f>IF('GPS Anthro Tool'!$B$4=0,0,IF($G3=0,0,AQ21))</f>
        <v>3.0480000000000005</v>
      </c>
      <c r="AR3" s="174">
        <f>IF('GPS Anthro Tool'!$B$4=0,0,IF($H3=0,0,AR21))</f>
        <v>5.3340000000000005</v>
      </c>
      <c r="AS3" s="174">
        <f>IF('GPS Anthro Tool'!$B$4=0,0,IF($I3=0,0,AS21))</f>
        <v>7.620000000000001</v>
      </c>
      <c r="AT3" s="211"/>
      <c r="AU3" s="174">
        <f>IF('GPS Anthro Tool'!$B$4=0,0,IF($G3=0,0,AU21))</f>
        <v>21.222000000000001</v>
      </c>
      <c r="AV3" s="174">
        <f>IF('GPS Anthro Tool'!$B$4=0,0,IF($H3=0,0,AV21))</f>
        <v>23.622000000000003</v>
      </c>
      <c r="AW3" s="174">
        <f>IF('GPS Anthro Tool'!$B$4=0,0,IF($I3=0,0,AW21))</f>
        <v>26.022000000000006</v>
      </c>
      <c r="AX3" s="211"/>
      <c r="AY3" s="174">
        <f>IF('GPS Anthro Tool'!$B$4=0,0,IF($G3=0,0,AY21))</f>
        <v>12.170000000000002</v>
      </c>
      <c r="AZ3" s="174">
        <f>IF('GPS Anthro Tool'!$B$4=0,0,IF($H3=0,0,AZ21))</f>
        <v>13.97</v>
      </c>
      <c r="BA3" s="174">
        <f>IF('GPS Anthro Tool'!$B$4=0,0,IF($I3=0,0,BA21))</f>
        <v>15.77</v>
      </c>
      <c r="BB3" s="211"/>
      <c r="BC3" s="174">
        <f>IF('GPS Anthro Tool'!$B$4=0,0,IF($G3=0,0,BC21))</f>
        <v>12.978000000000002</v>
      </c>
      <c r="BD3" s="174">
        <f>IF('GPS Anthro Tool'!$B$4=0,0,IF($H3=0,0,BD21))</f>
        <v>14.478000000000002</v>
      </c>
      <c r="BE3" s="174">
        <f>IF('GPS Anthro Tool'!$B$4=0,0,IF($I3=0,0,BE21))</f>
        <v>15.978000000000002</v>
      </c>
      <c r="BF3" s="208"/>
      <c r="BG3" s="157">
        <f t="shared" ref="BG3:BG17" si="0">-AI3</f>
        <v>-9.1120000000000001</v>
      </c>
      <c r="BH3" s="157">
        <f t="shared" ref="BH3:BH17" si="1">-AJ3</f>
        <v>-11.144</v>
      </c>
      <c r="BI3" s="157">
        <f t="shared" ref="BI3:BI17" si="2">-AK3</f>
        <v>-13.176</v>
      </c>
      <c r="BJ3" s="213">
        <v>0</v>
      </c>
      <c r="BK3" s="157">
        <f t="shared" ref="BK3:BK16" si="3">-S3/2</f>
        <v>-4.6989999999999998</v>
      </c>
      <c r="BL3" s="157">
        <f t="shared" ref="BL3:BL16" si="4">-T3/2</f>
        <v>-6.7309999999999999</v>
      </c>
      <c r="BM3" s="157">
        <f t="shared" ref="BM3:BM16" si="5">-U3/2</f>
        <v>-8.7629999999999999</v>
      </c>
      <c r="BN3" s="213">
        <v>0</v>
      </c>
      <c r="BO3" s="157">
        <f t="shared" ref="BO3:BO17" si="6">S3/2</f>
        <v>4.6989999999999998</v>
      </c>
      <c r="BP3" s="157">
        <f t="shared" ref="BP3:BP17" si="7">T3/2</f>
        <v>6.7309999999999999</v>
      </c>
      <c r="BQ3" s="157">
        <f t="shared" ref="BQ3:BQ17" si="8">U3/2</f>
        <v>8.7629999999999999</v>
      </c>
      <c r="BR3" s="213"/>
      <c r="BS3" s="167">
        <f t="shared" ref="BS3:BS17" si="9">-W3/2</f>
        <v>-6.35</v>
      </c>
      <c r="BT3" s="167">
        <f t="shared" ref="BT3:BT17" si="10">-X3/2</f>
        <v>-8.1280000000000001</v>
      </c>
      <c r="BU3" s="167">
        <f t="shared" ref="BU3:BU17" si="11">-Y3/2</f>
        <v>-9.9060000000000006</v>
      </c>
      <c r="BV3" s="213">
        <v>0</v>
      </c>
      <c r="BW3" s="168">
        <f t="shared" ref="BW3:BW17" si="12">W3/2</f>
        <v>6.35</v>
      </c>
      <c r="BX3" s="168">
        <f t="shared" ref="BX3:BX17" si="13">X3/2</f>
        <v>8.1280000000000001</v>
      </c>
      <c r="BY3" s="168">
        <f t="shared" ref="BY3:BY17" si="14">Y3/2</f>
        <v>9.9060000000000006</v>
      </c>
      <c r="BZ3" s="210"/>
      <c r="CA3" s="169">
        <f t="shared" ref="CA3:CA17" si="15">-AE3/2</f>
        <v>-2.4129999999999998</v>
      </c>
      <c r="CB3" s="169">
        <f t="shared" ref="CB3:CB17" si="16">-AF3/2</f>
        <v>-2.9209999999999998</v>
      </c>
      <c r="CC3" s="169">
        <f t="shared" ref="CC3:CC17" si="17">-AG3/2</f>
        <v>-3.4289999999999998</v>
      </c>
      <c r="CD3" s="210"/>
      <c r="CE3" s="170">
        <f t="shared" ref="CE3:CE17" si="18">AE3/2</f>
        <v>2.4129999999999998</v>
      </c>
      <c r="CF3" s="170">
        <f t="shared" ref="CF3:CF17" si="19">AF3/2</f>
        <v>2.9209999999999998</v>
      </c>
      <c r="CG3" s="170">
        <f t="shared" ref="CG3:CG17" si="20">AG3/2</f>
        <v>3.4289999999999998</v>
      </c>
      <c r="CH3" s="210"/>
      <c r="CI3" s="82"/>
      <c r="CJ3" s="82"/>
      <c r="CK3" s="82"/>
      <c r="CL3" s="82"/>
      <c r="CM3" s="82"/>
      <c r="CN3" s="82"/>
      <c r="CO3" s="82"/>
      <c r="CP3" s="82"/>
      <c r="CQ3" s="82"/>
      <c r="CR3" s="82"/>
      <c r="CS3" s="82"/>
      <c r="CT3" s="82"/>
      <c r="CU3" s="82"/>
      <c r="CV3" s="82"/>
      <c r="CW3" s="82"/>
      <c r="CX3" s="82"/>
      <c r="CY3" s="82"/>
      <c r="CZ3" s="82"/>
      <c r="DA3" s="82"/>
      <c r="DB3" s="82"/>
    </row>
    <row r="4" spans="1:106">
      <c r="A4" s="184" t="s">
        <v>237</v>
      </c>
      <c r="B4" s="153">
        <v>1</v>
      </c>
      <c r="C4" s="172">
        <f>IF('GPS Anthro Tool'!$B$4=0,0,IF('GPS Anthro Tool'!$B$11=0,0,IF('US Child Data'!$B4=0,0,IF(C22&gt;'GPS Anthro Tool'!$B$16,0,IF(C22&lt;'GPS Anthro Tool'!$B$17,0,C22)))))</f>
        <v>4.9895163999999994</v>
      </c>
      <c r="D4" s="172">
        <f>IF('GPS Anthro Tool'!$B$4=0,0,IF('GPS Anthro Tool'!$B$10=0,0,IF('US Child Data'!$B4=0,0,IF(D22&gt;'GPS Anthro Tool'!$B$16,0,IF(D22&lt;'GPS Anthro Tool'!$B$17,0,D22)))))</f>
        <v>7.8017892799999995</v>
      </c>
      <c r="E4" s="172">
        <f>IF('GPS Anthro Tool'!$B$4=0,0,IF('GPS Anthro Tool'!$B$9=0,0,IF('US Child Data'!$B4=0,0,IF(E22&gt;'GPS Anthro Tool'!$B$16,0,IF(E22&lt;'GPS Anthro Tool'!$B$17,0,E22)))))</f>
        <v>0</v>
      </c>
      <c r="F4" s="171"/>
      <c r="G4" s="173">
        <f>IF('GPS Anthro Tool'!$B$11=0,0,IF('US Child Data'!$B4=0,0,IF(G22&gt;'GPS Anthro Tool'!$B$14,0,IF(G22&lt;'GPS Anthro Tool'!$B$15,0,IF($C$4=0,0,G22)))))</f>
        <v>57.404000000000003</v>
      </c>
      <c r="H4" s="173">
        <f>IF('GPS Anthro Tool'!$B$10=0,0,IF('US Child Data'!$B4=0,0,IF(H22&gt;'GPS Anthro Tool'!$B$14,0,IF(H22&lt;'GPS Anthro Tool'!$B$15,0,IF($D$4=0,0,H22)))))</f>
        <v>67.055999999999997</v>
      </c>
      <c r="I4" s="173">
        <f>IF('GPS Anthro Tool'!$B$9=0,0,IF('US Child Data'!$B4=0,0,IF(I22&gt;'GPS Anthro Tool'!$B$14,0,IF(I22&lt;'GPS Anthro Tool'!$B$15,0,IF($E$4=0,0,I22)))))</f>
        <v>0</v>
      </c>
      <c r="J4" s="157"/>
      <c r="K4" s="460">
        <f>IF('GPS Anthro Tool'!$B$4=0,0,IF($G4=0,0,K22+'GPS Anthro Tool'!$B$41))</f>
        <v>40.353999999999999</v>
      </c>
      <c r="L4" s="460">
        <f>IF('GPS Anthro Tool'!$B$4=0,0,IF($H4=0,0,L22+'GPS Anthro Tool'!$B$41))</f>
        <v>45.942</v>
      </c>
      <c r="M4" s="460">
        <f>IF('GPS Anthro Tool'!$B$4=0,0,IF($I4=0,0,M22+'GPS Anthro Tool'!$B$41))</f>
        <v>0</v>
      </c>
      <c r="N4" s="461"/>
      <c r="O4" s="460">
        <f>IF('GPS Anthro Tool'!$B$4=0,0,IF($G4=0,0,O22+'GPS Anthro Tool'!$B$41))</f>
        <v>26.384</v>
      </c>
      <c r="P4" s="460">
        <f>IF('GPS Anthro Tool'!$B$4=0,0,IF($H4=0,0,P22+'GPS Anthro Tool'!$B$41))</f>
        <v>30.956000000000003</v>
      </c>
      <c r="Q4" s="460">
        <f>IF('GPS Anthro Tool'!$B$4=0,0,IF($I4=0,0,Q22+'GPS Anthro Tool'!$B$41))</f>
        <v>0</v>
      </c>
      <c r="R4" s="157"/>
      <c r="S4" s="174">
        <f>IF('GPS Anthro Tool'!$B$4=0,0,IF($G4=0,0,S22))</f>
        <v>12.446</v>
      </c>
      <c r="T4" s="174">
        <f>IF('GPS Anthro Tool'!$B$4=0,0,IF($H4=0,0,T22))</f>
        <v>15.494</v>
      </c>
      <c r="U4" s="174">
        <f>IF('GPS Anthro Tool'!$B$4=0,0,IF($I4=0,0,U22))</f>
        <v>0</v>
      </c>
      <c r="V4" s="157"/>
      <c r="W4" s="174">
        <f>IF('GPS Anthro Tool'!$B$4=0,0,IF($G4=0,0,W22))</f>
        <v>16.510000000000002</v>
      </c>
      <c r="X4" s="174">
        <f>IF('GPS Anthro Tool'!$B$4=0,0,IF($H4=0,0,X22))</f>
        <v>19.558</v>
      </c>
      <c r="Y4" s="174">
        <f>IF('GPS Anthro Tool'!$B$4=0,0,IF($I4=0,0,Y22))</f>
        <v>0</v>
      </c>
      <c r="Z4" s="157">
        <v>0</v>
      </c>
      <c r="AA4" s="174">
        <f>IF('GPS Anthro Tool'!$B$4=0,0,IF($G4=0,0,AA22))</f>
        <v>8.9001599999999996</v>
      </c>
      <c r="AB4" s="174">
        <f>IF('GPS Anthro Tool'!$B$4=0,0,IF($H4=0,0,AB22))</f>
        <v>10.383520000000001</v>
      </c>
      <c r="AC4" s="174">
        <f>IF('GPS Anthro Tool'!$B$4=0,0,IF($I4=0,0,AC22))</f>
        <v>0</v>
      </c>
      <c r="AD4" s="86"/>
      <c r="AE4" s="174">
        <f>IF('GPS Anthro Tool'!$B$4=0,0,IF($G4=0,0,AE22))</f>
        <v>5.3339999999999996</v>
      </c>
      <c r="AF4" s="174">
        <f>IF('GPS Anthro Tool'!$B$4=0,0,IF($H4=0,0,AF22))</f>
        <v>6.35</v>
      </c>
      <c r="AG4" s="174">
        <f>IF('GPS Anthro Tool'!$B$4=0,0,IF($I4=0,0,AG22))</f>
        <v>0</v>
      </c>
      <c r="AH4" s="211"/>
      <c r="AI4" s="460">
        <f>IF('GPS Anthro Tool'!$B$4=0,0,IF($G4=0,0,AI22+'GPS Anthro Tool'!$B$42))</f>
        <v>10.128</v>
      </c>
      <c r="AJ4" s="460">
        <f>IF('GPS Anthro Tool'!$B$4=0,0,IF($H4=0,0,AJ22+'GPS Anthro Tool'!$B$42))</f>
        <v>12.16</v>
      </c>
      <c r="AK4" s="460">
        <f>IF('GPS Anthro Tool'!$B$4=0,0,IF($I4=0,0,AK22+'GPS Anthro Tool'!$B$42))</f>
        <v>0</v>
      </c>
      <c r="AL4" s="211"/>
      <c r="AM4" s="174">
        <f>IF('GPS Anthro Tool'!$B$4=0,0,IF($G4=0,0,AM22-'GPS Anthro Tool'!$B$42))</f>
        <v>-13.399520000000001</v>
      </c>
      <c r="AN4" s="174">
        <f>IF('GPS Anthro Tool'!$B$4=0,0,IF($H4=0,0,AN22-'GPS Anthro Tool'!$B$42))</f>
        <v>-16.975839999999998</v>
      </c>
      <c r="AO4" s="174">
        <f>IF('GPS Anthro Tool'!$B$4=0,0,IF($I4=0,0,AO22-'GPS Anthro Tool'!$B$42))</f>
        <v>0</v>
      </c>
      <c r="AP4" s="211"/>
      <c r="AQ4" s="174">
        <f>IF('GPS Anthro Tool'!$B$4=0,0,IF($G4=0,0,AQ22))</f>
        <v>3.3019999999999996</v>
      </c>
      <c r="AR4" s="174">
        <f>IF('GPS Anthro Tool'!$B$4=0,0,IF($H4=0,0,AR22))</f>
        <v>6.35</v>
      </c>
      <c r="AS4" s="174">
        <f>IF('GPS Anthro Tool'!$B$4=0,0,IF($I4=0,0,AS22))</f>
        <v>0</v>
      </c>
      <c r="AT4" s="211"/>
      <c r="AU4" s="174">
        <f>IF('GPS Anthro Tool'!$B$4=0,0,IF($G4=0,0,AU22))</f>
        <v>26.463999999999999</v>
      </c>
      <c r="AV4" s="174">
        <f>IF('GPS Anthro Tool'!$B$4=0,0,IF($H4=0,0,AV22))</f>
        <v>29.463999999999999</v>
      </c>
      <c r="AW4" s="174">
        <f>IF('GPS Anthro Tool'!$B$4=0,0,IF($I4=0,0,AW22))</f>
        <v>0</v>
      </c>
      <c r="AX4" s="211"/>
      <c r="AY4" s="174">
        <f>IF('GPS Anthro Tool'!$B$4=0,0,IF($G4=0,0,AY22))</f>
        <v>14.618</v>
      </c>
      <c r="AZ4" s="174">
        <f>IF('GPS Anthro Tool'!$B$4=0,0,IF($H4=0,0,AZ22))</f>
        <v>17.018000000000001</v>
      </c>
      <c r="BA4" s="174">
        <f>IF('GPS Anthro Tool'!$B$4=0,0,IF($I4=0,0,BA22))</f>
        <v>0</v>
      </c>
      <c r="BB4" s="211"/>
      <c r="BC4" s="174">
        <f>IF('GPS Anthro Tool'!$B$4=0,0,IF($G4=0,0,BC22))</f>
        <v>15.426</v>
      </c>
      <c r="BD4" s="174">
        <f>IF('GPS Anthro Tool'!$B$4=0,0,IF($H4=0,0,BD22))</f>
        <v>17.526</v>
      </c>
      <c r="BE4" s="174">
        <f>IF('GPS Anthro Tool'!$B$4=0,0,IF($I4=0,0,BE22))</f>
        <v>0</v>
      </c>
      <c r="BF4" s="208"/>
      <c r="BG4" s="157">
        <f t="shared" si="0"/>
        <v>-10.128</v>
      </c>
      <c r="BH4" s="157">
        <f t="shared" si="1"/>
        <v>-12.16</v>
      </c>
      <c r="BI4" s="157">
        <f t="shared" si="2"/>
        <v>0</v>
      </c>
      <c r="BJ4" s="213">
        <v>0</v>
      </c>
      <c r="BK4" s="157">
        <f t="shared" si="3"/>
        <v>-6.2229999999999999</v>
      </c>
      <c r="BL4" s="157">
        <f t="shared" si="4"/>
        <v>-7.7469999999999999</v>
      </c>
      <c r="BM4" s="157">
        <f t="shared" si="5"/>
        <v>0</v>
      </c>
      <c r="BN4" s="213">
        <v>0</v>
      </c>
      <c r="BO4" s="157">
        <f t="shared" si="6"/>
        <v>6.2229999999999999</v>
      </c>
      <c r="BP4" s="157">
        <f t="shared" si="7"/>
        <v>7.7469999999999999</v>
      </c>
      <c r="BQ4" s="157">
        <f t="shared" si="8"/>
        <v>0</v>
      </c>
      <c r="BR4" s="213"/>
      <c r="BS4" s="167">
        <f t="shared" si="9"/>
        <v>-8.2550000000000008</v>
      </c>
      <c r="BT4" s="167">
        <f t="shared" si="10"/>
        <v>-9.7789999999999999</v>
      </c>
      <c r="BU4" s="167">
        <f t="shared" si="11"/>
        <v>0</v>
      </c>
      <c r="BV4" s="213">
        <v>0</v>
      </c>
      <c r="BW4" s="168">
        <f t="shared" si="12"/>
        <v>8.2550000000000008</v>
      </c>
      <c r="BX4" s="168">
        <f t="shared" si="13"/>
        <v>9.7789999999999999</v>
      </c>
      <c r="BY4" s="168">
        <f t="shared" si="14"/>
        <v>0</v>
      </c>
      <c r="BZ4" s="210"/>
      <c r="CA4" s="169">
        <f t="shared" si="15"/>
        <v>-2.6669999999999998</v>
      </c>
      <c r="CB4" s="169">
        <f t="shared" si="16"/>
        <v>-3.1749999999999998</v>
      </c>
      <c r="CC4" s="169">
        <f t="shared" si="17"/>
        <v>0</v>
      </c>
      <c r="CD4" s="210"/>
      <c r="CE4" s="170">
        <f t="shared" si="18"/>
        <v>2.6669999999999998</v>
      </c>
      <c r="CF4" s="170">
        <f t="shared" si="19"/>
        <v>3.1749999999999998</v>
      </c>
      <c r="CG4" s="170">
        <f t="shared" si="20"/>
        <v>0</v>
      </c>
      <c r="CH4" s="210"/>
      <c r="CI4" s="82"/>
      <c r="CJ4" s="82"/>
      <c r="CK4" s="82"/>
      <c r="CL4" s="82"/>
      <c r="CM4" s="82"/>
      <c r="CN4" s="82"/>
      <c r="CO4" s="82"/>
      <c r="CP4" s="82"/>
      <c r="CQ4" s="82"/>
      <c r="CR4" s="82"/>
      <c r="CS4" s="82"/>
      <c r="CT4" s="82"/>
      <c r="CU4" s="82"/>
      <c r="CV4" s="82"/>
      <c r="CW4" s="82"/>
      <c r="CX4" s="82"/>
      <c r="CY4" s="82"/>
      <c r="CZ4" s="82"/>
      <c r="DA4" s="82"/>
      <c r="DB4" s="82"/>
    </row>
    <row r="5" spans="1:106">
      <c r="A5" s="184" t="s">
        <v>238</v>
      </c>
      <c r="B5" s="153">
        <v>1</v>
      </c>
      <c r="C5" s="172">
        <f>IF('GPS Anthro Tool'!$B$4=0,0,IF('GPS Anthro Tool'!$B$11=0,0,IF('US Child Data'!$B5=0,0,IF(C23&gt;'GPS Anthro Tool'!$B$16,0,IF(C23&lt;'GPS Anthro Tool'!$B$17,0,C23)))))</f>
        <v>7.2574784000000001</v>
      </c>
      <c r="D5" s="172">
        <f>IF('GPS Anthro Tool'!$B$4=0,0,IF('GPS Anthro Tool'!$B$10=0,0,IF('US Child Data'!$B5=0,0,IF(D23&gt;'GPS Anthro Tool'!$B$16,0,IF(D23&lt;'GPS Anthro Tool'!$B$17,0,D23)))))</f>
        <v>9.70687736</v>
      </c>
      <c r="E5" s="172">
        <f>IF('GPS Anthro Tool'!$B$4=0,0,IF('GPS Anthro Tool'!$B$9=0,0,IF('US Child Data'!$B5=0,0,IF(E23&gt;'GPS Anthro Tool'!$B$16,0,IF(E23&lt;'GPS Anthro Tool'!$B$17,0,E23)))))</f>
        <v>0</v>
      </c>
      <c r="F5" s="171"/>
      <c r="G5" s="173">
        <f>IF('GPS Anthro Tool'!$B$11=0,0,IF('US Child Data'!$B5=0,0,IF(G23&gt;'GPS Anthro Tool'!$B$14,0,IF(G23&lt;'GPS Anthro Tool'!$B$15,0,IF($C$5=0,0,G23)))))</f>
        <v>67.563999999999993</v>
      </c>
      <c r="H5" s="173">
        <f>IF('GPS Anthro Tool'!$B$10=0,0,IF('US Child Data'!$B5=0,0,IF(H23&gt;'GPS Anthro Tool'!$B$14,0,IF(H23&lt;'GPS Anthro Tool'!$B$15,0,IF($D$5=0,0,H23)))))</f>
        <v>74.676000000000002</v>
      </c>
      <c r="I5" s="173">
        <f>IF('GPS Anthro Tool'!$B$9=0,0,IF('US Child Data'!$B5=0,0,IF(I23&gt;'GPS Anthro Tool'!$B$14,0,IF(I23&lt;'GPS Anthro Tool'!$B$15,0,IF($E$5=0,0,I23)))))</f>
        <v>0</v>
      </c>
      <c r="J5" s="157"/>
      <c r="K5" s="460">
        <f>IF('GPS Anthro Tool'!$B$4=0,0,IF($G5=0,0,K23+'GPS Anthro Tool'!$B$41))</f>
        <v>45.433999999999997</v>
      </c>
      <c r="L5" s="460">
        <f>IF('GPS Anthro Tool'!$B$4=0,0,IF($H5=0,0,L23+'GPS Anthro Tool'!$B$41))</f>
        <v>50.006</v>
      </c>
      <c r="M5" s="460">
        <f>IF('GPS Anthro Tool'!$B$4=0,0,IF($I5=0,0,M23+'GPS Anthro Tool'!$B$41))</f>
        <v>0</v>
      </c>
      <c r="N5" s="461"/>
      <c r="O5" s="460">
        <f>IF('GPS Anthro Tool'!$B$4=0,0,IF($G5=0,0,O23+'GPS Anthro Tool'!$B$41))</f>
        <v>28.161999999999999</v>
      </c>
      <c r="P5" s="460">
        <f>IF('GPS Anthro Tool'!$B$4=0,0,IF($H5=0,0,P23+'GPS Anthro Tool'!$B$41))</f>
        <v>32.733999999999995</v>
      </c>
      <c r="Q5" s="460">
        <f>IF('GPS Anthro Tool'!$B$4=0,0,IF($I5=0,0,Q23+'GPS Anthro Tool'!$B$41))</f>
        <v>0</v>
      </c>
      <c r="R5" s="157"/>
      <c r="S5" s="174">
        <f>IF('GPS Anthro Tool'!$B$4=0,0,IF($G5=0,0,S23))</f>
        <v>14.986000000000001</v>
      </c>
      <c r="T5" s="174">
        <f>IF('GPS Anthro Tool'!$B$4=0,0,IF($H5=0,0,T23))</f>
        <v>17.018000000000001</v>
      </c>
      <c r="U5" s="174">
        <f>IF('GPS Anthro Tool'!$B$4=0,0,IF($I5=0,0,U23))</f>
        <v>0</v>
      </c>
      <c r="V5" s="157"/>
      <c r="W5" s="174">
        <f>IF('GPS Anthro Tool'!$B$4=0,0,IF($G5=0,0,W23))</f>
        <v>18.795999999999999</v>
      </c>
      <c r="X5" s="174">
        <f>IF('GPS Anthro Tool'!$B$4=0,0,IF($H5=0,0,X23))</f>
        <v>21.335999999999999</v>
      </c>
      <c r="Y5" s="174">
        <f>IF('GPS Anthro Tool'!$B$4=0,0,IF($I5=0,0,Y23))</f>
        <v>0</v>
      </c>
      <c r="Z5" s="157">
        <v>0</v>
      </c>
      <c r="AA5" s="174">
        <f>IF('GPS Anthro Tool'!$B$4=0,0,IF($G5=0,0,AA23))</f>
        <v>9.4193359999999995</v>
      </c>
      <c r="AB5" s="174">
        <f>IF('GPS Anthro Tool'!$B$4=0,0,IF($H5=0,0,AB23))</f>
        <v>10.939780000000001</v>
      </c>
      <c r="AC5" s="174">
        <f>IF('GPS Anthro Tool'!$B$4=0,0,IF($I5=0,0,AC23))</f>
        <v>0</v>
      </c>
      <c r="AD5" s="86"/>
      <c r="AE5" s="174">
        <f>IF('GPS Anthro Tool'!$B$4=0,0,IF($G5=0,0,AE23))</f>
        <v>5.8419999999999996</v>
      </c>
      <c r="AF5" s="174">
        <f>IF('GPS Anthro Tool'!$B$4=0,0,IF($H5=0,0,AF23))</f>
        <v>6.8579999999999997</v>
      </c>
      <c r="AG5" s="174">
        <f>IF('GPS Anthro Tool'!$B$4=0,0,IF($I5=0,0,AG23))</f>
        <v>0</v>
      </c>
      <c r="AH5" s="211"/>
      <c r="AI5" s="460">
        <f>IF('GPS Anthro Tool'!$B$4=0,0,IF($G5=0,0,AI23+'GPS Anthro Tool'!$B$42))</f>
        <v>10.889999999999999</v>
      </c>
      <c r="AJ5" s="460">
        <f>IF('GPS Anthro Tool'!$B$4=0,0,IF($H5=0,0,AJ23+'GPS Anthro Tool'!$B$42))</f>
        <v>12.921999999999999</v>
      </c>
      <c r="AK5" s="460">
        <f>IF('GPS Anthro Tool'!$B$4=0,0,IF($I5=0,0,AK23+'GPS Anthro Tool'!$B$42))</f>
        <v>0</v>
      </c>
      <c r="AL5" s="211"/>
      <c r="AM5" s="174">
        <f>IF('GPS Anthro Tool'!$B$4=0,0,IF($G5=0,0,AM23-'GPS Anthro Tool'!$B$42))</f>
        <v>-16.752319999999997</v>
      </c>
      <c r="AN5" s="174">
        <f>IF('GPS Anthro Tool'!$B$4=0,0,IF($H5=0,0,AN23-'GPS Anthro Tool'!$B$42))</f>
        <v>-19.434560000000001</v>
      </c>
      <c r="AO5" s="174">
        <f>IF('GPS Anthro Tool'!$B$4=0,0,IF($I5=0,0,AO23-'GPS Anthro Tool'!$B$42))</f>
        <v>0</v>
      </c>
      <c r="AP5" s="211"/>
      <c r="AQ5" s="174">
        <f>IF('GPS Anthro Tool'!$B$4=0,0,IF($G5=0,0,AQ23))</f>
        <v>3.8100000000000005</v>
      </c>
      <c r="AR5" s="174">
        <f>IF('GPS Anthro Tool'!$B$4=0,0,IF($H5=0,0,AR23))</f>
        <v>6.8580000000000005</v>
      </c>
      <c r="AS5" s="174">
        <f>IF('GPS Anthro Tool'!$B$4=0,0,IF($I5=0,0,AS23))</f>
        <v>0</v>
      </c>
      <c r="AT5" s="211"/>
      <c r="AU5" s="174">
        <f>IF('GPS Anthro Tool'!$B$4=0,0,IF($G5=0,0,AU23))</f>
        <v>32.306000000000004</v>
      </c>
      <c r="AV5" s="174">
        <f>IF('GPS Anthro Tool'!$B$4=0,0,IF($H5=0,0,AV23))</f>
        <v>35.306000000000004</v>
      </c>
      <c r="AW5" s="174">
        <f>IF('GPS Anthro Tool'!$B$4=0,0,IF($I5=0,0,AW23))</f>
        <v>0</v>
      </c>
      <c r="AX5" s="211"/>
      <c r="AY5" s="174">
        <f>IF('GPS Anthro Tool'!$B$4=0,0,IF($G5=0,0,AY23))</f>
        <v>18.012</v>
      </c>
      <c r="AZ5" s="174">
        <f>IF('GPS Anthro Tool'!$B$4=0,0,IF($H5=0,0,AZ23))</f>
        <v>19.812000000000001</v>
      </c>
      <c r="BA5" s="174">
        <f>IF('GPS Anthro Tool'!$B$4=0,0,IF($I5=0,0,BA23))</f>
        <v>0</v>
      </c>
      <c r="BB5" s="211"/>
      <c r="BC5" s="174">
        <f>IF('GPS Anthro Tool'!$B$4=0,0,IF($G5=0,0,BC23))</f>
        <v>18.82</v>
      </c>
      <c r="BD5" s="174">
        <f>IF('GPS Anthro Tool'!$B$4=0,0,IF($H5=0,0,BD23))</f>
        <v>20.32</v>
      </c>
      <c r="BE5" s="174">
        <f>IF('GPS Anthro Tool'!$B$4=0,0,IF($I5=0,0,BE23))</f>
        <v>0</v>
      </c>
      <c r="BF5" s="208"/>
      <c r="BG5" s="157">
        <f t="shared" si="0"/>
        <v>-10.889999999999999</v>
      </c>
      <c r="BH5" s="157">
        <f t="shared" si="1"/>
        <v>-12.921999999999999</v>
      </c>
      <c r="BI5" s="157">
        <f t="shared" si="2"/>
        <v>0</v>
      </c>
      <c r="BJ5" s="213">
        <v>0</v>
      </c>
      <c r="BK5" s="157">
        <f t="shared" si="3"/>
        <v>-7.4930000000000003</v>
      </c>
      <c r="BL5" s="157">
        <f t="shared" si="4"/>
        <v>-8.5090000000000003</v>
      </c>
      <c r="BM5" s="157">
        <f t="shared" si="5"/>
        <v>0</v>
      </c>
      <c r="BN5" s="213">
        <v>0</v>
      </c>
      <c r="BO5" s="157">
        <f t="shared" si="6"/>
        <v>7.4930000000000003</v>
      </c>
      <c r="BP5" s="157">
        <f t="shared" si="7"/>
        <v>8.5090000000000003</v>
      </c>
      <c r="BQ5" s="157">
        <f t="shared" si="8"/>
        <v>0</v>
      </c>
      <c r="BR5" s="213"/>
      <c r="BS5" s="167">
        <f t="shared" si="9"/>
        <v>-9.3979999999999997</v>
      </c>
      <c r="BT5" s="167">
        <f t="shared" si="10"/>
        <v>-10.667999999999999</v>
      </c>
      <c r="BU5" s="167">
        <f t="shared" si="11"/>
        <v>0</v>
      </c>
      <c r="BV5" s="213">
        <v>0</v>
      </c>
      <c r="BW5" s="168">
        <f t="shared" si="12"/>
        <v>9.3979999999999997</v>
      </c>
      <c r="BX5" s="168">
        <f t="shared" si="13"/>
        <v>10.667999999999999</v>
      </c>
      <c r="BY5" s="168">
        <f t="shared" si="14"/>
        <v>0</v>
      </c>
      <c r="BZ5" s="210"/>
      <c r="CA5" s="169">
        <f t="shared" si="15"/>
        <v>-2.9209999999999998</v>
      </c>
      <c r="CB5" s="169">
        <f t="shared" si="16"/>
        <v>-3.4289999999999998</v>
      </c>
      <c r="CC5" s="169">
        <f t="shared" si="17"/>
        <v>0</v>
      </c>
      <c r="CD5" s="210"/>
      <c r="CE5" s="170">
        <f t="shared" si="18"/>
        <v>2.9209999999999998</v>
      </c>
      <c r="CF5" s="170">
        <f t="shared" si="19"/>
        <v>3.4289999999999998</v>
      </c>
      <c r="CG5" s="170">
        <f t="shared" si="20"/>
        <v>0</v>
      </c>
      <c r="CH5" s="210"/>
      <c r="CI5" s="82"/>
      <c r="CJ5" s="82"/>
      <c r="CK5" s="82"/>
      <c r="CL5" s="82"/>
      <c r="CM5" s="82"/>
      <c r="CN5" s="82"/>
      <c r="CO5" s="82"/>
      <c r="CP5" s="82"/>
      <c r="CQ5" s="82"/>
      <c r="CR5" s="82"/>
      <c r="CS5" s="82"/>
      <c r="CT5" s="82"/>
      <c r="CU5" s="82"/>
      <c r="CV5" s="82"/>
      <c r="CW5" s="82"/>
      <c r="CX5" s="82"/>
      <c r="CY5" s="82"/>
      <c r="CZ5" s="82"/>
      <c r="DA5" s="82"/>
      <c r="DB5" s="82"/>
    </row>
    <row r="6" spans="1:106">
      <c r="A6" s="184" t="s">
        <v>239</v>
      </c>
      <c r="B6" s="153">
        <v>1</v>
      </c>
      <c r="C6" s="172">
        <f>IF('GPS Anthro Tool'!$B$4=0,0,IF('GPS Anthro Tool'!$B$11=0,0,IF('US Child Data'!$B6=0,0,IF(C24&gt;'GPS Anthro Tool'!$B$16,0,IF(C24&lt;'GPS Anthro Tool'!$B$17,0,C24)))))</f>
        <v>8.7543333200000006</v>
      </c>
      <c r="D6" s="172">
        <f>IF('GPS Anthro Tool'!$B$4=0,0,IF('GPS Anthro Tool'!$B$10=0,0,IF('US Child Data'!$B6=0,0,IF(D24&gt;'GPS Anthro Tool'!$B$16,0,IF(D24&lt;'GPS Anthro Tool'!$B$17,0,D24)))))</f>
        <v>0</v>
      </c>
      <c r="E6" s="172">
        <f>IF('GPS Anthro Tool'!$B$4=0,0,IF('GPS Anthro Tool'!$B$9=0,0,IF('US Child Data'!$B6=0,0,IF(E24&gt;'GPS Anthro Tool'!$B$16,0,IF(E24&lt;'GPS Anthro Tool'!$B$17,0,E24)))))</f>
        <v>0</v>
      </c>
      <c r="F6" s="171"/>
      <c r="G6" s="173">
        <f>IF('GPS Anthro Tool'!$B$11=0,0,IF('US Child Data'!$B6=0,0,IF(G24&gt;'GPS Anthro Tool'!$B$14,0,IF(G24&lt;'GPS Anthro Tool'!$B$15,0,IF($C$6=0,0,G24)))))</f>
        <v>74.168000000000006</v>
      </c>
      <c r="H6" s="173">
        <f>IF('GPS Anthro Tool'!$B$10=0,0,IF('US Child Data'!$B6=0,0,IF(H24&gt;'GPS Anthro Tool'!$B$14,0,IF(H24&lt;'GPS Anthro Tool'!$B$15,0,IF($D$6=0,0,H24)))))</f>
        <v>0</v>
      </c>
      <c r="I6" s="173">
        <f>IF('GPS Anthro Tool'!$B$9=0,0,IF('US Child Data'!$B6=0,0,IF(I24&gt;'GPS Anthro Tool'!$B$14,0,IF(I24&lt;'GPS Anthro Tool'!$B$15,0,IF($E$6=0,0,I24)))))</f>
        <v>0</v>
      </c>
      <c r="J6" s="157"/>
      <c r="K6" s="460">
        <f>IF('GPS Anthro Tool'!$B$4=0,0,IF($G6=0,0,K24+'GPS Anthro Tool'!$B$41))</f>
        <v>47.973999999999997</v>
      </c>
      <c r="L6" s="460">
        <f>IF('GPS Anthro Tool'!$B$4=0,0,IF($H6=0,0,L24+'GPS Anthro Tool'!$B$41))</f>
        <v>0</v>
      </c>
      <c r="M6" s="460">
        <f>IF('GPS Anthro Tool'!$B$4=0,0,IF($I6=0,0,M24+'GPS Anthro Tool'!$B$41))</f>
        <v>0</v>
      </c>
      <c r="N6" s="461"/>
      <c r="O6" s="460">
        <f>IF('GPS Anthro Tool'!$B$4=0,0,IF($G6=0,0,O24+'GPS Anthro Tool'!$B$41))</f>
        <v>29.432000000000002</v>
      </c>
      <c r="P6" s="460">
        <f>IF('GPS Anthro Tool'!$B$4=0,0,IF($H6=0,0,P24+'GPS Anthro Tool'!$B$41))</f>
        <v>0</v>
      </c>
      <c r="Q6" s="460">
        <f>IF('GPS Anthro Tool'!$B$4=0,0,IF($I6=0,0,Q24+'GPS Anthro Tool'!$B$41))</f>
        <v>0</v>
      </c>
      <c r="R6" s="157"/>
      <c r="S6" s="174">
        <f>IF('GPS Anthro Tool'!$B$4=0,0,IF($G6=0,0,S24))</f>
        <v>13.97</v>
      </c>
      <c r="T6" s="174">
        <f>IF('GPS Anthro Tool'!$B$4=0,0,IF($H6=0,0,T24))</f>
        <v>0</v>
      </c>
      <c r="U6" s="174">
        <f>IF('GPS Anthro Tool'!$B$4=0,0,IF($I6=0,0,U24))</f>
        <v>0</v>
      </c>
      <c r="V6" s="157"/>
      <c r="W6" s="174">
        <f>IF('GPS Anthro Tool'!$B$4=0,0,IF($G6=0,0,W24))</f>
        <v>19.812000000000001</v>
      </c>
      <c r="X6" s="174">
        <f>IF('GPS Anthro Tool'!$B$4=0,0,IF($H6=0,0,X24))</f>
        <v>0</v>
      </c>
      <c r="Y6" s="174">
        <f>IF('GPS Anthro Tool'!$B$4=0,0,IF($I6=0,0,Y24))</f>
        <v>0</v>
      </c>
      <c r="Z6" s="157">
        <v>0</v>
      </c>
      <c r="AA6" s="174">
        <f>IF('GPS Anthro Tool'!$B$4=0,0,IF($G6=0,0,AA24))</f>
        <v>9.4935039999999997</v>
      </c>
      <c r="AB6" s="174">
        <f>IF('GPS Anthro Tool'!$B$4=0,0,IF($H6=0,0,AB24))</f>
        <v>0</v>
      </c>
      <c r="AC6" s="174">
        <f>IF('GPS Anthro Tool'!$B$4=0,0,IF($I6=0,0,AC24))</f>
        <v>0</v>
      </c>
      <c r="AD6" s="86"/>
      <c r="AE6" s="174">
        <f>IF('GPS Anthro Tool'!$B$4=0,0,IF($G6=0,0,AE24))</f>
        <v>5.8419999999999996</v>
      </c>
      <c r="AF6" s="174">
        <f>IF('GPS Anthro Tool'!$B$4=0,0,IF($H6=0,0,AF24))</f>
        <v>0</v>
      </c>
      <c r="AG6" s="174">
        <f>IF('GPS Anthro Tool'!$B$4=0,0,IF($I6=0,0,AG24))</f>
        <v>0</v>
      </c>
      <c r="AH6" s="211"/>
      <c r="AI6" s="460">
        <f>IF('GPS Anthro Tool'!$B$4=0,0,IF($G6=0,0,AI24+'GPS Anthro Tool'!$B$42))</f>
        <v>11.398</v>
      </c>
      <c r="AJ6" s="460">
        <f>IF('GPS Anthro Tool'!$B$4=0,0,IF($H6=0,0,AJ24+'GPS Anthro Tool'!$B$42))</f>
        <v>0</v>
      </c>
      <c r="AK6" s="460">
        <f>IF('GPS Anthro Tool'!$B$4=0,0,IF($I6=0,0,AK24+'GPS Anthro Tool'!$B$42))</f>
        <v>0</v>
      </c>
      <c r="AL6" s="211"/>
      <c r="AM6" s="174">
        <f>IF('GPS Anthro Tool'!$B$4=0,0,IF($G6=0,0,AM24-'GPS Anthro Tool'!$B$42))</f>
        <v>-17.86992</v>
      </c>
      <c r="AN6" s="174">
        <f>IF('GPS Anthro Tool'!$B$4=0,0,IF($H6=0,0,AN24-'GPS Anthro Tool'!$B$42))</f>
        <v>0</v>
      </c>
      <c r="AO6" s="174">
        <f>IF('GPS Anthro Tool'!$B$4=0,0,IF($I6=0,0,AO24-'GPS Anthro Tool'!$B$42))</f>
        <v>0</v>
      </c>
      <c r="AP6" s="211"/>
      <c r="AQ6" s="174">
        <f>IF('GPS Anthro Tool'!$B$4=0,0,IF($G6=0,0,AQ24))</f>
        <v>4.8259999999999987</v>
      </c>
      <c r="AR6" s="174">
        <f>IF('GPS Anthro Tool'!$B$4=0,0,IF($H6=0,0,AR24))</f>
        <v>0</v>
      </c>
      <c r="AS6" s="174">
        <f>IF('GPS Anthro Tool'!$B$4=0,0,IF($I6=0,0,AS24))</f>
        <v>0</v>
      </c>
      <c r="AT6" s="211"/>
      <c r="AU6" s="174">
        <f>IF('GPS Anthro Tool'!$B$4=0,0,IF($G6=0,0,AU24))</f>
        <v>35.769999999999996</v>
      </c>
      <c r="AV6" s="174">
        <f>IF('GPS Anthro Tool'!$B$4=0,0,IF($H6=0,0,AV24))</f>
        <v>0</v>
      </c>
      <c r="AW6" s="174">
        <f>IF('GPS Anthro Tool'!$B$4=0,0,IF($I6=0,0,AW24))</f>
        <v>0</v>
      </c>
      <c r="AX6" s="211"/>
      <c r="AY6" s="174">
        <f>IF('GPS Anthro Tool'!$B$4=0,0,IF($G6=0,0,AY24))</f>
        <v>19.698</v>
      </c>
      <c r="AZ6" s="174">
        <f>IF('GPS Anthro Tool'!$B$4=0,0,IF($H6=0,0,AZ24))</f>
        <v>0</v>
      </c>
      <c r="BA6" s="174">
        <f>IF('GPS Anthro Tool'!$B$4=0,0,IF($I6=0,0,BA24))</f>
        <v>0</v>
      </c>
      <c r="BB6" s="211"/>
      <c r="BC6" s="174">
        <f>IF('GPS Anthro Tool'!$B$4=0,0,IF($G6=0,0,BC24))</f>
        <v>20.552000000000003</v>
      </c>
      <c r="BD6" s="174">
        <f>IF('GPS Anthro Tool'!$B$4=0,0,IF($H6=0,0,BD24))</f>
        <v>0</v>
      </c>
      <c r="BE6" s="174">
        <f>IF('GPS Anthro Tool'!$B$4=0,0,IF($I6=0,0,BE24))</f>
        <v>0</v>
      </c>
      <c r="BF6" s="208"/>
      <c r="BG6" s="157">
        <f t="shared" si="0"/>
        <v>-11.398</v>
      </c>
      <c r="BH6" s="157">
        <f t="shared" si="1"/>
        <v>0</v>
      </c>
      <c r="BI6" s="157">
        <f t="shared" si="2"/>
        <v>0</v>
      </c>
      <c r="BJ6" s="213">
        <v>0</v>
      </c>
      <c r="BK6" s="157">
        <f t="shared" si="3"/>
        <v>-6.9850000000000003</v>
      </c>
      <c r="BL6" s="157">
        <f t="shared" si="4"/>
        <v>0</v>
      </c>
      <c r="BM6" s="157">
        <f t="shared" si="5"/>
        <v>0</v>
      </c>
      <c r="BN6" s="213">
        <v>0</v>
      </c>
      <c r="BO6" s="157">
        <f t="shared" si="6"/>
        <v>6.9850000000000003</v>
      </c>
      <c r="BP6" s="157">
        <f t="shared" si="7"/>
        <v>0</v>
      </c>
      <c r="BQ6" s="157">
        <f t="shared" si="8"/>
        <v>0</v>
      </c>
      <c r="BR6" s="213"/>
      <c r="BS6" s="167">
        <f t="shared" si="9"/>
        <v>-9.9060000000000006</v>
      </c>
      <c r="BT6" s="167">
        <f t="shared" si="10"/>
        <v>0</v>
      </c>
      <c r="BU6" s="167">
        <f t="shared" si="11"/>
        <v>0</v>
      </c>
      <c r="BV6" s="213">
        <v>0</v>
      </c>
      <c r="BW6" s="168">
        <f t="shared" si="12"/>
        <v>9.9060000000000006</v>
      </c>
      <c r="BX6" s="168">
        <f t="shared" si="13"/>
        <v>0</v>
      </c>
      <c r="BY6" s="168">
        <f t="shared" si="14"/>
        <v>0</v>
      </c>
      <c r="BZ6" s="210"/>
      <c r="CA6" s="169">
        <f t="shared" si="15"/>
        <v>-2.9209999999999998</v>
      </c>
      <c r="CB6" s="169">
        <f t="shared" si="16"/>
        <v>0</v>
      </c>
      <c r="CC6" s="169">
        <f t="shared" si="17"/>
        <v>0</v>
      </c>
      <c r="CD6" s="210"/>
      <c r="CE6" s="170">
        <f t="shared" si="18"/>
        <v>2.9209999999999998</v>
      </c>
      <c r="CF6" s="170">
        <f t="shared" si="19"/>
        <v>0</v>
      </c>
      <c r="CG6" s="170">
        <f t="shared" si="20"/>
        <v>0</v>
      </c>
      <c r="CH6" s="210"/>
      <c r="CI6" s="82"/>
      <c r="CJ6" s="82"/>
      <c r="CK6" s="82"/>
      <c r="CL6" s="82"/>
      <c r="CM6" s="82"/>
      <c r="CN6" s="82"/>
      <c r="CO6" s="82"/>
      <c r="CP6" s="82"/>
      <c r="CQ6" s="82"/>
      <c r="CR6" s="82"/>
      <c r="CS6" s="82"/>
      <c r="CT6" s="82"/>
      <c r="CU6" s="82"/>
      <c r="CV6" s="82"/>
      <c r="CW6" s="82"/>
      <c r="CX6" s="82"/>
      <c r="CY6" s="82"/>
      <c r="CZ6" s="82"/>
      <c r="DA6" s="82"/>
      <c r="DB6" s="82"/>
    </row>
    <row r="7" spans="1:106">
      <c r="A7" s="184" t="s">
        <v>240</v>
      </c>
      <c r="B7" s="153">
        <v>1</v>
      </c>
      <c r="C7" s="172">
        <f>IF('GPS Anthro Tool'!$B$4=0,0,IF('GPS Anthro Tool'!$B$11=0,0,IF('US Child Data'!$B7=0,0,IF(C25&gt;'GPS Anthro Tool'!$B$16,0,IF(C25&lt;'GPS Anthro Tool'!$B$17,0,C25)))))</f>
        <v>9.70687736</v>
      </c>
      <c r="D7" s="172">
        <f>IF('GPS Anthro Tool'!$B$4=0,0,IF('GPS Anthro Tool'!$B$10=0,0,IF('US Child Data'!$B7=0,0,IF(D25&gt;'GPS Anthro Tool'!$B$16,0,IF(D25&lt;'GPS Anthro Tool'!$B$17,0,D25)))))</f>
        <v>0</v>
      </c>
      <c r="E7" s="172">
        <f>IF('GPS Anthro Tool'!$B$4=0,0,IF('GPS Anthro Tool'!$B$9=0,0,IF('US Child Data'!$B7=0,0,IF(E25&gt;'GPS Anthro Tool'!$B$16,0,IF(E25&lt;'GPS Anthro Tool'!$B$17,0,E25)))))</f>
        <v>0</v>
      </c>
      <c r="F7" s="171"/>
      <c r="G7" s="173">
        <f>IF('GPS Anthro Tool'!$B$11=0,0,IF('US Child Data'!$B7=0,0,IF(G25&gt;'GPS Anthro Tool'!$B$14,0,IF(G25&lt;'GPS Anthro Tool'!$B$15,0,IF($C$7=0,0,G25)))))</f>
        <v>0</v>
      </c>
      <c r="H7" s="173">
        <f>IF('GPS Anthro Tool'!$B$10=0,0,IF('US Child Data'!$B7=0,0,IF(H25&gt;'GPS Anthro Tool'!$B$14,0,IF(H25&lt;'GPS Anthro Tool'!$B$15,0,IF($D$7=0,0,H25)))))</f>
        <v>0</v>
      </c>
      <c r="I7" s="173">
        <f>IF('GPS Anthro Tool'!$B$9=0,0,IF('US Child Data'!$B7=0,0,IF(I25&gt;'GPS Anthro Tool'!$B$14,0,IF(I25&lt;'GPS Anthro Tool'!$B$15,0,IF($E$7=0,0,I25)))))</f>
        <v>0</v>
      </c>
      <c r="J7" s="157"/>
      <c r="K7" s="460">
        <f>IF('GPS Anthro Tool'!$B$4=0,0,IF($G7=0,0,K25+'GPS Anthro Tool'!$B$41))</f>
        <v>0</v>
      </c>
      <c r="L7" s="460">
        <f>IF('GPS Anthro Tool'!$B$4=0,0,IF($H7=0,0,L25+'GPS Anthro Tool'!$B$41))</f>
        <v>0</v>
      </c>
      <c r="M7" s="460">
        <f>IF('GPS Anthro Tool'!$B$4=0,0,IF($I7=0,0,M25+'GPS Anthro Tool'!$B$41))</f>
        <v>0</v>
      </c>
      <c r="N7" s="461"/>
      <c r="O7" s="460">
        <f>IF('GPS Anthro Tool'!$B$4=0,0,IF($G7=0,0,O25+'GPS Anthro Tool'!$B$41))</f>
        <v>0</v>
      </c>
      <c r="P7" s="460">
        <f>IF('GPS Anthro Tool'!$B$4=0,0,IF($H7=0,0,P25+'GPS Anthro Tool'!$B$41))</f>
        <v>0</v>
      </c>
      <c r="Q7" s="460">
        <f>IF('GPS Anthro Tool'!$B$4=0,0,IF($I7=0,0,Q25+'GPS Anthro Tool'!$B$41))</f>
        <v>0</v>
      </c>
      <c r="R7" s="157"/>
      <c r="S7" s="174">
        <f>IF('GPS Anthro Tool'!$B$4=0,0,IF($G7=0,0,S25))</f>
        <v>0</v>
      </c>
      <c r="T7" s="174">
        <f>IF('GPS Anthro Tool'!$B$4=0,0,IF($H7=0,0,T25))</f>
        <v>0</v>
      </c>
      <c r="U7" s="174">
        <f>IF('GPS Anthro Tool'!$B$4=0,0,IF($I7=0,0,U25))</f>
        <v>0</v>
      </c>
      <c r="V7" s="157"/>
      <c r="W7" s="174">
        <f>IF('GPS Anthro Tool'!$B$4=0,0,IF($G7=0,0,W25))</f>
        <v>0</v>
      </c>
      <c r="X7" s="174">
        <f>IF('GPS Anthro Tool'!$B$4=0,0,IF($H7=0,0,X25))</f>
        <v>0</v>
      </c>
      <c r="Y7" s="174">
        <f>IF('GPS Anthro Tool'!$B$4=0,0,IF($I7=0,0,Y25))</f>
        <v>0</v>
      </c>
      <c r="Z7" s="157">
        <v>0</v>
      </c>
      <c r="AA7" s="174">
        <f>IF('GPS Anthro Tool'!$B$4=0,0,IF($G7=0,0,AA25))</f>
        <v>0</v>
      </c>
      <c r="AB7" s="174">
        <f>IF('GPS Anthro Tool'!$B$4=0,0,IF($H7=0,0,AB25))</f>
        <v>0</v>
      </c>
      <c r="AC7" s="174">
        <f>IF('GPS Anthro Tool'!$B$4=0,0,IF($I7=0,0,AC25))</f>
        <v>0</v>
      </c>
      <c r="AD7" s="86"/>
      <c r="AE7" s="174">
        <f>IF('GPS Anthro Tool'!$B$4=0,0,IF($G7=0,0,AE25))</f>
        <v>0</v>
      </c>
      <c r="AF7" s="174">
        <f>IF('GPS Anthro Tool'!$B$4=0,0,IF($H7=0,0,AF25))</f>
        <v>0</v>
      </c>
      <c r="AG7" s="174">
        <f>IF('GPS Anthro Tool'!$B$4=0,0,IF($I7=0,0,AG25))</f>
        <v>0</v>
      </c>
      <c r="AH7" s="211"/>
      <c r="AI7" s="460">
        <f>IF('GPS Anthro Tool'!$B$4=0,0,IF($G7=0,0,AI25+'GPS Anthro Tool'!$B$42))</f>
        <v>0</v>
      </c>
      <c r="AJ7" s="460">
        <f>IF('GPS Anthro Tool'!$B$4=0,0,IF($H7=0,0,AJ25+'GPS Anthro Tool'!$B$42))</f>
        <v>0</v>
      </c>
      <c r="AK7" s="460">
        <f>IF('GPS Anthro Tool'!$B$4=0,0,IF($I7=0,0,AK25+'GPS Anthro Tool'!$B$42))</f>
        <v>0</v>
      </c>
      <c r="AL7" s="211"/>
      <c r="AM7" s="174">
        <f>IF('GPS Anthro Tool'!$B$4=0,0,IF($G7=0,0,AM25-'GPS Anthro Tool'!$B$42))</f>
        <v>0</v>
      </c>
      <c r="AN7" s="174">
        <f>IF('GPS Anthro Tool'!$B$4=0,0,IF($H7=0,0,AN25-'GPS Anthro Tool'!$B$42))</f>
        <v>0</v>
      </c>
      <c r="AO7" s="174">
        <f>IF('GPS Anthro Tool'!$B$4=0,0,IF($I7=0,0,AO25-'GPS Anthro Tool'!$B$42))</f>
        <v>0</v>
      </c>
      <c r="AP7" s="211"/>
      <c r="AQ7" s="174">
        <f>IF('GPS Anthro Tool'!$B$4=0,0,IF($G7=0,0,AQ25))</f>
        <v>0</v>
      </c>
      <c r="AR7" s="174">
        <f>IF('GPS Anthro Tool'!$B$4=0,0,IF($H7=0,0,AR25))</f>
        <v>0</v>
      </c>
      <c r="AS7" s="174">
        <f>IF('GPS Anthro Tool'!$B$4=0,0,IF($I7=0,0,AS25))</f>
        <v>0</v>
      </c>
      <c r="AT7" s="211"/>
      <c r="AU7" s="174">
        <f>IF('GPS Anthro Tool'!$B$4=0,0,IF($G7=0,0,AU25))</f>
        <v>0</v>
      </c>
      <c r="AV7" s="174">
        <f>IF('GPS Anthro Tool'!$B$4=0,0,IF($H7=0,0,AV25))</f>
        <v>0</v>
      </c>
      <c r="AW7" s="174">
        <f>IF('GPS Anthro Tool'!$B$4=0,0,IF($I7=0,0,AW25))</f>
        <v>0</v>
      </c>
      <c r="AX7" s="211"/>
      <c r="AY7" s="174">
        <f>IF('GPS Anthro Tool'!$B$4=0,0,IF($G7=0,0,AY25))</f>
        <v>0</v>
      </c>
      <c r="AZ7" s="174">
        <f>IF('GPS Anthro Tool'!$B$4=0,0,IF($H7=0,0,AZ25))</f>
        <v>0</v>
      </c>
      <c r="BA7" s="174">
        <f>IF('GPS Anthro Tool'!$B$4=0,0,IF($I7=0,0,BA25))</f>
        <v>0</v>
      </c>
      <c r="BB7" s="211"/>
      <c r="BC7" s="174">
        <f>IF('GPS Anthro Tool'!$B$4=0,0,IF($G7=0,0,BC25))</f>
        <v>0</v>
      </c>
      <c r="BD7" s="174">
        <f>IF('GPS Anthro Tool'!$B$4=0,0,IF($H7=0,0,BD25))</f>
        <v>0</v>
      </c>
      <c r="BE7" s="174">
        <f>IF('GPS Anthro Tool'!$B$4=0,0,IF($I7=0,0,BE25))</f>
        <v>0</v>
      </c>
      <c r="BF7" s="208"/>
      <c r="BG7" s="157">
        <f t="shared" si="0"/>
        <v>0</v>
      </c>
      <c r="BH7" s="157">
        <f t="shared" si="1"/>
        <v>0</v>
      </c>
      <c r="BI7" s="157">
        <f t="shared" si="2"/>
        <v>0</v>
      </c>
      <c r="BJ7" s="213">
        <v>0</v>
      </c>
      <c r="BK7" s="157">
        <f t="shared" si="3"/>
        <v>0</v>
      </c>
      <c r="BL7" s="157">
        <f t="shared" si="4"/>
        <v>0</v>
      </c>
      <c r="BM7" s="157">
        <f t="shared" si="5"/>
        <v>0</v>
      </c>
      <c r="BN7" s="213">
        <v>0</v>
      </c>
      <c r="BO7" s="157">
        <f t="shared" si="6"/>
        <v>0</v>
      </c>
      <c r="BP7" s="157">
        <f t="shared" si="7"/>
        <v>0</v>
      </c>
      <c r="BQ7" s="157">
        <f t="shared" si="8"/>
        <v>0</v>
      </c>
      <c r="BR7" s="213"/>
      <c r="BS7" s="167">
        <f t="shared" si="9"/>
        <v>0</v>
      </c>
      <c r="BT7" s="167">
        <f t="shared" si="10"/>
        <v>0</v>
      </c>
      <c r="BU7" s="167">
        <f t="shared" si="11"/>
        <v>0</v>
      </c>
      <c r="BV7" s="213">
        <v>0</v>
      </c>
      <c r="BW7" s="168">
        <f t="shared" si="12"/>
        <v>0</v>
      </c>
      <c r="BX7" s="168">
        <f t="shared" si="13"/>
        <v>0</v>
      </c>
      <c r="BY7" s="168">
        <f t="shared" si="14"/>
        <v>0</v>
      </c>
      <c r="BZ7" s="210"/>
      <c r="CA7" s="169">
        <f t="shared" si="15"/>
        <v>0</v>
      </c>
      <c r="CB7" s="169">
        <f t="shared" si="16"/>
        <v>0</v>
      </c>
      <c r="CC7" s="169">
        <f t="shared" si="17"/>
        <v>0</v>
      </c>
      <c r="CD7" s="210"/>
      <c r="CE7" s="170">
        <f t="shared" si="18"/>
        <v>0</v>
      </c>
      <c r="CF7" s="170">
        <f t="shared" si="19"/>
        <v>0</v>
      </c>
      <c r="CG7" s="170">
        <f t="shared" si="20"/>
        <v>0</v>
      </c>
      <c r="CH7" s="210"/>
      <c r="CI7" s="82"/>
      <c r="CJ7" s="82"/>
      <c r="CK7" s="82"/>
      <c r="CL7" s="82"/>
      <c r="CM7" s="82"/>
      <c r="CN7" s="82"/>
      <c r="CO7" s="82"/>
      <c r="CP7" s="82"/>
      <c r="CQ7" s="82"/>
      <c r="CR7" s="82"/>
      <c r="CS7" s="82"/>
      <c r="CT7" s="82"/>
      <c r="CU7" s="82"/>
      <c r="CV7" s="82"/>
      <c r="CW7" s="82"/>
      <c r="CX7" s="82"/>
      <c r="CY7" s="82"/>
      <c r="CZ7" s="82"/>
      <c r="DA7" s="82"/>
      <c r="DB7" s="82"/>
    </row>
    <row r="8" spans="1:106">
      <c r="A8" s="184" t="s">
        <v>241</v>
      </c>
      <c r="B8" s="153">
        <v>1</v>
      </c>
      <c r="C8" s="172">
        <f>IF('GPS Anthro Tool'!$B$4=0,0,IF('GPS Anthro Tool'!$B$11=0,0,IF('US Child Data'!$B8=0,0,IF(C26&gt;'GPS Anthro Tool'!$B$16,0,IF(C26&lt;'GPS Anthro Tool'!$B$17,0,C26)))))</f>
        <v>0</v>
      </c>
      <c r="D8" s="172">
        <f>IF('GPS Anthro Tool'!$B$4=0,0,IF('GPS Anthro Tool'!$B$10=0,0,IF('US Child Data'!$B8=0,0,IF(D26&gt;'GPS Anthro Tool'!$B$16,0,IF(D26&lt;'GPS Anthro Tool'!$B$17,0,D26)))))</f>
        <v>0</v>
      </c>
      <c r="E8" s="172">
        <f>IF('GPS Anthro Tool'!$B$4=0,0,IF('GPS Anthro Tool'!$B$9=0,0,IF('US Child Data'!$B8=0,0,IF(E26&gt;'GPS Anthro Tool'!$B$16,0,IF(E26&lt;'GPS Anthro Tool'!$B$17,0,E26)))))</f>
        <v>0</v>
      </c>
      <c r="F8" s="171"/>
      <c r="G8" s="173">
        <f>IF('GPS Anthro Tool'!$B$11=0,0,IF('US Child Data'!$B8=0,0,IF(G26&gt;'GPS Anthro Tool'!$B$14,0,IF(G26&lt;'GPS Anthro Tool'!$B$15,0,IF($C$8=0,0,G26)))))</f>
        <v>0</v>
      </c>
      <c r="H8" s="173">
        <f>IF('GPS Anthro Tool'!$B$10=0,0,IF('US Child Data'!$B8=0,0,IF(H26&gt;'GPS Anthro Tool'!$B$14,0,IF(H26&lt;'GPS Anthro Tool'!$B$15,0,IF($D$8=0,0,H26)))))</f>
        <v>0</v>
      </c>
      <c r="I8" s="173">
        <f>IF('GPS Anthro Tool'!$B$9=0,0,IF('US Child Data'!$B8=0,0,IF(I26&gt;'GPS Anthro Tool'!$B$14,0,IF(I26&lt;'GPS Anthro Tool'!$B$15,0,IF($E$8=0,0,I26)))))</f>
        <v>0</v>
      </c>
      <c r="J8" s="157"/>
      <c r="K8" s="460">
        <f>IF('GPS Anthro Tool'!$B$4=0,0,IF($G8=0,0,K26+'GPS Anthro Tool'!$B$41))</f>
        <v>0</v>
      </c>
      <c r="L8" s="460">
        <f>IF('GPS Anthro Tool'!$B$4=0,0,IF($H8=0,0,L26+'GPS Anthro Tool'!$B$41))</f>
        <v>0</v>
      </c>
      <c r="M8" s="460">
        <f>IF('GPS Anthro Tool'!$B$4=0,0,IF($I8=0,0,M26+'GPS Anthro Tool'!$B$41))</f>
        <v>0</v>
      </c>
      <c r="N8" s="461"/>
      <c r="O8" s="460">
        <f>IF('GPS Anthro Tool'!$B$4=0,0,IF($G8=0,0,O26+'GPS Anthro Tool'!$B$41))</f>
        <v>0</v>
      </c>
      <c r="P8" s="460">
        <f>IF('GPS Anthro Tool'!$B$4=0,0,IF($H8=0,0,P26+'GPS Anthro Tool'!$B$41))</f>
        <v>0</v>
      </c>
      <c r="Q8" s="460">
        <f>IF('GPS Anthro Tool'!$B$4=0,0,IF($I8=0,0,Q26+'GPS Anthro Tool'!$B$41))</f>
        <v>0</v>
      </c>
      <c r="R8" s="157"/>
      <c r="S8" s="174">
        <f>IF('GPS Anthro Tool'!$B$4=0,0,IF($G8=0,0,S26))</f>
        <v>0</v>
      </c>
      <c r="T8" s="174">
        <f>IF('GPS Anthro Tool'!$B$4=0,0,IF($H8=0,0,T26))</f>
        <v>0</v>
      </c>
      <c r="U8" s="174">
        <f>IF('GPS Anthro Tool'!$B$4=0,0,IF($I8=0,0,U26))</f>
        <v>0</v>
      </c>
      <c r="V8" s="157"/>
      <c r="W8" s="174">
        <f>IF('GPS Anthro Tool'!$B$4=0,0,IF($G8=0,0,W26))</f>
        <v>0</v>
      </c>
      <c r="X8" s="174">
        <f>IF('GPS Anthro Tool'!$B$4=0,0,IF($H8=0,0,X26))</f>
        <v>0</v>
      </c>
      <c r="Y8" s="174">
        <f>IF('GPS Anthro Tool'!$B$4=0,0,IF($I8=0,0,Y26))</f>
        <v>0</v>
      </c>
      <c r="Z8" s="157">
        <v>0</v>
      </c>
      <c r="AA8" s="174">
        <f>IF('GPS Anthro Tool'!$B$4=0,0,IF($G8=0,0,AA26))</f>
        <v>0</v>
      </c>
      <c r="AB8" s="174">
        <f>IF('GPS Anthro Tool'!$B$4=0,0,IF($H8=0,0,AB26))</f>
        <v>0</v>
      </c>
      <c r="AC8" s="174">
        <f>IF('GPS Anthro Tool'!$B$4=0,0,IF($I8=0,0,AC26))</f>
        <v>0</v>
      </c>
      <c r="AD8" s="86"/>
      <c r="AE8" s="174">
        <f>IF('GPS Anthro Tool'!$B$4=0,0,IF($G8=0,0,AE26))</f>
        <v>0</v>
      </c>
      <c r="AF8" s="174">
        <f>IF('GPS Anthro Tool'!$B$4=0,0,IF($H8=0,0,AF26))</f>
        <v>0</v>
      </c>
      <c r="AG8" s="174">
        <f>IF('GPS Anthro Tool'!$B$4=0,0,IF($I8=0,0,AG26))</f>
        <v>0</v>
      </c>
      <c r="AH8" s="211"/>
      <c r="AI8" s="460">
        <f>IF('GPS Anthro Tool'!$B$4=0,0,IF($G8=0,0,AI26+'GPS Anthro Tool'!$B$42))</f>
        <v>0</v>
      </c>
      <c r="AJ8" s="460">
        <f>IF('GPS Anthro Tool'!$B$4=0,0,IF($H8=0,0,AJ26+'GPS Anthro Tool'!$B$42))</f>
        <v>0</v>
      </c>
      <c r="AK8" s="460">
        <f>IF('GPS Anthro Tool'!$B$4=0,0,IF($I8=0,0,AK26+'GPS Anthro Tool'!$B$42))</f>
        <v>0</v>
      </c>
      <c r="AL8" s="211"/>
      <c r="AM8" s="174">
        <f>IF('GPS Anthro Tool'!$B$4=0,0,IF($G8=0,0,AM26-'GPS Anthro Tool'!$B$42))</f>
        <v>0</v>
      </c>
      <c r="AN8" s="174">
        <f>IF('GPS Anthro Tool'!$B$4=0,0,IF($H8=0,0,AN26-'GPS Anthro Tool'!$B$42))</f>
        <v>0</v>
      </c>
      <c r="AO8" s="174">
        <f>IF('GPS Anthro Tool'!$B$4=0,0,IF($I8=0,0,AO26-'GPS Anthro Tool'!$B$42))</f>
        <v>0</v>
      </c>
      <c r="AP8" s="211"/>
      <c r="AQ8" s="174">
        <f>IF('GPS Anthro Tool'!$B$4=0,0,IF($G8=0,0,AQ26))</f>
        <v>0</v>
      </c>
      <c r="AR8" s="174">
        <f>IF('GPS Anthro Tool'!$B$4=0,0,IF($H8=0,0,AR26))</f>
        <v>0</v>
      </c>
      <c r="AS8" s="174">
        <f>IF('GPS Anthro Tool'!$B$4=0,0,IF($I8=0,0,AS26))</f>
        <v>0</v>
      </c>
      <c r="AT8" s="211"/>
      <c r="AU8" s="174">
        <f>IF('GPS Anthro Tool'!$B$4=0,0,IF($G8=0,0,AU26))</f>
        <v>0</v>
      </c>
      <c r="AV8" s="174">
        <f>IF('GPS Anthro Tool'!$B$4=0,0,IF($H8=0,0,AV26))</f>
        <v>0</v>
      </c>
      <c r="AW8" s="174">
        <f>IF('GPS Anthro Tool'!$B$4=0,0,IF($I8=0,0,AW26))</f>
        <v>0</v>
      </c>
      <c r="AX8" s="211"/>
      <c r="AY8" s="174">
        <f>IF('GPS Anthro Tool'!$B$4=0,0,IF($G8=0,0,AY26))</f>
        <v>0</v>
      </c>
      <c r="AZ8" s="174">
        <f>IF('GPS Anthro Tool'!$B$4=0,0,IF($H8=0,0,AZ26))</f>
        <v>0</v>
      </c>
      <c r="BA8" s="174">
        <f>IF('GPS Anthro Tool'!$B$4=0,0,IF($I8=0,0,BA26))</f>
        <v>0</v>
      </c>
      <c r="BB8" s="211"/>
      <c r="BC8" s="174">
        <f>IF('GPS Anthro Tool'!$B$4=0,0,IF($G8=0,0,BC26))</f>
        <v>0</v>
      </c>
      <c r="BD8" s="174">
        <f>IF('GPS Anthro Tool'!$B$4=0,0,IF($H8=0,0,BD26))</f>
        <v>0</v>
      </c>
      <c r="BE8" s="174">
        <f>IF('GPS Anthro Tool'!$B$4=0,0,IF($I8=0,0,BE26))</f>
        <v>0</v>
      </c>
      <c r="BF8" s="208"/>
      <c r="BG8" s="157">
        <f t="shared" si="0"/>
        <v>0</v>
      </c>
      <c r="BH8" s="157">
        <f t="shared" si="1"/>
        <v>0</v>
      </c>
      <c r="BI8" s="157">
        <f t="shared" si="2"/>
        <v>0</v>
      </c>
      <c r="BJ8" s="213">
        <v>0</v>
      </c>
      <c r="BK8" s="157">
        <f t="shared" si="3"/>
        <v>0</v>
      </c>
      <c r="BL8" s="157">
        <f t="shared" si="4"/>
        <v>0</v>
      </c>
      <c r="BM8" s="157">
        <f t="shared" si="5"/>
        <v>0</v>
      </c>
      <c r="BN8" s="213">
        <v>0</v>
      </c>
      <c r="BO8" s="157">
        <f t="shared" si="6"/>
        <v>0</v>
      </c>
      <c r="BP8" s="157">
        <f t="shared" si="7"/>
        <v>0</v>
      </c>
      <c r="BQ8" s="157">
        <f t="shared" si="8"/>
        <v>0</v>
      </c>
      <c r="BR8" s="213"/>
      <c r="BS8" s="167">
        <f t="shared" si="9"/>
        <v>0</v>
      </c>
      <c r="BT8" s="167">
        <f t="shared" si="10"/>
        <v>0</v>
      </c>
      <c r="BU8" s="167">
        <f t="shared" si="11"/>
        <v>0</v>
      </c>
      <c r="BV8" s="213">
        <v>0</v>
      </c>
      <c r="BW8" s="168">
        <f t="shared" si="12"/>
        <v>0</v>
      </c>
      <c r="BX8" s="168">
        <f t="shared" si="13"/>
        <v>0</v>
      </c>
      <c r="BY8" s="168">
        <f t="shared" si="14"/>
        <v>0</v>
      </c>
      <c r="BZ8" s="210"/>
      <c r="CA8" s="169">
        <f t="shared" si="15"/>
        <v>0</v>
      </c>
      <c r="CB8" s="169">
        <f t="shared" si="16"/>
        <v>0</v>
      </c>
      <c r="CC8" s="169">
        <f t="shared" si="17"/>
        <v>0</v>
      </c>
      <c r="CD8" s="210"/>
      <c r="CE8" s="170">
        <f t="shared" si="18"/>
        <v>0</v>
      </c>
      <c r="CF8" s="170">
        <f t="shared" si="19"/>
        <v>0</v>
      </c>
      <c r="CG8" s="170">
        <f t="shared" si="20"/>
        <v>0</v>
      </c>
      <c r="CH8" s="210"/>
      <c r="CI8" s="82"/>
      <c r="CJ8" s="82"/>
      <c r="CK8" s="82"/>
      <c r="CL8" s="82"/>
      <c r="CM8" s="82"/>
      <c r="CN8" s="82"/>
      <c r="CO8" s="82"/>
      <c r="CP8" s="82"/>
      <c r="CQ8" s="82"/>
      <c r="CR8" s="82"/>
      <c r="CS8" s="82"/>
      <c r="CT8" s="82"/>
      <c r="CU8" s="82"/>
      <c r="CV8" s="82"/>
      <c r="CW8" s="82"/>
      <c r="CX8" s="82"/>
      <c r="CY8" s="82"/>
      <c r="CZ8" s="82"/>
      <c r="DA8" s="82"/>
      <c r="DB8" s="82"/>
    </row>
    <row r="9" spans="1:106">
      <c r="A9" s="184" t="s">
        <v>242</v>
      </c>
      <c r="B9" s="153">
        <v>1</v>
      </c>
      <c r="C9" s="172">
        <f>IF('GPS Anthro Tool'!$B$4=0,0,IF('GPS Anthro Tool'!$B$11=0,0,IF('US Child Data'!$B9=0,0,IF(C27&gt;'GPS Anthro Tool'!$B$16,0,IF(C27&lt;'GPS Anthro Tool'!$B$17,0,C27)))))</f>
        <v>0</v>
      </c>
      <c r="D9" s="172">
        <f>IF('GPS Anthro Tool'!$B$4=0,0,IF('GPS Anthro Tool'!$B$10=0,0,IF('US Child Data'!$B9=0,0,IF(D27&gt;'GPS Anthro Tool'!$B$16,0,IF(D27&lt;'GPS Anthro Tool'!$B$17,0,D27)))))</f>
        <v>0</v>
      </c>
      <c r="E9" s="172">
        <f>IF('GPS Anthro Tool'!$B$4=0,0,IF('GPS Anthro Tool'!$B$9=0,0,IF('US Child Data'!$B9=0,0,IF(E27&gt;'GPS Anthro Tool'!$B$16,0,IF(E27&lt;'GPS Anthro Tool'!$B$17,0,E27)))))</f>
        <v>0</v>
      </c>
      <c r="F9" s="171"/>
      <c r="G9" s="173">
        <f>IF('GPS Anthro Tool'!$B$11=0,0,IF('US Child Data'!$B9=0,0,IF(G27&gt;'GPS Anthro Tool'!$B$14,0,IF(G27&lt;'GPS Anthro Tool'!$B$15,0,IF($C$9=0,0,G27)))))</f>
        <v>0</v>
      </c>
      <c r="H9" s="173">
        <f>IF('GPS Anthro Tool'!$B$10=0,0,IF('US Child Data'!$B9=0,0,IF(H27&gt;'GPS Anthro Tool'!$B$14,0,IF(H27&lt;'GPS Anthro Tool'!$B$15,0,IF($D$9=0,0,H27)))))</f>
        <v>0</v>
      </c>
      <c r="I9" s="173">
        <f>IF('GPS Anthro Tool'!$B$9=0,0,IF('US Child Data'!$B9=0,0,IF(I27&gt;'GPS Anthro Tool'!$B$14,0,IF(I27&lt;'GPS Anthro Tool'!$B$15,0,IF($E$9=0,0,I27)))))</f>
        <v>0</v>
      </c>
      <c r="J9" s="157"/>
      <c r="K9" s="460">
        <f>IF('GPS Anthro Tool'!$B$4=0,0,IF($G9=0,0,K27+'GPS Anthro Tool'!$B$41))</f>
        <v>0</v>
      </c>
      <c r="L9" s="460">
        <f>IF('GPS Anthro Tool'!$B$4=0,0,IF($H9=0,0,L27+'GPS Anthro Tool'!$B$41))</f>
        <v>0</v>
      </c>
      <c r="M9" s="460">
        <f>IF('GPS Anthro Tool'!$B$4=0,0,IF($I9=0,0,M27+'GPS Anthro Tool'!$B$41))</f>
        <v>0</v>
      </c>
      <c r="N9" s="461"/>
      <c r="O9" s="460">
        <f>IF('GPS Anthro Tool'!$B$4=0,0,IF($G9=0,0,O27+'GPS Anthro Tool'!$B$41))</f>
        <v>0</v>
      </c>
      <c r="P9" s="460">
        <f>IF('GPS Anthro Tool'!$B$4=0,0,IF($H9=0,0,P27+'GPS Anthro Tool'!$B$41))</f>
        <v>0</v>
      </c>
      <c r="Q9" s="460">
        <f>IF('GPS Anthro Tool'!$B$4=0,0,IF($I9=0,0,Q27+'GPS Anthro Tool'!$B$41))</f>
        <v>0</v>
      </c>
      <c r="R9" s="157"/>
      <c r="S9" s="174">
        <f>IF('GPS Anthro Tool'!$B$4=0,0,IF($G9=0,0,S27))</f>
        <v>0</v>
      </c>
      <c r="T9" s="174">
        <f>IF('GPS Anthro Tool'!$B$4=0,0,IF($H9=0,0,T27))</f>
        <v>0</v>
      </c>
      <c r="U9" s="174">
        <f>IF('GPS Anthro Tool'!$B$4=0,0,IF($I9=0,0,U27))</f>
        <v>0</v>
      </c>
      <c r="V9" s="157"/>
      <c r="W9" s="174">
        <f>IF('GPS Anthro Tool'!$B$4=0,0,IF($G9=0,0,W27))</f>
        <v>0</v>
      </c>
      <c r="X9" s="174">
        <f>IF('GPS Anthro Tool'!$B$4=0,0,IF($H9=0,0,X27))</f>
        <v>0</v>
      </c>
      <c r="Y9" s="174">
        <f>IF('GPS Anthro Tool'!$B$4=0,0,IF($I9=0,0,Y27))</f>
        <v>0</v>
      </c>
      <c r="Z9" s="157">
        <v>0</v>
      </c>
      <c r="AA9" s="174">
        <f>IF('GPS Anthro Tool'!$B$4=0,0,IF($G9=0,0,AA27))</f>
        <v>0</v>
      </c>
      <c r="AB9" s="174">
        <f>IF('GPS Anthro Tool'!$B$4=0,0,IF($H9=0,0,AB27))</f>
        <v>0</v>
      </c>
      <c r="AC9" s="174">
        <f>IF('GPS Anthro Tool'!$B$4=0,0,IF($I9=0,0,AC27))</f>
        <v>0</v>
      </c>
      <c r="AD9" s="86"/>
      <c r="AE9" s="174">
        <f>IF('GPS Anthro Tool'!$B$4=0,0,IF($G9=0,0,AE27))</f>
        <v>0</v>
      </c>
      <c r="AF9" s="174">
        <f>IF('GPS Anthro Tool'!$B$4=0,0,IF($H9=0,0,AF27))</f>
        <v>0</v>
      </c>
      <c r="AG9" s="174">
        <f>IF('GPS Anthro Tool'!$B$4=0,0,IF($I9=0,0,AG27))</f>
        <v>0</v>
      </c>
      <c r="AH9" s="211"/>
      <c r="AI9" s="460">
        <f>IF('GPS Anthro Tool'!$B$4=0,0,IF($G9=0,0,AI27+'GPS Anthro Tool'!$B$42))</f>
        <v>0</v>
      </c>
      <c r="AJ9" s="460">
        <f>IF('GPS Anthro Tool'!$B$4=0,0,IF($H9=0,0,AJ27+'GPS Anthro Tool'!$B$42))</f>
        <v>0</v>
      </c>
      <c r="AK9" s="460">
        <f>IF('GPS Anthro Tool'!$B$4=0,0,IF($I9=0,0,AK27+'GPS Anthro Tool'!$B$42))</f>
        <v>0</v>
      </c>
      <c r="AL9" s="211"/>
      <c r="AM9" s="174">
        <f>IF('GPS Anthro Tool'!$B$4=0,0,IF($G9=0,0,AM27-'GPS Anthro Tool'!$B$42))</f>
        <v>0</v>
      </c>
      <c r="AN9" s="174">
        <f>IF('GPS Anthro Tool'!$B$4=0,0,IF($H9=0,0,AN27-'GPS Anthro Tool'!$B$42))</f>
        <v>0</v>
      </c>
      <c r="AO9" s="174">
        <f>IF('GPS Anthro Tool'!$B$4=0,0,IF($I9=0,0,AO27-'GPS Anthro Tool'!$B$42))</f>
        <v>0</v>
      </c>
      <c r="AP9" s="211"/>
      <c r="AQ9" s="174">
        <f>IF('GPS Anthro Tool'!$B$4=0,0,IF($G9=0,0,AQ27))</f>
        <v>0</v>
      </c>
      <c r="AR9" s="174">
        <f>IF('GPS Anthro Tool'!$B$4=0,0,IF($H9=0,0,AR27))</f>
        <v>0</v>
      </c>
      <c r="AS9" s="174">
        <f>IF('GPS Anthro Tool'!$B$4=0,0,IF($I9=0,0,AS27))</f>
        <v>0</v>
      </c>
      <c r="AT9" s="211"/>
      <c r="AU9" s="174">
        <f>IF('GPS Anthro Tool'!$B$4=0,0,IF($G9=0,0,AU27))</f>
        <v>0</v>
      </c>
      <c r="AV9" s="174">
        <f>IF('GPS Anthro Tool'!$B$4=0,0,IF($H9=0,0,AV27))</f>
        <v>0</v>
      </c>
      <c r="AW9" s="174">
        <f>IF('GPS Anthro Tool'!$B$4=0,0,IF($I9=0,0,AW27))</f>
        <v>0</v>
      </c>
      <c r="AX9" s="211"/>
      <c r="AY9" s="174">
        <f>IF('GPS Anthro Tool'!$B$4=0,0,IF($G9=0,0,AY27))</f>
        <v>0</v>
      </c>
      <c r="AZ9" s="174">
        <f>IF('GPS Anthro Tool'!$B$4=0,0,IF($H9=0,0,AZ27))</f>
        <v>0</v>
      </c>
      <c r="BA9" s="174">
        <f>IF('GPS Anthro Tool'!$B$4=0,0,IF($I9=0,0,BA27))</f>
        <v>0</v>
      </c>
      <c r="BB9" s="211"/>
      <c r="BC9" s="174">
        <f>IF('GPS Anthro Tool'!$B$4=0,0,IF($G9=0,0,BC27))</f>
        <v>0</v>
      </c>
      <c r="BD9" s="174">
        <f>IF('GPS Anthro Tool'!$B$4=0,0,IF($H9=0,0,BD27))</f>
        <v>0</v>
      </c>
      <c r="BE9" s="174">
        <f>IF('GPS Anthro Tool'!$B$4=0,0,IF($I9=0,0,BE27))</f>
        <v>0</v>
      </c>
      <c r="BF9" s="208"/>
      <c r="BG9" s="157">
        <f t="shared" si="0"/>
        <v>0</v>
      </c>
      <c r="BH9" s="157">
        <f t="shared" si="1"/>
        <v>0</v>
      </c>
      <c r="BI9" s="157">
        <f t="shared" si="2"/>
        <v>0</v>
      </c>
      <c r="BJ9" s="213">
        <v>0</v>
      </c>
      <c r="BK9" s="157">
        <f t="shared" si="3"/>
        <v>0</v>
      </c>
      <c r="BL9" s="157">
        <f t="shared" si="4"/>
        <v>0</v>
      </c>
      <c r="BM9" s="157">
        <f t="shared" si="5"/>
        <v>0</v>
      </c>
      <c r="BN9" s="213">
        <v>0</v>
      </c>
      <c r="BO9" s="157">
        <f t="shared" si="6"/>
        <v>0</v>
      </c>
      <c r="BP9" s="157">
        <f t="shared" si="7"/>
        <v>0</v>
      </c>
      <c r="BQ9" s="157">
        <f t="shared" si="8"/>
        <v>0</v>
      </c>
      <c r="BR9" s="213"/>
      <c r="BS9" s="167">
        <f t="shared" si="9"/>
        <v>0</v>
      </c>
      <c r="BT9" s="167">
        <f t="shared" si="10"/>
        <v>0</v>
      </c>
      <c r="BU9" s="167">
        <f t="shared" si="11"/>
        <v>0</v>
      </c>
      <c r="BV9" s="213">
        <v>0</v>
      </c>
      <c r="BW9" s="168">
        <f t="shared" si="12"/>
        <v>0</v>
      </c>
      <c r="BX9" s="168">
        <f t="shared" si="13"/>
        <v>0</v>
      </c>
      <c r="BY9" s="168">
        <f t="shared" si="14"/>
        <v>0</v>
      </c>
      <c r="BZ9" s="210"/>
      <c r="CA9" s="169">
        <f t="shared" si="15"/>
        <v>0</v>
      </c>
      <c r="CB9" s="169">
        <f t="shared" si="16"/>
        <v>0</v>
      </c>
      <c r="CC9" s="169">
        <f t="shared" si="17"/>
        <v>0</v>
      </c>
      <c r="CD9" s="210"/>
      <c r="CE9" s="170">
        <f t="shared" si="18"/>
        <v>0</v>
      </c>
      <c r="CF9" s="170">
        <f t="shared" si="19"/>
        <v>0</v>
      </c>
      <c r="CG9" s="170">
        <f t="shared" si="20"/>
        <v>0</v>
      </c>
      <c r="CH9" s="210"/>
      <c r="CI9" s="82"/>
      <c r="CJ9" s="82"/>
      <c r="CK9" s="82"/>
      <c r="CL9" s="82"/>
      <c r="CM9" s="82"/>
      <c r="CN9" s="82"/>
      <c r="CO9" s="82"/>
      <c r="CP9" s="82"/>
      <c r="CQ9" s="82"/>
      <c r="CR9" s="82"/>
      <c r="CS9" s="82"/>
      <c r="CT9" s="82"/>
      <c r="CU9" s="82"/>
      <c r="CV9" s="82"/>
      <c r="CW9" s="82"/>
      <c r="CX9" s="82"/>
      <c r="CY9" s="82"/>
      <c r="CZ9" s="82"/>
      <c r="DA9" s="82"/>
      <c r="DB9" s="82"/>
    </row>
    <row r="10" spans="1:106">
      <c r="A10" s="184" t="s">
        <v>243</v>
      </c>
      <c r="B10" s="153">
        <v>1</v>
      </c>
      <c r="C10" s="172">
        <f>IF('GPS Anthro Tool'!$B$4=0,0,IF('GPS Anthro Tool'!$B$11=0,0,IF('US Child Data'!$B10=0,0,IF(C28&gt;'GPS Anthro Tool'!$B$16,0,IF(C28&lt;'GPS Anthro Tool'!$B$17,0,C28)))))</f>
        <v>0</v>
      </c>
      <c r="D10" s="172">
        <f>IF('GPS Anthro Tool'!$B$4=0,0,IF('GPS Anthro Tool'!$B$10=0,0,IF('US Child Data'!$B10=0,0,IF(D28&gt;'GPS Anthro Tool'!$B$16,0,IF(D28&lt;'GPS Anthro Tool'!$B$17,0,D28)))))</f>
        <v>0</v>
      </c>
      <c r="E10" s="172">
        <f>IF('GPS Anthro Tool'!$B$4=0,0,IF('GPS Anthro Tool'!$B$9=0,0,IF('US Child Data'!$B10=0,0,IF(E28&gt;'GPS Anthro Tool'!$B$16,0,IF(E28&lt;'GPS Anthro Tool'!$B$17,0,E28)))))</f>
        <v>0</v>
      </c>
      <c r="F10" s="171"/>
      <c r="G10" s="173">
        <f>IF('GPS Anthro Tool'!$B$11=0,0,IF('US Child Data'!$B10=0,0,IF(G28&gt;'GPS Anthro Tool'!$B$14,0,IF(G28&lt;'GPS Anthro Tool'!$B$15,0,IF($C$10=0,0,G28)))))</f>
        <v>0</v>
      </c>
      <c r="H10" s="173">
        <f>IF('GPS Anthro Tool'!$B$10=0,0,IF('US Child Data'!$B10=0,0,IF(H28&gt;'GPS Anthro Tool'!$B$14,0,IF(H28&lt;'GPS Anthro Tool'!$B$15,0,IF($D$10=0,0,H28)))))</f>
        <v>0</v>
      </c>
      <c r="I10" s="173">
        <f>IF('GPS Anthro Tool'!$B$9=0,0,IF('US Child Data'!$B10=0,0,IF(I28&gt;'GPS Anthro Tool'!$B$14,0,IF(I28&lt;'GPS Anthro Tool'!$B$15,0,IF($E$10=0,0,I28)))))</f>
        <v>0</v>
      </c>
      <c r="J10" s="157"/>
      <c r="K10" s="460">
        <f>IF('GPS Anthro Tool'!$B$4=0,0,IF($G10=0,0,K28+'GPS Anthro Tool'!$B$41))</f>
        <v>0</v>
      </c>
      <c r="L10" s="460">
        <f>IF('GPS Anthro Tool'!$B$4=0,0,IF($H10=0,0,L28+'GPS Anthro Tool'!$B$41))</f>
        <v>0</v>
      </c>
      <c r="M10" s="460">
        <f>IF('GPS Anthro Tool'!$B$4=0,0,IF($I10=0,0,M28+'GPS Anthro Tool'!$B$41))</f>
        <v>0</v>
      </c>
      <c r="N10" s="461"/>
      <c r="O10" s="460">
        <f>IF('GPS Anthro Tool'!$B$4=0,0,IF($G10=0,0,O28+'GPS Anthro Tool'!$B$41))</f>
        <v>0</v>
      </c>
      <c r="P10" s="460">
        <f>IF('GPS Anthro Tool'!$B$4=0,0,IF($H10=0,0,P28+'GPS Anthro Tool'!$B$41))</f>
        <v>0</v>
      </c>
      <c r="Q10" s="460">
        <f>IF('GPS Anthro Tool'!$B$4=0,0,IF($I10=0,0,Q28+'GPS Anthro Tool'!$B$41))</f>
        <v>0</v>
      </c>
      <c r="R10" s="157"/>
      <c r="S10" s="174">
        <f>IF('GPS Anthro Tool'!$B$4=0,0,IF($G10=0,0,S28))</f>
        <v>0</v>
      </c>
      <c r="T10" s="174">
        <f>IF('GPS Anthro Tool'!$B$4=0,0,IF($H10=0,0,T28))</f>
        <v>0</v>
      </c>
      <c r="U10" s="174">
        <f>IF('GPS Anthro Tool'!$B$4=0,0,IF($I10=0,0,U28))</f>
        <v>0</v>
      </c>
      <c r="V10" s="157"/>
      <c r="W10" s="174">
        <f>IF('GPS Anthro Tool'!$B$4=0,0,IF($G10=0,0,W28))</f>
        <v>0</v>
      </c>
      <c r="X10" s="174">
        <f>IF('GPS Anthro Tool'!$B$4=0,0,IF($H10=0,0,X28))</f>
        <v>0</v>
      </c>
      <c r="Y10" s="174">
        <f>IF('GPS Anthro Tool'!$B$4=0,0,IF($I10=0,0,Y28))</f>
        <v>0</v>
      </c>
      <c r="Z10" s="157">
        <v>0</v>
      </c>
      <c r="AA10" s="174">
        <f>IF('GPS Anthro Tool'!$B$4=0,0,IF($G10=0,0,AA28))</f>
        <v>0</v>
      </c>
      <c r="AB10" s="174">
        <f>IF('GPS Anthro Tool'!$B$4=0,0,IF($H10=0,0,AB28))</f>
        <v>0</v>
      </c>
      <c r="AC10" s="174">
        <f>IF('GPS Anthro Tool'!$B$4=0,0,IF($I10=0,0,AC28))</f>
        <v>0</v>
      </c>
      <c r="AD10" s="86"/>
      <c r="AE10" s="174">
        <f>IF('GPS Anthro Tool'!$B$4=0,0,IF($G10=0,0,AE28))</f>
        <v>0</v>
      </c>
      <c r="AF10" s="174">
        <f>IF('GPS Anthro Tool'!$B$4=0,0,IF($H10=0,0,AF28))</f>
        <v>0</v>
      </c>
      <c r="AG10" s="174">
        <f>IF('GPS Anthro Tool'!$B$4=0,0,IF($I10=0,0,AG28))</f>
        <v>0</v>
      </c>
      <c r="AH10" s="211"/>
      <c r="AI10" s="460">
        <f>IF('GPS Anthro Tool'!$B$4=0,0,IF($G10=0,0,AI28+'GPS Anthro Tool'!$B$42))</f>
        <v>0</v>
      </c>
      <c r="AJ10" s="460">
        <f>IF('GPS Anthro Tool'!$B$4=0,0,IF($H10=0,0,AJ28+'GPS Anthro Tool'!$B$42))</f>
        <v>0</v>
      </c>
      <c r="AK10" s="460">
        <f>IF('GPS Anthro Tool'!$B$4=0,0,IF($I10=0,0,AK28+'GPS Anthro Tool'!$B$42))</f>
        <v>0</v>
      </c>
      <c r="AL10" s="211"/>
      <c r="AM10" s="174">
        <f>IF('GPS Anthro Tool'!$B$4=0,0,IF($G10=0,0,AM28-'GPS Anthro Tool'!$B$42))</f>
        <v>0</v>
      </c>
      <c r="AN10" s="174">
        <f>IF('GPS Anthro Tool'!$B$4=0,0,IF($H10=0,0,AN28-'GPS Anthro Tool'!$B$42))</f>
        <v>0</v>
      </c>
      <c r="AO10" s="174">
        <f>IF('GPS Anthro Tool'!$B$4=0,0,IF($I10=0,0,AO28-'GPS Anthro Tool'!$B$42))</f>
        <v>0</v>
      </c>
      <c r="AP10" s="211"/>
      <c r="AQ10" s="174">
        <f>IF('GPS Anthro Tool'!$B$4=0,0,IF($G10=0,0,AQ28))</f>
        <v>0</v>
      </c>
      <c r="AR10" s="174">
        <f>IF('GPS Anthro Tool'!$B$4=0,0,IF($H10=0,0,AR28))</f>
        <v>0</v>
      </c>
      <c r="AS10" s="174">
        <f>IF('GPS Anthro Tool'!$B$4=0,0,IF($I10=0,0,AS28))</f>
        <v>0</v>
      </c>
      <c r="AT10" s="211"/>
      <c r="AU10" s="174">
        <f>IF('GPS Anthro Tool'!$B$4=0,0,IF($G10=0,0,AU28))</f>
        <v>0</v>
      </c>
      <c r="AV10" s="174">
        <f>IF('GPS Anthro Tool'!$B$4=0,0,IF($H10=0,0,AV28))</f>
        <v>0</v>
      </c>
      <c r="AW10" s="174">
        <f>IF('GPS Anthro Tool'!$B$4=0,0,IF($I10=0,0,AW28))</f>
        <v>0</v>
      </c>
      <c r="AX10" s="211"/>
      <c r="AY10" s="174">
        <f>IF('GPS Anthro Tool'!$B$4=0,0,IF($G10=0,0,AY28))</f>
        <v>0</v>
      </c>
      <c r="AZ10" s="174">
        <f>IF('GPS Anthro Tool'!$B$4=0,0,IF($H10=0,0,AZ28))</f>
        <v>0</v>
      </c>
      <c r="BA10" s="174">
        <f>IF('GPS Anthro Tool'!$B$4=0,0,IF($I10=0,0,BA28))</f>
        <v>0</v>
      </c>
      <c r="BB10" s="211"/>
      <c r="BC10" s="174">
        <f>IF('GPS Anthro Tool'!$B$4=0,0,IF($G10=0,0,BC28))</f>
        <v>0</v>
      </c>
      <c r="BD10" s="174">
        <f>IF('GPS Anthro Tool'!$B$4=0,0,IF($H10=0,0,BD28))</f>
        <v>0</v>
      </c>
      <c r="BE10" s="174">
        <f>IF('GPS Anthro Tool'!$B$4=0,0,IF($I10=0,0,BE28))</f>
        <v>0</v>
      </c>
      <c r="BF10" s="208"/>
      <c r="BG10" s="157">
        <f t="shared" si="0"/>
        <v>0</v>
      </c>
      <c r="BH10" s="157">
        <f t="shared" si="1"/>
        <v>0</v>
      </c>
      <c r="BI10" s="157">
        <f t="shared" si="2"/>
        <v>0</v>
      </c>
      <c r="BJ10" s="213">
        <v>0</v>
      </c>
      <c r="BK10" s="157">
        <f t="shared" si="3"/>
        <v>0</v>
      </c>
      <c r="BL10" s="157">
        <f t="shared" si="4"/>
        <v>0</v>
      </c>
      <c r="BM10" s="157">
        <f t="shared" si="5"/>
        <v>0</v>
      </c>
      <c r="BN10" s="213">
        <v>0</v>
      </c>
      <c r="BO10" s="157">
        <f t="shared" si="6"/>
        <v>0</v>
      </c>
      <c r="BP10" s="157">
        <f t="shared" si="7"/>
        <v>0</v>
      </c>
      <c r="BQ10" s="157">
        <f t="shared" si="8"/>
        <v>0</v>
      </c>
      <c r="BR10" s="213"/>
      <c r="BS10" s="167">
        <f t="shared" si="9"/>
        <v>0</v>
      </c>
      <c r="BT10" s="167">
        <f t="shared" si="10"/>
        <v>0</v>
      </c>
      <c r="BU10" s="167">
        <f t="shared" si="11"/>
        <v>0</v>
      </c>
      <c r="BV10" s="213">
        <v>0</v>
      </c>
      <c r="BW10" s="168">
        <f t="shared" si="12"/>
        <v>0</v>
      </c>
      <c r="BX10" s="168">
        <f t="shared" si="13"/>
        <v>0</v>
      </c>
      <c r="BY10" s="168">
        <f t="shared" si="14"/>
        <v>0</v>
      </c>
      <c r="BZ10" s="210"/>
      <c r="CA10" s="169">
        <f t="shared" si="15"/>
        <v>0</v>
      </c>
      <c r="CB10" s="169">
        <f t="shared" si="16"/>
        <v>0</v>
      </c>
      <c r="CC10" s="169">
        <f t="shared" si="17"/>
        <v>0</v>
      </c>
      <c r="CD10" s="210"/>
      <c r="CE10" s="170">
        <f t="shared" si="18"/>
        <v>0</v>
      </c>
      <c r="CF10" s="170">
        <f t="shared" si="19"/>
        <v>0</v>
      </c>
      <c r="CG10" s="170">
        <f t="shared" si="20"/>
        <v>0</v>
      </c>
      <c r="CH10" s="210"/>
      <c r="CI10" s="82"/>
      <c r="CJ10" s="82"/>
      <c r="CK10" s="82"/>
      <c r="CL10" s="82"/>
      <c r="CM10" s="82"/>
      <c r="CN10" s="82"/>
      <c r="CO10" s="82"/>
      <c r="CP10" s="82"/>
      <c r="CQ10" s="82"/>
      <c r="CR10" s="82"/>
      <c r="CS10" s="82"/>
      <c r="CT10" s="82"/>
      <c r="CU10" s="82"/>
      <c r="CV10" s="82"/>
      <c r="CW10" s="82"/>
      <c r="CX10" s="82"/>
      <c r="CY10" s="82"/>
      <c r="CZ10" s="82"/>
      <c r="DA10" s="82"/>
      <c r="DB10" s="82"/>
    </row>
    <row r="11" spans="1:106">
      <c r="A11" s="184" t="s">
        <v>244</v>
      </c>
      <c r="B11" s="153">
        <v>1</v>
      </c>
      <c r="C11" s="172">
        <f>IF('GPS Anthro Tool'!$B$4=0,0,IF('GPS Anthro Tool'!$B$11=0,0,IF('US Child Data'!$B11=0,0,IF(C29&gt;'GPS Anthro Tool'!$B$16,0,IF(C29&lt;'GPS Anthro Tool'!$B$17,0,C29)))))</f>
        <v>0</v>
      </c>
      <c r="D11" s="172">
        <f>IF('GPS Anthro Tool'!$B$4=0,0,IF('GPS Anthro Tool'!$B$10=0,0,IF('US Child Data'!$B11=0,0,IF(D29&gt;'GPS Anthro Tool'!$B$16,0,IF(D29&lt;'GPS Anthro Tool'!$B$17,0,D29)))))</f>
        <v>0</v>
      </c>
      <c r="E11" s="172">
        <f>IF('GPS Anthro Tool'!$B$4=0,0,IF('GPS Anthro Tool'!$B$9=0,0,IF('US Child Data'!$B11=0,0,IF(E29&gt;'GPS Anthro Tool'!$B$16,0,IF(E29&lt;'GPS Anthro Tool'!$B$17,0,E29)))))</f>
        <v>0</v>
      </c>
      <c r="F11" s="171"/>
      <c r="G11" s="173">
        <f>IF('GPS Anthro Tool'!$B$11=0,0,IF('US Child Data'!$B11=0,0,IF(G29&gt;'GPS Anthro Tool'!$B$14,0,IF(G29&lt;'GPS Anthro Tool'!$B$15,0,IF($C$11=0,0,G29)))))</f>
        <v>0</v>
      </c>
      <c r="H11" s="173">
        <f>IF('GPS Anthro Tool'!$B$10=0,0,IF('US Child Data'!$B11=0,0,IF(H29&gt;'GPS Anthro Tool'!$B$14,0,IF(H29&lt;'GPS Anthro Tool'!$B$15,0,IF($D$11=0,0,H29)))))</f>
        <v>0</v>
      </c>
      <c r="I11" s="173">
        <f>IF('GPS Anthro Tool'!$B$9=0,0,IF('US Child Data'!$B11=0,0,IF(I29&gt;'GPS Anthro Tool'!$B$14,0,IF(I29&lt;'GPS Anthro Tool'!$B$15,0,IF($E$11=0,0,I29)))))</f>
        <v>0</v>
      </c>
      <c r="J11" s="157"/>
      <c r="K11" s="460">
        <f>IF('GPS Anthro Tool'!$B$4=0,0,IF($G11=0,0,K29+'GPS Anthro Tool'!$B$41))</f>
        <v>0</v>
      </c>
      <c r="L11" s="460">
        <f>IF('GPS Anthro Tool'!$B$4=0,0,IF($H11=0,0,L29+'GPS Anthro Tool'!$B$41))</f>
        <v>0</v>
      </c>
      <c r="M11" s="460">
        <f>IF('GPS Anthro Tool'!$B$4=0,0,IF($I11=0,0,M29+'GPS Anthro Tool'!$B$41))</f>
        <v>0</v>
      </c>
      <c r="N11" s="461"/>
      <c r="O11" s="460">
        <f>IF('GPS Anthro Tool'!$B$4=0,0,IF($G11=0,0,O29+'GPS Anthro Tool'!$B$41))</f>
        <v>0</v>
      </c>
      <c r="P11" s="460">
        <f>IF('GPS Anthro Tool'!$B$4=0,0,IF($H11=0,0,P29+'GPS Anthro Tool'!$B$41))</f>
        <v>0</v>
      </c>
      <c r="Q11" s="460">
        <f>IF('GPS Anthro Tool'!$B$4=0,0,IF($I11=0,0,Q29+'GPS Anthro Tool'!$B$41))</f>
        <v>0</v>
      </c>
      <c r="R11" s="157"/>
      <c r="S11" s="174">
        <f>IF('GPS Anthro Tool'!$B$4=0,0,IF($G11=0,0,S29))</f>
        <v>0</v>
      </c>
      <c r="T11" s="174">
        <f>IF('GPS Anthro Tool'!$B$4=0,0,IF($H11=0,0,T29))</f>
        <v>0</v>
      </c>
      <c r="U11" s="174">
        <f>IF('GPS Anthro Tool'!$B$4=0,0,IF($I11=0,0,U29))</f>
        <v>0</v>
      </c>
      <c r="V11" s="157"/>
      <c r="W11" s="174">
        <f>IF('GPS Anthro Tool'!$B$4=0,0,IF($G11=0,0,W29))</f>
        <v>0</v>
      </c>
      <c r="X11" s="174">
        <f>IF('GPS Anthro Tool'!$B$4=0,0,IF($H11=0,0,X29))</f>
        <v>0</v>
      </c>
      <c r="Y11" s="174">
        <f>IF('GPS Anthro Tool'!$B$4=0,0,IF($I11=0,0,Y29))</f>
        <v>0</v>
      </c>
      <c r="Z11" s="157">
        <v>0</v>
      </c>
      <c r="AA11" s="174">
        <f>IF('GPS Anthro Tool'!$B$4=0,0,IF($G11=0,0,AA29))</f>
        <v>0</v>
      </c>
      <c r="AB11" s="174">
        <f>IF('GPS Anthro Tool'!$B$4=0,0,IF($H11=0,0,AB29))</f>
        <v>0</v>
      </c>
      <c r="AC11" s="174">
        <f>IF('GPS Anthro Tool'!$B$4=0,0,IF($I11=0,0,AC29))</f>
        <v>0</v>
      </c>
      <c r="AD11" s="86"/>
      <c r="AE11" s="174">
        <f>IF('GPS Anthro Tool'!$B$4=0,0,IF($G11=0,0,AE29))</f>
        <v>0</v>
      </c>
      <c r="AF11" s="174">
        <f>IF('GPS Anthro Tool'!$B$4=0,0,IF($H11=0,0,AF29))</f>
        <v>0</v>
      </c>
      <c r="AG11" s="174">
        <f>IF('GPS Anthro Tool'!$B$4=0,0,IF($I11=0,0,AG29))</f>
        <v>0</v>
      </c>
      <c r="AH11" s="211"/>
      <c r="AI11" s="460">
        <f>IF('GPS Anthro Tool'!$B$4=0,0,IF($G11=0,0,AI29+'GPS Anthro Tool'!$B$42+'GPS Anthro Tool'!$B$42))</f>
        <v>0</v>
      </c>
      <c r="AJ11" s="460">
        <f>IF('GPS Anthro Tool'!$B$4=0,0,IF($H11=0,0,AJ29+'GPS Anthro Tool'!$B$42+'GPS Anthro Tool'!$B$42))</f>
        <v>0</v>
      </c>
      <c r="AK11" s="460">
        <f>IF('GPS Anthro Tool'!$B$4=0,0,IF($I11=0,0,AK29+'GPS Anthro Tool'!$B$42+'GPS Anthro Tool'!$B$42))</f>
        <v>0</v>
      </c>
      <c r="AL11" s="211"/>
      <c r="AM11" s="174">
        <f>IF('GPS Anthro Tool'!$B$4=0,0,IF($G11=0,0,AM29-'GPS Anthro Tool'!$B$42))</f>
        <v>0</v>
      </c>
      <c r="AN11" s="174">
        <f>IF('GPS Anthro Tool'!$B$4=0,0,IF($H11=0,0,AN29-'GPS Anthro Tool'!$B$42))</f>
        <v>0</v>
      </c>
      <c r="AO11" s="174">
        <f>IF('GPS Anthro Tool'!$B$4=0,0,IF($I11=0,0,AO29-'GPS Anthro Tool'!$B$42))</f>
        <v>0</v>
      </c>
      <c r="AP11" s="211"/>
      <c r="AQ11" s="174">
        <f>IF('GPS Anthro Tool'!$B$4=0,0,IF($G11=0,0,AQ29))</f>
        <v>0</v>
      </c>
      <c r="AR11" s="174">
        <f>IF('GPS Anthro Tool'!$B$4=0,0,IF($H11=0,0,AR29))</f>
        <v>0</v>
      </c>
      <c r="AS11" s="174">
        <f>IF('GPS Anthro Tool'!$B$4=0,0,IF($I11=0,0,AS29))</f>
        <v>0</v>
      </c>
      <c r="AT11" s="211"/>
      <c r="AU11" s="174">
        <f>IF('GPS Anthro Tool'!$B$4=0,0,IF($G11=0,0,AU29))</f>
        <v>0</v>
      </c>
      <c r="AV11" s="174">
        <f>IF('GPS Anthro Tool'!$B$4=0,0,IF($H11=0,0,AV29))</f>
        <v>0</v>
      </c>
      <c r="AW11" s="174">
        <f>IF('GPS Anthro Tool'!$B$4=0,0,IF($I11=0,0,AW29))</f>
        <v>0</v>
      </c>
      <c r="AX11" s="211"/>
      <c r="AY11" s="174">
        <f>IF('GPS Anthro Tool'!$B$4=0,0,IF($G11=0,0,AY29))</f>
        <v>0</v>
      </c>
      <c r="AZ11" s="174">
        <f>IF('GPS Anthro Tool'!$B$4=0,0,IF($H11=0,0,AZ29))</f>
        <v>0</v>
      </c>
      <c r="BA11" s="174">
        <f>IF('GPS Anthro Tool'!$B$4=0,0,IF($I11=0,0,BA29))</f>
        <v>0</v>
      </c>
      <c r="BB11" s="211"/>
      <c r="BC11" s="174">
        <f>IF('GPS Anthro Tool'!$B$4=0,0,IF($G11=0,0,BC29))</f>
        <v>0</v>
      </c>
      <c r="BD11" s="174">
        <f>IF('GPS Anthro Tool'!$B$4=0,0,IF($H11=0,0,BD29))</f>
        <v>0</v>
      </c>
      <c r="BE11" s="174">
        <f>IF('GPS Anthro Tool'!$B$4=0,0,IF($I11=0,0,BE29))</f>
        <v>0</v>
      </c>
      <c r="BF11" s="208"/>
      <c r="BG11" s="157">
        <f t="shared" si="0"/>
        <v>0</v>
      </c>
      <c r="BH11" s="157">
        <f t="shared" si="1"/>
        <v>0</v>
      </c>
      <c r="BI11" s="157">
        <f t="shared" si="2"/>
        <v>0</v>
      </c>
      <c r="BJ11" s="213">
        <v>0</v>
      </c>
      <c r="BK11" s="157">
        <f t="shared" si="3"/>
        <v>0</v>
      </c>
      <c r="BL11" s="157">
        <f t="shared" si="4"/>
        <v>0</v>
      </c>
      <c r="BM11" s="157">
        <f t="shared" si="5"/>
        <v>0</v>
      </c>
      <c r="BN11" s="213">
        <v>0</v>
      </c>
      <c r="BO11" s="157">
        <f t="shared" si="6"/>
        <v>0</v>
      </c>
      <c r="BP11" s="157">
        <f t="shared" si="7"/>
        <v>0</v>
      </c>
      <c r="BQ11" s="157">
        <f t="shared" si="8"/>
        <v>0</v>
      </c>
      <c r="BR11" s="213"/>
      <c r="BS11" s="167">
        <f t="shared" si="9"/>
        <v>0</v>
      </c>
      <c r="BT11" s="167">
        <f t="shared" si="10"/>
        <v>0</v>
      </c>
      <c r="BU11" s="167">
        <f t="shared" si="11"/>
        <v>0</v>
      </c>
      <c r="BV11" s="213">
        <v>0</v>
      </c>
      <c r="BW11" s="168">
        <f t="shared" si="12"/>
        <v>0</v>
      </c>
      <c r="BX11" s="168">
        <f t="shared" si="13"/>
        <v>0</v>
      </c>
      <c r="BY11" s="168">
        <f t="shared" si="14"/>
        <v>0</v>
      </c>
      <c r="BZ11" s="210"/>
      <c r="CA11" s="169">
        <f t="shared" si="15"/>
        <v>0</v>
      </c>
      <c r="CB11" s="169">
        <f t="shared" si="16"/>
        <v>0</v>
      </c>
      <c r="CC11" s="169">
        <f t="shared" si="17"/>
        <v>0</v>
      </c>
      <c r="CD11" s="210"/>
      <c r="CE11" s="170">
        <f t="shared" si="18"/>
        <v>0</v>
      </c>
      <c r="CF11" s="170">
        <f t="shared" si="19"/>
        <v>0</v>
      </c>
      <c r="CG11" s="170">
        <f t="shared" si="20"/>
        <v>0</v>
      </c>
      <c r="CH11" s="210"/>
      <c r="CI11" s="82"/>
      <c r="CJ11" s="82"/>
      <c r="CK11" s="82"/>
      <c r="CL11" s="82"/>
      <c r="CM11" s="82"/>
      <c r="CN11" s="82"/>
      <c r="CO11" s="82"/>
      <c r="CP11" s="82"/>
      <c r="CQ11" s="82"/>
      <c r="CR11" s="82"/>
      <c r="CS11" s="82"/>
      <c r="CT11" s="82"/>
      <c r="CU11" s="82"/>
      <c r="CV11" s="82"/>
      <c r="CW11" s="82"/>
      <c r="CX11" s="82"/>
      <c r="CY11" s="82"/>
      <c r="CZ11" s="82"/>
      <c r="DA11" s="82"/>
      <c r="DB11" s="82"/>
    </row>
    <row r="12" spans="1:106">
      <c r="A12" s="184" t="s">
        <v>245</v>
      </c>
      <c r="B12" s="153">
        <v>1</v>
      </c>
      <c r="C12" s="172">
        <f>IF('GPS Anthro Tool'!$B$4=0,0,IF('GPS Anthro Tool'!$B$11=0,0,IF('US Child Data'!$B12=0,0,IF(C30&gt;'GPS Anthro Tool'!$B$16,0,IF(C30&lt;'GPS Anthro Tool'!$B$17,0,C30)))))</f>
        <v>0</v>
      </c>
      <c r="D12" s="172">
        <f>IF('GPS Anthro Tool'!$B$4=0,0,IF('GPS Anthro Tool'!$B$10=0,0,IF('US Child Data'!$B12=0,0,IF(D30&gt;'GPS Anthro Tool'!$B$16,0,IF(D30&lt;'GPS Anthro Tool'!$B$17,0,D30)))))</f>
        <v>0</v>
      </c>
      <c r="E12" s="172">
        <f>IF('GPS Anthro Tool'!$B$4=0,0,IF('GPS Anthro Tool'!$B$9=0,0,IF('US Child Data'!$B12=0,0,IF(E30&gt;'GPS Anthro Tool'!$B$16,0,IF(E30&lt;'GPS Anthro Tool'!$B$17,0,E30)))))</f>
        <v>0</v>
      </c>
      <c r="F12" s="171"/>
      <c r="G12" s="173">
        <f>IF('GPS Anthro Tool'!$B$11=0,0,IF('US Child Data'!$B12=0,0,IF(G30&gt;'GPS Anthro Tool'!$B$14,0,IF(G30&lt;'GPS Anthro Tool'!$B$15,0,IF($C$12=0,0,G30)))))</f>
        <v>0</v>
      </c>
      <c r="H12" s="173">
        <f>IF('GPS Anthro Tool'!$B$10=0,0,IF('US Child Data'!$B12=0,0,IF(H30&gt;'GPS Anthro Tool'!$B$14,0,IF(H30&lt;'GPS Anthro Tool'!$B$15,0,IF($D$12=0,0,H30)))))</f>
        <v>0</v>
      </c>
      <c r="I12" s="173">
        <f>IF('GPS Anthro Tool'!$B$9=0,0,IF('US Child Data'!$B12=0,0,IF(I30&gt;'GPS Anthro Tool'!$B$14,0,IF(I30&lt;'GPS Anthro Tool'!$B$15,0,IF($E$12=0,0,I30)))))</f>
        <v>0</v>
      </c>
      <c r="J12" s="157"/>
      <c r="K12" s="460">
        <f>IF('GPS Anthro Tool'!$B$4=0,0,IF($G12=0,0,K30+'GPS Anthro Tool'!$B$41))</f>
        <v>0</v>
      </c>
      <c r="L12" s="460">
        <f>IF('GPS Anthro Tool'!$B$4=0,0,IF($H12=0,0,L30+'GPS Anthro Tool'!$B$41))</f>
        <v>0</v>
      </c>
      <c r="M12" s="460">
        <f>IF('GPS Anthro Tool'!$B$4=0,0,IF($I12=0,0,M30+'GPS Anthro Tool'!$B$41))</f>
        <v>0</v>
      </c>
      <c r="N12" s="461"/>
      <c r="O12" s="460">
        <f>IF('GPS Anthro Tool'!$B$4=0,0,IF($G12=0,0,O30+'GPS Anthro Tool'!$B$41))</f>
        <v>0</v>
      </c>
      <c r="P12" s="460">
        <f>IF('GPS Anthro Tool'!$B$4=0,0,IF($H12=0,0,P30+'GPS Anthro Tool'!$B$41))</f>
        <v>0</v>
      </c>
      <c r="Q12" s="460">
        <f>IF('GPS Anthro Tool'!$B$4=0,0,IF($I12=0,0,Q30+'GPS Anthro Tool'!$B$41))</f>
        <v>0</v>
      </c>
      <c r="R12" s="157"/>
      <c r="S12" s="174">
        <f>IF('GPS Anthro Tool'!$B$4=0,0,IF($G12=0,0,S30))</f>
        <v>0</v>
      </c>
      <c r="T12" s="174">
        <f>IF('GPS Anthro Tool'!$B$4=0,0,IF($H12=0,0,T30))</f>
        <v>0</v>
      </c>
      <c r="U12" s="174">
        <f>IF('GPS Anthro Tool'!$B$4=0,0,IF($I12=0,0,U30))</f>
        <v>0</v>
      </c>
      <c r="V12" s="157"/>
      <c r="W12" s="174">
        <f>IF('GPS Anthro Tool'!$B$4=0,0,IF($G12=0,0,W30))</f>
        <v>0</v>
      </c>
      <c r="X12" s="174">
        <f>IF('GPS Anthro Tool'!$B$4=0,0,IF($H12=0,0,X30))</f>
        <v>0</v>
      </c>
      <c r="Y12" s="174">
        <f>IF('GPS Anthro Tool'!$B$4=0,0,IF($I12=0,0,Y30))</f>
        <v>0</v>
      </c>
      <c r="Z12" s="157">
        <v>0</v>
      </c>
      <c r="AA12" s="425">
        <f>IF('GPS Anthro Tool'!$B$4=0,0,IF($G12=0,0,AA30))</f>
        <v>0</v>
      </c>
      <c r="AB12" s="425">
        <f>IF('GPS Anthro Tool'!$B$4=0,0,IF($H12=0,0,AB30))</f>
        <v>0</v>
      </c>
      <c r="AC12" s="425">
        <f>IF('GPS Anthro Tool'!$B$4=0,0,IF($I12=0,0,AC30))</f>
        <v>0</v>
      </c>
      <c r="AD12" s="86"/>
      <c r="AE12" s="174">
        <f>IF('GPS Anthro Tool'!$B$4=0,0,IF($G12=0,0,AE30))</f>
        <v>0</v>
      </c>
      <c r="AF12" s="174">
        <f>IF('GPS Anthro Tool'!$B$4=0,0,IF($H12=0,0,AF30))</f>
        <v>0</v>
      </c>
      <c r="AG12" s="174">
        <f>IF('GPS Anthro Tool'!$B$4=0,0,IF($I12=0,0,AG30))</f>
        <v>0</v>
      </c>
      <c r="AH12" s="211"/>
      <c r="AI12" s="460">
        <f>IF('GPS Anthro Tool'!$B$4=0,0,IF($G12=0,0,AI30+'GPS Anthro Tool'!$B$42))</f>
        <v>0</v>
      </c>
      <c r="AJ12" s="460">
        <f>IF('GPS Anthro Tool'!$B$4=0,0,IF($H12=0,0,AJ30+'GPS Anthro Tool'!$B$42))</f>
        <v>0</v>
      </c>
      <c r="AK12" s="460">
        <f>IF('GPS Anthro Tool'!$B$4=0,0,IF($I12=0,0,AK30+'GPS Anthro Tool'!$B$42))</f>
        <v>0</v>
      </c>
      <c r="AL12" s="211"/>
      <c r="AM12" s="174">
        <f>IF('GPS Anthro Tool'!$B$4=0,0,IF($G12=0,0,AM30-'GPS Anthro Tool'!$B$42))</f>
        <v>0</v>
      </c>
      <c r="AN12" s="174">
        <f>IF('GPS Anthro Tool'!$B$4=0,0,IF($H12=0,0,AN30-'GPS Anthro Tool'!$B$42))</f>
        <v>0</v>
      </c>
      <c r="AO12" s="174">
        <f>IF('GPS Anthro Tool'!$B$4=0,0,IF($I12=0,0,AO30-'GPS Anthro Tool'!$B$42))</f>
        <v>0</v>
      </c>
      <c r="AP12" s="211"/>
      <c r="AQ12" s="174">
        <f>IF('GPS Anthro Tool'!$B$4=0,0,IF($G12=0,0,AQ30))</f>
        <v>0</v>
      </c>
      <c r="AR12" s="174">
        <f>IF('GPS Anthro Tool'!$B$4=0,0,IF($H12=0,0,AR30))</f>
        <v>0</v>
      </c>
      <c r="AS12" s="174">
        <f>IF('GPS Anthro Tool'!$B$4=0,0,IF($I12=0,0,AS30))</f>
        <v>0</v>
      </c>
      <c r="AT12" s="211"/>
      <c r="AU12" s="174">
        <f>IF('GPS Anthro Tool'!$B$4=0,0,IF($G12=0,0,AU30))</f>
        <v>0</v>
      </c>
      <c r="AV12" s="174">
        <f>IF('GPS Anthro Tool'!$B$4=0,0,IF($H12=0,0,AV30))</f>
        <v>0</v>
      </c>
      <c r="AW12" s="174">
        <f>IF('GPS Anthro Tool'!$B$4=0,0,IF($I12=0,0,AW30))</f>
        <v>0</v>
      </c>
      <c r="AX12" s="211"/>
      <c r="AY12" s="174">
        <f>IF('GPS Anthro Tool'!$B$4=0,0,IF($G12=0,0,AY30))</f>
        <v>0</v>
      </c>
      <c r="AZ12" s="174">
        <f>IF('GPS Anthro Tool'!$B$4=0,0,IF($H12=0,0,AZ30))</f>
        <v>0</v>
      </c>
      <c r="BA12" s="174">
        <f>IF('GPS Anthro Tool'!$B$4=0,0,IF($I12=0,0,BA30))</f>
        <v>0</v>
      </c>
      <c r="BB12" s="211"/>
      <c r="BC12" s="174">
        <f>IF('GPS Anthro Tool'!$B$4=0,0,IF($G12=0,0,BC30))</f>
        <v>0</v>
      </c>
      <c r="BD12" s="174">
        <f>IF('GPS Anthro Tool'!$B$4=0,0,IF($H12=0,0,BD30))</f>
        <v>0</v>
      </c>
      <c r="BE12" s="174">
        <f>IF('GPS Anthro Tool'!$B$4=0,0,IF($I12=0,0,BE30))</f>
        <v>0</v>
      </c>
      <c r="BF12" s="208"/>
      <c r="BG12" s="157">
        <f t="shared" si="0"/>
        <v>0</v>
      </c>
      <c r="BH12" s="157">
        <f t="shared" si="1"/>
        <v>0</v>
      </c>
      <c r="BI12" s="157">
        <f t="shared" si="2"/>
        <v>0</v>
      </c>
      <c r="BJ12" s="213">
        <v>0</v>
      </c>
      <c r="BK12" s="157">
        <f t="shared" si="3"/>
        <v>0</v>
      </c>
      <c r="BL12" s="157">
        <f t="shared" si="4"/>
        <v>0</v>
      </c>
      <c r="BM12" s="157">
        <f t="shared" si="5"/>
        <v>0</v>
      </c>
      <c r="BN12" s="213">
        <v>0</v>
      </c>
      <c r="BO12" s="157">
        <f t="shared" si="6"/>
        <v>0</v>
      </c>
      <c r="BP12" s="157">
        <f t="shared" si="7"/>
        <v>0</v>
      </c>
      <c r="BQ12" s="157">
        <f t="shared" si="8"/>
        <v>0</v>
      </c>
      <c r="BR12" s="213"/>
      <c r="BS12" s="167">
        <f t="shared" si="9"/>
        <v>0</v>
      </c>
      <c r="BT12" s="167">
        <f t="shared" si="10"/>
        <v>0</v>
      </c>
      <c r="BU12" s="167">
        <f t="shared" si="11"/>
        <v>0</v>
      </c>
      <c r="BV12" s="213">
        <v>0</v>
      </c>
      <c r="BW12" s="168">
        <f t="shared" si="12"/>
        <v>0</v>
      </c>
      <c r="BX12" s="168">
        <f t="shared" si="13"/>
        <v>0</v>
      </c>
      <c r="BY12" s="168">
        <f t="shared" si="14"/>
        <v>0</v>
      </c>
      <c r="BZ12" s="210"/>
      <c r="CA12" s="169">
        <f t="shared" si="15"/>
        <v>0</v>
      </c>
      <c r="CB12" s="169">
        <f t="shared" si="16"/>
        <v>0</v>
      </c>
      <c r="CC12" s="169">
        <f t="shared" si="17"/>
        <v>0</v>
      </c>
      <c r="CD12" s="210"/>
      <c r="CE12" s="170">
        <f t="shared" si="18"/>
        <v>0</v>
      </c>
      <c r="CF12" s="170">
        <f t="shared" si="19"/>
        <v>0</v>
      </c>
      <c r="CG12" s="170">
        <f t="shared" si="20"/>
        <v>0</v>
      </c>
      <c r="CH12" s="210"/>
      <c r="CI12" s="82"/>
      <c r="CJ12" s="82"/>
      <c r="CK12" s="82"/>
      <c r="CL12" s="82"/>
      <c r="CM12" s="82"/>
      <c r="CN12" s="82"/>
      <c r="CO12" s="82"/>
      <c r="CP12" s="82"/>
      <c r="CQ12" s="82"/>
      <c r="CR12" s="82"/>
      <c r="CS12" s="82"/>
      <c r="CT12" s="82"/>
      <c r="CU12" s="82"/>
      <c r="CV12" s="82"/>
      <c r="CW12" s="82"/>
      <c r="CX12" s="82"/>
      <c r="CY12" s="82"/>
      <c r="CZ12" s="82"/>
      <c r="DA12" s="82"/>
      <c r="DB12" s="82"/>
    </row>
    <row r="13" spans="1:106">
      <c r="A13" s="184" t="s">
        <v>246</v>
      </c>
      <c r="B13" s="153">
        <v>1</v>
      </c>
      <c r="C13" s="172">
        <f>IF('GPS Anthro Tool'!$B$4=0,0,IF('GPS Anthro Tool'!$B$11=0,0,IF('US Child Data'!$B13=0,0,IF(C31&gt;'GPS Anthro Tool'!$B$16,0,IF(C31&lt;'GPS Anthro Tool'!$B$17,0,C31)))))</f>
        <v>0</v>
      </c>
      <c r="D13" s="172">
        <f>IF('GPS Anthro Tool'!$B$4=0,0,IF('GPS Anthro Tool'!$B$10=0,0,IF('US Child Data'!$B13=0,0,IF(D31&gt;'GPS Anthro Tool'!$B$16,0,IF(D31&lt;'GPS Anthro Tool'!$B$17,0,D31)))))</f>
        <v>0</v>
      </c>
      <c r="E13" s="172">
        <f>IF('GPS Anthro Tool'!$B$4=0,0,IF('GPS Anthro Tool'!$B$9=0,0,IF('US Child Data'!$B13=0,0,IF(E31&gt;'GPS Anthro Tool'!$B$16,0,IF(E31&lt;'GPS Anthro Tool'!$B$17,0,E31)))))</f>
        <v>0</v>
      </c>
      <c r="F13" s="171"/>
      <c r="G13" s="173">
        <f>IF('GPS Anthro Tool'!$B$11=0,0,IF('US Child Data'!$B13=0,0,IF(G31&gt;'GPS Anthro Tool'!$B$14,0,IF(G31&lt;'GPS Anthro Tool'!$B$15,0,IF($C$13=0,0,G31)))))</f>
        <v>0</v>
      </c>
      <c r="H13" s="173">
        <f>IF('GPS Anthro Tool'!$B$10=0,0,IF('US Child Data'!$B13=0,0,IF(H31&gt;'GPS Anthro Tool'!$B$14,0,IF(H31&lt;'GPS Anthro Tool'!$B$15,0,IF($D$13=0,0,H31)))))</f>
        <v>0</v>
      </c>
      <c r="I13" s="173">
        <f>IF('GPS Anthro Tool'!$B$9=0,0,IF('US Child Data'!$B13=0,0,IF(I31&gt;'GPS Anthro Tool'!$B$14,0,IF(I31&lt;'GPS Anthro Tool'!$B$15,0,IF($E$13=0,0,I31)))))</f>
        <v>0</v>
      </c>
      <c r="J13" s="157"/>
      <c r="K13" s="460">
        <f>IF('GPS Anthro Tool'!$B$4=0,0,IF($G13=0,0,K31+'GPS Anthro Tool'!$B$41))</f>
        <v>0</v>
      </c>
      <c r="L13" s="460">
        <f>IF('GPS Anthro Tool'!$B$4=0,0,IF($H13=0,0,L31+'GPS Anthro Tool'!$B$41))</f>
        <v>0</v>
      </c>
      <c r="M13" s="460">
        <f>IF('GPS Anthro Tool'!$B$4=0,0,IF($I13=0,0,M31+'GPS Anthro Tool'!$B$41))</f>
        <v>0</v>
      </c>
      <c r="N13" s="461"/>
      <c r="O13" s="460">
        <f>IF('GPS Anthro Tool'!$B$4=0,0,IF($G13=0,0,O31+'GPS Anthro Tool'!$B$41))</f>
        <v>0</v>
      </c>
      <c r="P13" s="460">
        <f>IF('GPS Anthro Tool'!$B$4=0,0,IF($H13=0,0,P31+'GPS Anthro Tool'!$B$41))</f>
        <v>0</v>
      </c>
      <c r="Q13" s="460">
        <f>IF('GPS Anthro Tool'!$B$4=0,0,IF($I13=0,0,Q31+'GPS Anthro Tool'!$B$41))</f>
        <v>0</v>
      </c>
      <c r="R13" s="157"/>
      <c r="S13" s="174">
        <f>IF('GPS Anthro Tool'!$B$4=0,0,IF($G13=0,0,S31))</f>
        <v>0</v>
      </c>
      <c r="T13" s="174">
        <f>IF('GPS Anthro Tool'!$B$4=0,0,IF($H13=0,0,T31))</f>
        <v>0</v>
      </c>
      <c r="U13" s="174">
        <f>IF('GPS Anthro Tool'!$B$4=0,0,IF($I13=0,0,U31))</f>
        <v>0</v>
      </c>
      <c r="V13" s="157"/>
      <c r="W13" s="174">
        <f>IF('GPS Anthro Tool'!$B$4=0,0,IF($G13=0,0,W31))</f>
        <v>0</v>
      </c>
      <c r="X13" s="174">
        <f>IF('GPS Anthro Tool'!$B$4=0,0,IF($H13=0,0,X31))</f>
        <v>0</v>
      </c>
      <c r="Y13" s="174">
        <f>IF('GPS Anthro Tool'!$B$4=0,0,IF($I13=0,0,Y31))</f>
        <v>0</v>
      </c>
      <c r="Z13" s="157">
        <v>0</v>
      </c>
      <c r="AA13" s="425">
        <f>IF('GPS Anthro Tool'!$B$4=0,0,IF($G13=0,0,AA31))</f>
        <v>0</v>
      </c>
      <c r="AB13" s="425">
        <f>IF('GPS Anthro Tool'!$B$4=0,0,IF($H13=0,0,AB31))</f>
        <v>0</v>
      </c>
      <c r="AC13" s="425">
        <f>IF('GPS Anthro Tool'!$B$4=0,0,IF($I13=0,0,AC31))</f>
        <v>0</v>
      </c>
      <c r="AD13" s="86"/>
      <c r="AE13" s="174">
        <f>IF('GPS Anthro Tool'!$B$4=0,0,IF($G13=0,0,AE31))</f>
        <v>0</v>
      </c>
      <c r="AF13" s="174">
        <f>IF('GPS Anthro Tool'!$B$4=0,0,IF($H13=0,0,AF31))</f>
        <v>0</v>
      </c>
      <c r="AG13" s="174">
        <f>IF('GPS Anthro Tool'!$B$4=0,0,IF($I13=0,0,AG31))</f>
        <v>0</v>
      </c>
      <c r="AH13" s="211"/>
      <c r="AI13" s="460">
        <f>IF('GPS Anthro Tool'!$B$4=0,0,IF($G13=0,0,AI31+'GPS Anthro Tool'!$B$42))</f>
        <v>0</v>
      </c>
      <c r="AJ13" s="460">
        <f>IF('GPS Anthro Tool'!$B$4=0,0,IF($H13=0,0,AJ31+'GPS Anthro Tool'!$B$42))</f>
        <v>0</v>
      </c>
      <c r="AK13" s="460">
        <f>IF('GPS Anthro Tool'!$B$4=0,0,IF($I13=0,0,AK31+'GPS Anthro Tool'!$B$42))</f>
        <v>0</v>
      </c>
      <c r="AL13" s="211"/>
      <c r="AM13" s="174">
        <f>IF('GPS Anthro Tool'!$B$4=0,0,IF($G13=0,0,AM31-'GPS Anthro Tool'!$B$42))</f>
        <v>0</v>
      </c>
      <c r="AN13" s="174">
        <f>IF('GPS Anthro Tool'!$B$4=0,0,IF($H13=0,0,AN31-'GPS Anthro Tool'!$B$42))</f>
        <v>0</v>
      </c>
      <c r="AO13" s="174">
        <f>IF('GPS Anthro Tool'!$B$4=0,0,IF($I13=0,0,AO31-'GPS Anthro Tool'!$B$42))</f>
        <v>0</v>
      </c>
      <c r="AP13" s="211"/>
      <c r="AQ13" s="174">
        <f>IF('GPS Anthro Tool'!$B$4=0,0,IF($G13=0,0,AQ31))</f>
        <v>0</v>
      </c>
      <c r="AR13" s="174">
        <f>IF('GPS Anthro Tool'!$B$4=0,0,IF($H13=0,0,AR31))</f>
        <v>0</v>
      </c>
      <c r="AS13" s="174">
        <f>IF('GPS Anthro Tool'!$B$4=0,0,IF($I13=0,0,AS31))</f>
        <v>0</v>
      </c>
      <c r="AT13" s="211"/>
      <c r="AU13" s="174">
        <f>IF('GPS Anthro Tool'!$B$4=0,0,IF($G13=0,0,AU31))</f>
        <v>0</v>
      </c>
      <c r="AV13" s="174">
        <f>IF('GPS Anthro Tool'!$B$4=0,0,IF($H13=0,0,AV31))</f>
        <v>0</v>
      </c>
      <c r="AW13" s="174">
        <f>IF('GPS Anthro Tool'!$B$4=0,0,IF($I13=0,0,AW31))</f>
        <v>0</v>
      </c>
      <c r="AX13" s="211"/>
      <c r="AY13" s="174">
        <f>IF('GPS Anthro Tool'!$B$4=0,0,IF($G13=0,0,AY31))</f>
        <v>0</v>
      </c>
      <c r="AZ13" s="174">
        <f>IF('GPS Anthro Tool'!$B$4=0,0,IF($H13=0,0,AZ31))</f>
        <v>0</v>
      </c>
      <c r="BA13" s="174">
        <f>IF('GPS Anthro Tool'!$B$4=0,0,IF($I13=0,0,BA31))</f>
        <v>0</v>
      </c>
      <c r="BB13" s="211"/>
      <c r="BC13" s="174">
        <f>IF('GPS Anthro Tool'!$B$4=0,0,IF($G13=0,0,BC31))</f>
        <v>0</v>
      </c>
      <c r="BD13" s="174">
        <f>IF('GPS Anthro Tool'!$B$4=0,0,IF($H13=0,0,BD31))</f>
        <v>0</v>
      </c>
      <c r="BE13" s="174">
        <f>IF('GPS Anthro Tool'!$B$4=0,0,IF($I13=0,0,BE31))</f>
        <v>0</v>
      </c>
      <c r="BF13" s="208"/>
      <c r="BG13" s="157">
        <f t="shared" si="0"/>
        <v>0</v>
      </c>
      <c r="BH13" s="157">
        <f t="shared" si="1"/>
        <v>0</v>
      </c>
      <c r="BI13" s="157">
        <f t="shared" si="2"/>
        <v>0</v>
      </c>
      <c r="BJ13" s="213">
        <v>0</v>
      </c>
      <c r="BK13" s="157">
        <f t="shared" si="3"/>
        <v>0</v>
      </c>
      <c r="BL13" s="157">
        <f t="shared" si="4"/>
        <v>0</v>
      </c>
      <c r="BM13" s="157">
        <f t="shared" si="5"/>
        <v>0</v>
      </c>
      <c r="BN13" s="213">
        <v>0</v>
      </c>
      <c r="BO13" s="157">
        <f t="shared" si="6"/>
        <v>0</v>
      </c>
      <c r="BP13" s="157">
        <f t="shared" si="7"/>
        <v>0</v>
      </c>
      <c r="BQ13" s="157">
        <f t="shared" si="8"/>
        <v>0</v>
      </c>
      <c r="BR13" s="213"/>
      <c r="BS13" s="167">
        <f t="shared" si="9"/>
        <v>0</v>
      </c>
      <c r="BT13" s="167">
        <f t="shared" si="10"/>
        <v>0</v>
      </c>
      <c r="BU13" s="167">
        <f t="shared" si="11"/>
        <v>0</v>
      </c>
      <c r="BV13" s="213">
        <v>0</v>
      </c>
      <c r="BW13" s="168">
        <f t="shared" si="12"/>
        <v>0</v>
      </c>
      <c r="BX13" s="168">
        <f t="shared" si="13"/>
        <v>0</v>
      </c>
      <c r="BY13" s="168">
        <f t="shared" si="14"/>
        <v>0</v>
      </c>
      <c r="BZ13" s="210"/>
      <c r="CA13" s="169">
        <f t="shared" si="15"/>
        <v>0</v>
      </c>
      <c r="CB13" s="169">
        <f t="shared" si="16"/>
        <v>0</v>
      </c>
      <c r="CC13" s="169">
        <f t="shared" si="17"/>
        <v>0</v>
      </c>
      <c r="CD13" s="210"/>
      <c r="CE13" s="170">
        <f t="shared" si="18"/>
        <v>0</v>
      </c>
      <c r="CF13" s="170">
        <f t="shared" si="19"/>
        <v>0</v>
      </c>
      <c r="CG13" s="170">
        <f t="shared" si="20"/>
        <v>0</v>
      </c>
      <c r="CH13" s="210"/>
      <c r="CI13" s="82"/>
      <c r="CJ13" s="82"/>
      <c r="CK13" s="82"/>
      <c r="CL13" s="82"/>
      <c r="CM13" s="82"/>
      <c r="CN13" s="82"/>
      <c r="CO13" s="82"/>
      <c r="CP13" s="82"/>
      <c r="CQ13" s="82"/>
      <c r="CR13" s="82"/>
      <c r="CS13" s="82"/>
      <c r="CT13" s="82"/>
      <c r="CU13" s="82"/>
      <c r="CV13" s="82"/>
      <c r="CW13" s="82"/>
      <c r="CX13" s="82"/>
      <c r="CY13" s="82"/>
      <c r="CZ13" s="82"/>
      <c r="DA13" s="82"/>
      <c r="DB13" s="82"/>
    </row>
    <row r="14" spans="1:106">
      <c r="A14" s="184" t="s">
        <v>247</v>
      </c>
      <c r="B14" s="153">
        <v>1</v>
      </c>
      <c r="C14" s="172">
        <f>IF('GPS Anthro Tool'!$B$4=0,0,IF('GPS Anthro Tool'!$B$11=0,0,IF('US Child Data'!$B14=0,0,IF(C32&gt;'GPS Anthro Tool'!$B$16,0,IF(C32&lt;'GPS Anthro Tool'!$B$17,0,C32)))))</f>
        <v>0</v>
      </c>
      <c r="D14" s="172">
        <f>IF('GPS Anthro Tool'!$B$4=0,0,IF('GPS Anthro Tool'!$B$10=0,0,IF('US Child Data'!$B14=0,0,IF(D32&gt;'GPS Anthro Tool'!$B$16,0,IF(D32&lt;'GPS Anthro Tool'!$B$17,0,D32)))))</f>
        <v>0</v>
      </c>
      <c r="E14" s="172">
        <f>IF('GPS Anthro Tool'!$B$4=0,0,IF('GPS Anthro Tool'!$B$9=0,0,IF('US Child Data'!$B14=0,0,IF(E32&gt;'GPS Anthro Tool'!$B$16,0,IF(E32&lt;'GPS Anthro Tool'!$B$17,0,E32)))))</f>
        <v>0</v>
      </c>
      <c r="F14" s="171"/>
      <c r="G14" s="173">
        <f>IF('GPS Anthro Tool'!$B$11=0,0,IF('US Child Data'!$B14=0,0,IF(G32&gt;'GPS Anthro Tool'!$B$14,0,IF(G32&lt;'GPS Anthro Tool'!$B$15,0,IF($C$14=0,0,G32)))))</f>
        <v>0</v>
      </c>
      <c r="H14" s="173">
        <f>IF('GPS Anthro Tool'!$B$10=0,0,IF('US Child Data'!$B14=0,0,IF(H32&gt;'GPS Anthro Tool'!$B$14,0,IF(H32&lt;'GPS Anthro Tool'!$B$15,0,IF($D$14=0,0,H32)))))</f>
        <v>0</v>
      </c>
      <c r="I14" s="173">
        <f>IF('GPS Anthro Tool'!$B$9=0,0,IF('US Child Data'!$B14=0,0,IF(I32&gt;'GPS Anthro Tool'!$B$14,0,IF(I32&lt;'GPS Anthro Tool'!$B$15,0,IF($E$14=0,0,I32)))))</f>
        <v>0</v>
      </c>
      <c r="J14" s="157"/>
      <c r="K14" s="460">
        <f>IF('GPS Anthro Tool'!$B$4=0,0,IF($G14=0,0,K32+'GPS Anthro Tool'!$B$41))</f>
        <v>0</v>
      </c>
      <c r="L14" s="460">
        <f>IF('GPS Anthro Tool'!$B$4=0,0,IF($H14=0,0,L32+'GPS Anthro Tool'!$B$41))</f>
        <v>0</v>
      </c>
      <c r="M14" s="460">
        <f>IF('GPS Anthro Tool'!$B$4=0,0,IF($I14=0,0,M32+'GPS Anthro Tool'!$B$41))</f>
        <v>0</v>
      </c>
      <c r="N14" s="461"/>
      <c r="O14" s="460">
        <f>IF('GPS Anthro Tool'!$B$4=0,0,IF($G14=0,0,O32+'GPS Anthro Tool'!$B$41))</f>
        <v>0</v>
      </c>
      <c r="P14" s="460">
        <f>IF('GPS Anthro Tool'!$B$4=0,0,IF($H14=0,0,P32+'GPS Anthro Tool'!$B$41))</f>
        <v>0</v>
      </c>
      <c r="Q14" s="460">
        <f>IF('GPS Anthro Tool'!$B$4=0,0,IF($I14=0,0,Q32+'GPS Anthro Tool'!$B$41))</f>
        <v>0</v>
      </c>
      <c r="R14" s="157"/>
      <c r="S14" s="174">
        <f>IF('GPS Anthro Tool'!$B$4=0,0,IF($G14=0,0,S32))</f>
        <v>0</v>
      </c>
      <c r="T14" s="174">
        <f>IF('GPS Anthro Tool'!$B$4=0,0,IF($H14=0,0,T32))</f>
        <v>0</v>
      </c>
      <c r="U14" s="174">
        <f>IF('GPS Anthro Tool'!$B$4=0,0,IF($I14=0,0,U32))</f>
        <v>0</v>
      </c>
      <c r="V14" s="157"/>
      <c r="W14" s="174">
        <f>IF('GPS Anthro Tool'!$B$4=0,0,IF($G14=0,0,W32))</f>
        <v>0</v>
      </c>
      <c r="X14" s="174">
        <f>IF('GPS Anthro Tool'!$B$4=0,0,IF($H14=0,0,X32))</f>
        <v>0</v>
      </c>
      <c r="Y14" s="174">
        <f>IF('GPS Anthro Tool'!$B$4=0,0,IF($I14=0,0,Y32))</f>
        <v>0</v>
      </c>
      <c r="Z14" s="157">
        <v>0</v>
      </c>
      <c r="AA14" s="425">
        <f>IF('GPS Anthro Tool'!$B$4=0,0,IF($G14=0,0,AA32))</f>
        <v>0</v>
      </c>
      <c r="AB14" s="425">
        <f>IF('GPS Anthro Tool'!$B$4=0,0,IF($H14=0,0,AB32))</f>
        <v>0</v>
      </c>
      <c r="AC14" s="425">
        <f>IF('GPS Anthro Tool'!$B$4=0,0,IF($I14=0,0,AC32))</f>
        <v>0</v>
      </c>
      <c r="AD14" s="86"/>
      <c r="AE14" s="174">
        <f>IF('GPS Anthro Tool'!$B$4=0,0,IF($G14=0,0,AE32))</f>
        <v>0</v>
      </c>
      <c r="AF14" s="174">
        <f>IF('GPS Anthro Tool'!$B$4=0,0,IF($H14=0,0,AF32))</f>
        <v>0</v>
      </c>
      <c r="AG14" s="174">
        <f>IF('GPS Anthro Tool'!$B$4=0,0,IF($I14=0,0,AG32))</f>
        <v>0</v>
      </c>
      <c r="AH14" s="211"/>
      <c r="AI14" s="460">
        <f>IF('GPS Anthro Tool'!$B$4=0,0,IF($G14=0,0,AI32+'GPS Anthro Tool'!$B$42))</f>
        <v>0</v>
      </c>
      <c r="AJ14" s="460">
        <f>IF('GPS Anthro Tool'!$B$4=0,0,IF($H14=0,0,AJ32+'GPS Anthro Tool'!$B$42))</f>
        <v>0</v>
      </c>
      <c r="AK14" s="460">
        <f>IF('GPS Anthro Tool'!$B$4=0,0,IF($I14=0,0,AK32+'GPS Anthro Tool'!$B$42))</f>
        <v>0</v>
      </c>
      <c r="AL14" s="211"/>
      <c r="AM14" s="174">
        <f>IF('GPS Anthro Tool'!$B$4=0,0,IF($G14=0,0,AM32-'GPS Anthro Tool'!$B$42))</f>
        <v>0</v>
      </c>
      <c r="AN14" s="174">
        <f>IF('GPS Anthro Tool'!$B$4=0,0,IF($H14=0,0,AN32-'GPS Anthro Tool'!$B$42))</f>
        <v>0</v>
      </c>
      <c r="AO14" s="174">
        <f>IF('GPS Anthro Tool'!$B$4=0,0,IF($I14=0,0,AO32-'GPS Anthro Tool'!$B$42))</f>
        <v>0</v>
      </c>
      <c r="AP14" s="211"/>
      <c r="AQ14" s="174">
        <f>IF('GPS Anthro Tool'!$B$4=0,0,IF($G14=0,0,AQ32))</f>
        <v>0</v>
      </c>
      <c r="AR14" s="174">
        <f>IF('GPS Anthro Tool'!$B$4=0,0,IF($H14=0,0,AR32))</f>
        <v>0</v>
      </c>
      <c r="AS14" s="174">
        <f>IF('GPS Anthro Tool'!$B$4=0,0,IF($I14=0,0,AS32))</f>
        <v>0</v>
      </c>
      <c r="AT14" s="211"/>
      <c r="AU14" s="174">
        <f>IF('GPS Anthro Tool'!$B$4=0,0,IF($G14=0,0,AU32))</f>
        <v>0</v>
      </c>
      <c r="AV14" s="174">
        <f>IF('GPS Anthro Tool'!$B$4=0,0,IF($H14=0,0,AV32))</f>
        <v>0</v>
      </c>
      <c r="AW14" s="174">
        <f>IF('GPS Anthro Tool'!$B$4=0,0,IF($I14=0,0,AW32))</f>
        <v>0</v>
      </c>
      <c r="AX14" s="211"/>
      <c r="AY14" s="174">
        <f>IF('GPS Anthro Tool'!$B$4=0,0,IF($G14=0,0,AY32))</f>
        <v>0</v>
      </c>
      <c r="AZ14" s="174">
        <f>IF('GPS Anthro Tool'!$B$4=0,0,IF($H14=0,0,AZ32))</f>
        <v>0</v>
      </c>
      <c r="BA14" s="174">
        <f>IF('GPS Anthro Tool'!$B$4=0,0,IF($I14=0,0,BA32))</f>
        <v>0</v>
      </c>
      <c r="BB14" s="211"/>
      <c r="BC14" s="174">
        <f>IF('GPS Anthro Tool'!$B$4=0,0,IF($G14=0,0,BC32))</f>
        <v>0</v>
      </c>
      <c r="BD14" s="174">
        <f>IF('GPS Anthro Tool'!$B$4=0,0,IF($H14=0,0,BD32))</f>
        <v>0</v>
      </c>
      <c r="BE14" s="174">
        <f>IF('GPS Anthro Tool'!$B$4=0,0,IF($I14=0,0,BE32))</f>
        <v>0</v>
      </c>
      <c r="BF14" s="208"/>
      <c r="BG14" s="157">
        <f t="shared" si="0"/>
        <v>0</v>
      </c>
      <c r="BH14" s="157">
        <f t="shared" si="1"/>
        <v>0</v>
      </c>
      <c r="BI14" s="157">
        <f t="shared" si="2"/>
        <v>0</v>
      </c>
      <c r="BJ14" s="213">
        <v>0</v>
      </c>
      <c r="BK14" s="157">
        <f t="shared" si="3"/>
        <v>0</v>
      </c>
      <c r="BL14" s="157">
        <f t="shared" si="4"/>
        <v>0</v>
      </c>
      <c r="BM14" s="157">
        <f t="shared" si="5"/>
        <v>0</v>
      </c>
      <c r="BN14" s="213">
        <v>0</v>
      </c>
      <c r="BO14" s="157">
        <f t="shared" si="6"/>
        <v>0</v>
      </c>
      <c r="BP14" s="157">
        <f t="shared" si="7"/>
        <v>0</v>
      </c>
      <c r="BQ14" s="157">
        <f t="shared" si="8"/>
        <v>0</v>
      </c>
      <c r="BR14" s="213"/>
      <c r="BS14" s="167">
        <f t="shared" si="9"/>
        <v>0</v>
      </c>
      <c r="BT14" s="167">
        <f t="shared" si="10"/>
        <v>0</v>
      </c>
      <c r="BU14" s="167">
        <f t="shared" si="11"/>
        <v>0</v>
      </c>
      <c r="BV14" s="213">
        <v>0</v>
      </c>
      <c r="BW14" s="168">
        <f t="shared" si="12"/>
        <v>0</v>
      </c>
      <c r="BX14" s="168">
        <f t="shared" si="13"/>
        <v>0</v>
      </c>
      <c r="BY14" s="168">
        <f t="shared" si="14"/>
        <v>0</v>
      </c>
      <c r="BZ14" s="210"/>
      <c r="CA14" s="169">
        <f t="shared" si="15"/>
        <v>0</v>
      </c>
      <c r="CB14" s="169">
        <f t="shared" si="16"/>
        <v>0</v>
      </c>
      <c r="CC14" s="169">
        <f t="shared" si="17"/>
        <v>0</v>
      </c>
      <c r="CD14" s="210"/>
      <c r="CE14" s="170">
        <f t="shared" si="18"/>
        <v>0</v>
      </c>
      <c r="CF14" s="170">
        <f t="shared" si="19"/>
        <v>0</v>
      </c>
      <c r="CG14" s="170">
        <f t="shared" si="20"/>
        <v>0</v>
      </c>
      <c r="CH14" s="210"/>
      <c r="CI14" s="82"/>
      <c r="CJ14" s="82"/>
      <c r="CK14" s="82"/>
      <c r="CL14" s="82"/>
      <c r="CM14" s="82"/>
      <c r="CN14" s="82"/>
      <c r="CO14" s="82"/>
      <c r="CP14" s="82"/>
      <c r="CQ14" s="82"/>
      <c r="CR14" s="82"/>
      <c r="CS14" s="82"/>
      <c r="CT14" s="82"/>
      <c r="CU14" s="82"/>
      <c r="CV14" s="82"/>
      <c r="CW14" s="82"/>
      <c r="CX14" s="82"/>
      <c r="CY14" s="82"/>
      <c r="CZ14" s="82"/>
      <c r="DA14" s="82"/>
      <c r="DB14" s="82"/>
    </row>
    <row r="15" spans="1:106">
      <c r="A15" s="184" t="s">
        <v>248</v>
      </c>
      <c r="B15" s="153">
        <v>1</v>
      </c>
      <c r="C15" s="172">
        <f>IF('GPS Anthro Tool'!$B$4=0,0,IF('GPS Anthro Tool'!$B$11=0,0,IF('US Child Data'!$B15=0,0,IF(C33&gt;'GPS Anthro Tool'!$B$16,0,IF(C33&lt;'GPS Anthro Tool'!$B$17,0,C33)))))</f>
        <v>0</v>
      </c>
      <c r="D15" s="172">
        <f>IF('GPS Anthro Tool'!$B$4=0,0,IF('GPS Anthro Tool'!$B$10=0,0,IF('US Child Data'!$B15=0,0,IF(D33&gt;'GPS Anthro Tool'!$B$16,0,IF(D33&lt;'GPS Anthro Tool'!$B$17,0,D33)))))</f>
        <v>0</v>
      </c>
      <c r="E15" s="172">
        <f>IF('GPS Anthro Tool'!$B$4=0,0,IF('GPS Anthro Tool'!$B$9=0,0,IF('US Child Data'!$B15=0,0,IF(E33&gt;'GPS Anthro Tool'!$B$16,0,IF(E33&lt;'GPS Anthro Tool'!$B$17,0,E33)))))</f>
        <v>0</v>
      </c>
      <c r="F15" s="171"/>
      <c r="G15" s="173">
        <f>IF('GPS Anthro Tool'!$B$11=0,0,IF('US Child Data'!$B15=0,0,IF(G33&gt;'GPS Anthro Tool'!$B$14,0,IF(G33&lt;'GPS Anthro Tool'!$B$15,0,IF($C$15=0,0,G33)))))</f>
        <v>0</v>
      </c>
      <c r="H15" s="173">
        <f>IF('GPS Anthro Tool'!$B$10=0,0,IF('US Child Data'!$B15=0,0,IF(H33&gt;'GPS Anthro Tool'!$B$14,0,IF(H33&lt;'GPS Anthro Tool'!$B$15,0,IF($D$15=0,0,H33)))))</f>
        <v>0</v>
      </c>
      <c r="I15" s="173">
        <f>IF('GPS Anthro Tool'!$B$9=0,0,IF('US Child Data'!$B15=0,0,IF(I33&gt;'GPS Anthro Tool'!$B$14,0,IF(I33&lt;'GPS Anthro Tool'!$B$15,0,IF($E$15=0,0,I33)))))</f>
        <v>0</v>
      </c>
      <c r="J15" s="157"/>
      <c r="K15" s="460">
        <f>IF('GPS Anthro Tool'!$B$4=0,0,IF($G15=0,0,K33+'GPS Anthro Tool'!$B$41))</f>
        <v>0</v>
      </c>
      <c r="L15" s="460">
        <f>IF('GPS Anthro Tool'!$B$4=0,0,IF($H15=0,0,L33+'GPS Anthro Tool'!$B$41))</f>
        <v>0</v>
      </c>
      <c r="M15" s="460">
        <f>IF('GPS Anthro Tool'!$B$4=0,0,IF($I15=0,0,M33+'GPS Anthro Tool'!$B$41))</f>
        <v>0</v>
      </c>
      <c r="N15" s="461"/>
      <c r="O15" s="460">
        <f>IF('GPS Anthro Tool'!$B$4=0,0,IF($G15=0,0,O33+'GPS Anthro Tool'!$B$41))</f>
        <v>0</v>
      </c>
      <c r="P15" s="460">
        <f>IF('GPS Anthro Tool'!$B$4=0,0,IF($H15=0,0,P33+'GPS Anthro Tool'!$B$41))</f>
        <v>0</v>
      </c>
      <c r="Q15" s="460">
        <f>IF('GPS Anthro Tool'!$B$4=0,0,IF($I15=0,0,Q33+'GPS Anthro Tool'!$B$41))</f>
        <v>0</v>
      </c>
      <c r="R15" s="157"/>
      <c r="S15" s="174">
        <f>IF('GPS Anthro Tool'!$B$4=0,0,IF($G15=0,0,S33))</f>
        <v>0</v>
      </c>
      <c r="T15" s="174">
        <f>IF('GPS Anthro Tool'!$B$4=0,0,IF($H15=0,0,T33))</f>
        <v>0</v>
      </c>
      <c r="U15" s="174">
        <f>IF('GPS Anthro Tool'!$B$4=0,0,IF($I15=0,0,U33))</f>
        <v>0</v>
      </c>
      <c r="V15" s="157"/>
      <c r="W15" s="174">
        <f>IF('GPS Anthro Tool'!$B$4=0,0,IF($G15=0,0,W33))</f>
        <v>0</v>
      </c>
      <c r="X15" s="174">
        <f>IF('GPS Anthro Tool'!$B$4=0,0,IF($H15=0,0,X33))</f>
        <v>0</v>
      </c>
      <c r="Y15" s="174">
        <f>IF('GPS Anthro Tool'!$B$4=0,0,IF($I15=0,0,Y33))</f>
        <v>0</v>
      </c>
      <c r="Z15" s="157">
        <v>0</v>
      </c>
      <c r="AA15" s="425">
        <f>IF('GPS Anthro Tool'!$B$4=0,0,IF($G15=0,0,AA33))</f>
        <v>0</v>
      </c>
      <c r="AB15" s="425">
        <f>IF('GPS Anthro Tool'!$B$4=0,0,IF($H15=0,0,AB33))</f>
        <v>0</v>
      </c>
      <c r="AC15" s="425">
        <f>IF('GPS Anthro Tool'!$B$4=0,0,IF($I15=0,0,AC33))</f>
        <v>0</v>
      </c>
      <c r="AD15" s="86"/>
      <c r="AE15" s="174">
        <f>IF('GPS Anthro Tool'!$B$4=0,0,IF($G15=0,0,AE33))</f>
        <v>0</v>
      </c>
      <c r="AF15" s="174">
        <f>IF('GPS Anthro Tool'!$B$4=0,0,IF($H15=0,0,AF33))</f>
        <v>0</v>
      </c>
      <c r="AG15" s="174">
        <f>IF('GPS Anthro Tool'!$B$4=0,0,IF($I15=0,0,AG33))</f>
        <v>0</v>
      </c>
      <c r="AH15" s="211"/>
      <c r="AI15" s="460">
        <f>IF('GPS Anthro Tool'!$B$4=0,0,IF($G15=0,0,AI33+'GPS Anthro Tool'!$B$42))</f>
        <v>0</v>
      </c>
      <c r="AJ15" s="460">
        <f>IF('GPS Anthro Tool'!$B$4=0,0,IF($H15=0,0,AJ33+'GPS Anthro Tool'!$B$42))</f>
        <v>0</v>
      </c>
      <c r="AK15" s="460">
        <f>IF('GPS Anthro Tool'!$B$4=0,0,IF($I15=0,0,AK33+'GPS Anthro Tool'!$B$42))</f>
        <v>0</v>
      </c>
      <c r="AL15" s="211"/>
      <c r="AM15" s="174">
        <f>IF('GPS Anthro Tool'!$B$4=0,0,IF($G15=0,0,AM33-'GPS Anthro Tool'!$B$42))</f>
        <v>0</v>
      </c>
      <c r="AN15" s="174">
        <f>IF('GPS Anthro Tool'!$B$4=0,0,IF($H15=0,0,AN33-'GPS Anthro Tool'!$B$42))</f>
        <v>0</v>
      </c>
      <c r="AO15" s="174">
        <f>IF('GPS Anthro Tool'!$B$4=0,0,IF($I15=0,0,AO33-'GPS Anthro Tool'!$B$42))</f>
        <v>0</v>
      </c>
      <c r="AP15" s="211"/>
      <c r="AQ15" s="174">
        <f>IF('GPS Anthro Tool'!$B$4=0,0,IF($G15=0,0,AQ33))</f>
        <v>0</v>
      </c>
      <c r="AR15" s="174">
        <f>IF('GPS Anthro Tool'!$B$4=0,0,IF($H15=0,0,AR33))</f>
        <v>0</v>
      </c>
      <c r="AS15" s="174">
        <f>IF('GPS Anthro Tool'!$B$4=0,0,IF($I15=0,0,AS33))</f>
        <v>0</v>
      </c>
      <c r="AT15" s="211"/>
      <c r="AU15" s="174">
        <f>IF('GPS Anthro Tool'!$B$4=0,0,IF($G15=0,0,AU33))</f>
        <v>0</v>
      </c>
      <c r="AV15" s="174">
        <f>IF('GPS Anthro Tool'!$B$4=0,0,IF($H15=0,0,AV33))</f>
        <v>0</v>
      </c>
      <c r="AW15" s="174">
        <f>IF('GPS Anthro Tool'!$B$4=0,0,IF($I15=0,0,AW33))</f>
        <v>0</v>
      </c>
      <c r="AX15" s="211"/>
      <c r="AY15" s="174">
        <f>IF('GPS Anthro Tool'!$B$4=0,0,IF($G15=0,0,AY33))</f>
        <v>0</v>
      </c>
      <c r="AZ15" s="174">
        <f>IF('GPS Anthro Tool'!$B$4=0,0,IF($H15=0,0,AZ33))</f>
        <v>0</v>
      </c>
      <c r="BA15" s="174">
        <f>IF('GPS Anthro Tool'!$B$4=0,0,IF($I15=0,0,BA33))</f>
        <v>0</v>
      </c>
      <c r="BB15" s="211"/>
      <c r="BC15" s="174">
        <f>IF('GPS Anthro Tool'!$B$4=0,0,IF($G15=0,0,BC33))</f>
        <v>0</v>
      </c>
      <c r="BD15" s="174">
        <f>IF('GPS Anthro Tool'!$B$4=0,0,IF($H15=0,0,BD33))</f>
        <v>0</v>
      </c>
      <c r="BE15" s="174">
        <f>IF('GPS Anthro Tool'!$B$4=0,0,IF($I15=0,0,BE33))</f>
        <v>0</v>
      </c>
      <c r="BF15" s="208"/>
      <c r="BG15" s="157">
        <f t="shared" si="0"/>
        <v>0</v>
      </c>
      <c r="BH15" s="157">
        <f t="shared" si="1"/>
        <v>0</v>
      </c>
      <c r="BI15" s="157">
        <f t="shared" si="2"/>
        <v>0</v>
      </c>
      <c r="BJ15" s="213">
        <v>0</v>
      </c>
      <c r="BK15" s="157">
        <f t="shared" si="3"/>
        <v>0</v>
      </c>
      <c r="BL15" s="157">
        <f t="shared" si="4"/>
        <v>0</v>
      </c>
      <c r="BM15" s="157">
        <f t="shared" si="5"/>
        <v>0</v>
      </c>
      <c r="BN15" s="213">
        <v>0</v>
      </c>
      <c r="BO15" s="157">
        <f t="shared" si="6"/>
        <v>0</v>
      </c>
      <c r="BP15" s="157">
        <f t="shared" si="7"/>
        <v>0</v>
      </c>
      <c r="BQ15" s="157">
        <f t="shared" si="8"/>
        <v>0</v>
      </c>
      <c r="BR15" s="213"/>
      <c r="BS15" s="167">
        <f t="shared" si="9"/>
        <v>0</v>
      </c>
      <c r="BT15" s="167">
        <f t="shared" si="10"/>
        <v>0</v>
      </c>
      <c r="BU15" s="167">
        <f t="shared" si="11"/>
        <v>0</v>
      </c>
      <c r="BV15" s="213">
        <v>0</v>
      </c>
      <c r="BW15" s="168">
        <f t="shared" si="12"/>
        <v>0</v>
      </c>
      <c r="BX15" s="168">
        <f t="shared" si="13"/>
        <v>0</v>
      </c>
      <c r="BY15" s="168">
        <f t="shared" si="14"/>
        <v>0</v>
      </c>
      <c r="BZ15" s="210"/>
      <c r="CA15" s="169">
        <f t="shared" si="15"/>
        <v>0</v>
      </c>
      <c r="CB15" s="169">
        <f t="shared" si="16"/>
        <v>0</v>
      </c>
      <c r="CC15" s="169">
        <f t="shared" si="17"/>
        <v>0</v>
      </c>
      <c r="CD15" s="210"/>
      <c r="CE15" s="170">
        <f t="shared" si="18"/>
        <v>0</v>
      </c>
      <c r="CF15" s="170">
        <f t="shared" si="19"/>
        <v>0</v>
      </c>
      <c r="CG15" s="170">
        <f t="shared" si="20"/>
        <v>0</v>
      </c>
      <c r="CH15" s="210"/>
      <c r="CI15" s="82"/>
      <c r="CJ15" s="82"/>
      <c r="CK15" s="82"/>
      <c r="CL15" s="82"/>
      <c r="CM15" s="82"/>
      <c r="CN15" s="82"/>
      <c r="CO15" s="82"/>
      <c r="CP15" s="82"/>
      <c r="CQ15" s="82"/>
      <c r="CR15" s="82"/>
      <c r="CS15" s="82"/>
      <c r="CT15" s="82"/>
      <c r="CU15" s="82"/>
      <c r="CV15" s="82"/>
      <c r="CW15" s="82"/>
      <c r="CX15" s="82"/>
      <c r="CY15" s="82"/>
      <c r="CZ15" s="82"/>
      <c r="DA15" s="82"/>
      <c r="DB15" s="82"/>
    </row>
    <row r="16" spans="1:106">
      <c r="A16" s="184" t="s">
        <v>249</v>
      </c>
      <c r="B16" s="153">
        <v>1</v>
      </c>
      <c r="C16" s="172">
        <f>IF('GPS Anthro Tool'!$B$4=0,0,IF('GPS Anthro Tool'!$B$11=0,0,IF('US Child Data'!$B16=0,0,IF(C34&gt;'GPS Anthro Tool'!$B$16,0,IF(C34&lt;'GPS Anthro Tool'!$B$17,0,C34)))))</f>
        <v>0</v>
      </c>
      <c r="D16" s="172">
        <f>IF('GPS Anthro Tool'!$B$4=0,0,IF('GPS Anthro Tool'!$B$10=0,0,IF('US Child Data'!$B16=0,0,IF(D34&gt;'GPS Anthro Tool'!$B$16,0,IF(D34&lt;'GPS Anthro Tool'!$B$17,0,D34)))))</f>
        <v>0</v>
      </c>
      <c r="E16" s="172">
        <f>IF('GPS Anthro Tool'!$B$4=0,0,IF('GPS Anthro Tool'!$B$9=0,0,IF('US Child Data'!$B16=0,0,IF(E34&gt;'GPS Anthro Tool'!$B$16,0,IF(E34&lt;'GPS Anthro Tool'!$B$17,0,E34)))))</f>
        <v>0</v>
      </c>
      <c r="F16" s="171"/>
      <c r="G16" s="173">
        <f>IF('GPS Anthro Tool'!$B$11=0,0,IF('US Child Data'!$B16=0,0,IF(G34&gt;'GPS Anthro Tool'!$B$14,0,IF(G34&lt;'GPS Anthro Tool'!$B$15,0,IF($C$16=0,0,G34)))))</f>
        <v>0</v>
      </c>
      <c r="H16" s="173">
        <f>IF('GPS Anthro Tool'!$B$10=0,0,IF('US Child Data'!$B16=0,0,IF(H34&gt;'GPS Anthro Tool'!$B$14,0,IF(H34&lt;'GPS Anthro Tool'!$B$15,0,IF($D$16=0,0,H34)))))</f>
        <v>0</v>
      </c>
      <c r="I16" s="173">
        <f>IF('GPS Anthro Tool'!$B$9=0,0,IF('US Child Data'!$B16=0,0,IF(I34&gt;'GPS Anthro Tool'!$B$14,0,IF(I34&lt;'GPS Anthro Tool'!$B$15,0,IF($E$16=0,0,I34)))))</f>
        <v>0</v>
      </c>
      <c r="J16" s="157"/>
      <c r="K16" s="460">
        <f>IF('GPS Anthro Tool'!$B$4=0,0,IF($G16=0,0,K34+'GPS Anthro Tool'!$B$41))</f>
        <v>0</v>
      </c>
      <c r="L16" s="460">
        <f>IF('GPS Anthro Tool'!$B$4=0,0,IF($H16=0,0,L34+'GPS Anthro Tool'!$B$41))</f>
        <v>0</v>
      </c>
      <c r="M16" s="460">
        <f>IF('GPS Anthro Tool'!$B$4=0,0,IF($I16=0,0,M34+'GPS Anthro Tool'!$B$41))</f>
        <v>0</v>
      </c>
      <c r="N16" s="461"/>
      <c r="O16" s="460">
        <f>IF('GPS Anthro Tool'!$B$4=0,0,IF($G16=0,0,O34+'GPS Anthro Tool'!$B$41))</f>
        <v>0</v>
      </c>
      <c r="P16" s="460">
        <f>IF('GPS Anthro Tool'!$B$4=0,0,IF($H16=0,0,P34+'GPS Anthro Tool'!$B$41))</f>
        <v>0</v>
      </c>
      <c r="Q16" s="460">
        <f>IF('GPS Anthro Tool'!$B$4=0,0,IF($I16=0,0,Q34+'GPS Anthro Tool'!$B$41))</f>
        <v>0</v>
      </c>
      <c r="R16" s="157"/>
      <c r="S16" s="174">
        <f>IF('GPS Anthro Tool'!$B$4=0,0,IF($G16=0,0,S34))</f>
        <v>0</v>
      </c>
      <c r="T16" s="174">
        <f>IF('GPS Anthro Tool'!$B$4=0,0,IF($H16=0,0,T34))</f>
        <v>0</v>
      </c>
      <c r="U16" s="174">
        <f>IF('GPS Anthro Tool'!$B$4=0,0,IF($I16=0,0,U34))</f>
        <v>0</v>
      </c>
      <c r="V16" s="157"/>
      <c r="W16" s="174">
        <f>IF('GPS Anthro Tool'!$B$4=0,0,IF($G16=0,0,W34))</f>
        <v>0</v>
      </c>
      <c r="X16" s="174">
        <f>IF('GPS Anthro Tool'!$B$4=0,0,IF($H16=0,0,X34))</f>
        <v>0</v>
      </c>
      <c r="Y16" s="174">
        <f>IF('GPS Anthro Tool'!$B$4=0,0,IF($I16=0,0,Y34))</f>
        <v>0</v>
      </c>
      <c r="Z16" s="157">
        <v>0</v>
      </c>
      <c r="AA16" s="425">
        <f>IF('GPS Anthro Tool'!$B$4=0,0,IF($G16=0,0,AA34))</f>
        <v>0</v>
      </c>
      <c r="AB16" s="425">
        <f>IF('GPS Anthro Tool'!$B$4=0,0,IF($H16=0,0,AB34))</f>
        <v>0</v>
      </c>
      <c r="AC16" s="425">
        <f>IF('GPS Anthro Tool'!$B$4=0,0,IF($I16=0,0,AC34))</f>
        <v>0</v>
      </c>
      <c r="AD16" s="86"/>
      <c r="AE16" s="174">
        <f>IF('GPS Anthro Tool'!$B$4=0,0,IF($G16=0,0,AE34))</f>
        <v>0</v>
      </c>
      <c r="AF16" s="174">
        <f>IF('GPS Anthro Tool'!$B$4=0,0,IF($H16=0,0,AF34))</f>
        <v>0</v>
      </c>
      <c r="AG16" s="174">
        <f>IF('GPS Anthro Tool'!$B$4=0,0,IF($I16=0,0,AG34))</f>
        <v>0</v>
      </c>
      <c r="AH16" s="211"/>
      <c r="AI16" s="460">
        <f>IF('GPS Anthro Tool'!$B$4=0,0,IF($G16=0,0,AI34+'GPS Anthro Tool'!$B$42))</f>
        <v>0</v>
      </c>
      <c r="AJ16" s="460">
        <f>IF('GPS Anthro Tool'!$B$4=0,0,IF($H16=0,0,AJ34+'GPS Anthro Tool'!$B$42))</f>
        <v>0</v>
      </c>
      <c r="AK16" s="460">
        <f>IF('GPS Anthro Tool'!$B$4=0,0,IF($I16=0,0,AK34+'GPS Anthro Tool'!$B$42))</f>
        <v>0</v>
      </c>
      <c r="AL16" s="211"/>
      <c r="AM16" s="174">
        <f>IF('GPS Anthro Tool'!$B$4=0,0,IF($G16=0,0,AM34-'GPS Anthro Tool'!$B$42))</f>
        <v>0</v>
      </c>
      <c r="AN16" s="174">
        <f>IF('GPS Anthro Tool'!$B$4=0,0,IF($H16=0,0,AN34-'GPS Anthro Tool'!$B$42))</f>
        <v>0</v>
      </c>
      <c r="AO16" s="174">
        <f>IF('GPS Anthro Tool'!$B$4=0,0,IF($I16=0,0,AO34-'GPS Anthro Tool'!$B$42))</f>
        <v>0</v>
      </c>
      <c r="AP16" s="211"/>
      <c r="AQ16" s="174">
        <f>IF('GPS Anthro Tool'!$B$4=0,0,IF($G16=0,0,AQ34))</f>
        <v>0</v>
      </c>
      <c r="AR16" s="174">
        <f>IF('GPS Anthro Tool'!$B$4=0,0,IF($H16=0,0,AR34))</f>
        <v>0</v>
      </c>
      <c r="AS16" s="174">
        <f>IF('GPS Anthro Tool'!$B$4=0,0,IF($I16=0,0,AS34))</f>
        <v>0</v>
      </c>
      <c r="AT16" s="211"/>
      <c r="AU16" s="174">
        <f>IF('GPS Anthro Tool'!$B$4=0,0,IF($G16=0,0,AU34))</f>
        <v>0</v>
      </c>
      <c r="AV16" s="174">
        <f>IF('GPS Anthro Tool'!$B$4=0,0,IF($H16=0,0,AV34))</f>
        <v>0</v>
      </c>
      <c r="AW16" s="174">
        <f>IF('GPS Anthro Tool'!$B$4=0,0,IF($I16=0,0,AW34))</f>
        <v>0</v>
      </c>
      <c r="AX16" s="211"/>
      <c r="AY16" s="174">
        <f>IF('GPS Anthro Tool'!$B$4=0,0,IF($G16=0,0,AY34))</f>
        <v>0</v>
      </c>
      <c r="AZ16" s="174">
        <f>IF('GPS Anthro Tool'!$B$4=0,0,IF($H16=0,0,AZ34))</f>
        <v>0</v>
      </c>
      <c r="BA16" s="174">
        <f>IF('GPS Anthro Tool'!$B$4=0,0,IF($I16=0,0,BA34))</f>
        <v>0</v>
      </c>
      <c r="BB16" s="211"/>
      <c r="BC16" s="174">
        <f>IF('GPS Anthro Tool'!$B$4=0,0,IF($G16=0,0,BC34))</f>
        <v>0</v>
      </c>
      <c r="BD16" s="174">
        <f>IF('GPS Anthro Tool'!$B$4=0,0,IF($H16=0,0,BD34))</f>
        <v>0</v>
      </c>
      <c r="BE16" s="174">
        <f>IF('GPS Anthro Tool'!$B$4=0,0,IF($I16=0,0,BE34))</f>
        <v>0</v>
      </c>
      <c r="BF16" s="208"/>
      <c r="BG16" s="157">
        <f t="shared" si="0"/>
        <v>0</v>
      </c>
      <c r="BH16" s="157">
        <f t="shared" si="1"/>
        <v>0</v>
      </c>
      <c r="BI16" s="157">
        <f t="shared" si="2"/>
        <v>0</v>
      </c>
      <c r="BJ16" s="213">
        <v>0</v>
      </c>
      <c r="BK16" s="157">
        <f t="shared" si="3"/>
        <v>0</v>
      </c>
      <c r="BL16" s="157">
        <f t="shared" si="4"/>
        <v>0</v>
      </c>
      <c r="BM16" s="157">
        <f t="shared" si="5"/>
        <v>0</v>
      </c>
      <c r="BN16" s="213">
        <v>0</v>
      </c>
      <c r="BO16" s="157">
        <f t="shared" si="6"/>
        <v>0</v>
      </c>
      <c r="BP16" s="157">
        <f t="shared" si="7"/>
        <v>0</v>
      </c>
      <c r="BQ16" s="157">
        <f t="shared" si="8"/>
        <v>0</v>
      </c>
      <c r="BR16" s="213"/>
      <c r="BS16" s="167">
        <f t="shared" si="9"/>
        <v>0</v>
      </c>
      <c r="BT16" s="167">
        <f t="shared" si="10"/>
        <v>0</v>
      </c>
      <c r="BU16" s="167">
        <f t="shared" si="11"/>
        <v>0</v>
      </c>
      <c r="BV16" s="213">
        <v>0</v>
      </c>
      <c r="BW16" s="168">
        <f t="shared" si="12"/>
        <v>0</v>
      </c>
      <c r="BX16" s="168">
        <f t="shared" si="13"/>
        <v>0</v>
      </c>
      <c r="BY16" s="168">
        <f t="shared" si="14"/>
        <v>0</v>
      </c>
      <c r="BZ16" s="210"/>
      <c r="CA16" s="169">
        <f t="shared" si="15"/>
        <v>0</v>
      </c>
      <c r="CB16" s="169">
        <f t="shared" si="16"/>
        <v>0</v>
      </c>
      <c r="CC16" s="169">
        <f t="shared" si="17"/>
        <v>0</v>
      </c>
      <c r="CD16" s="210"/>
      <c r="CE16" s="170">
        <f t="shared" si="18"/>
        <v>0</v>
      </c>
      <c r="CF16" s="170">
        <f t="shared" si="19"/>
        <v>0</v>
      </c>
      <c r="CG16" s="170">
        <f t="shared" si="20"/>
        <v>0</v>
      </c>
      <c r="CH16" s="210"/>
      <c r="CI16" s="82"/>
      <c r="CJ16" s="82"/>
      <c r="CK16" s="82"/>
      <c r="CL16" s="82"/>
      <c r="CM16" s="82"/>
      <c r="CN16" s="82"/>
      <c r="CO16" s="82"/>
      <c r="CP16" s="82"/>
      <c r="CQ16" s="82"/>
      <c r="CR16" s="82"/>
      <c r="CS16" s="82"/>
      <c r="CT16" s="82"/>
      <c r="CU16" s="82"/>
      <c r="CV16" s="82"/>
      <c r="CW16" s="82"/>
      <c r="CX16" s="82"/>
      <c r="CY16" s="82"/>
      <c r="CZ16" s="82"/>
      <c r="DA16" s="82"/>
      <c r="DB16" s="82"/>
    </row>
    <row r="17" spans="1:106">
      <c r="A17" s="184" t="s">
        <v>250</v>
      </c>
      <c r="B17" s="153">
        <v>1</v>
      </c>
      <c r="C17" s="172">
        <f>IF('GPS Anthro Tool'!$B$4=0,0,IF('GPS Anthro Tool'!$B$11=0,0,IF('US Child Data'!$B17=0,0,IF(C35&gt;'GPS Anthro Tool'!$B$16,0,IF(C35&lt;'GPS Anthro Tool'!$B$17,0,C35)))))</f>
        <v>0</v>
      </c>
      <c r="D17" s="172">
        <f>IF('GPS Anthro Tool'!$B$4=0,0,IF('GPS Anthro Tool'!$B$10=0,0,IF('US Child Data'!$B17=0,0,IF(D35&gt;'GPS Anthro Tool'!$B$16,0,IF(D35&lt;'GPS Anthro Tool'!$B$17,0,D35)))))</f>
        <v>0</v>
      </c>
      <c r="E17" s="172">
        <f>IF('GPS Anthro Tool'!$B$4=0,0,IF('GPS Anthro Tool'!$B$9=0,0,IF('US Child Data'!$B17=0,0,IF(E35&gt;'GPS Anthro Tool'!$B$16,0,IF(E35&lt;'GPS Anthro Tool'!$B$17,0,E35)))))</f>
        <v>0</v>
      </c>
      <c r="F17" s="171"/>
      <c r="G17" s="173">
        <f>IF('GPS Anthro Tool'!$B$11=0,0,IF('US Child Data'!$B17=0,0,IF(G35&gt;'GPS Anthro Tool'!$B$14,0,IF(G35&lt;'GPS Anthro Tool'!$B$15,0,IF($C$17=0,0,G35)))))</f>
        <v>0</v>
      </c>
      <c r="H17" s="173">
        <f>IF('GPS Anthro Tool'!$B$10=0,0,IF('US Child Data'!$B17=0,0,IF(H35&gt;'GPS Anthro Tool'!$B$14,0,IF(H35&lt;'GPS Anthro Tool'!$B$15,0,IF($D$17=0,0,H35)))))</f>
        <v>0</v>
      </c>
      <c r="I17" s="173">
        <f>IF('GPS Anthro Tool'!$B$9=0,0,IF('US Child Data'!$B17=0,0,IF(I35&gt;'GPS Anthro Tool'!$B$14,0,IF(I35&lt;'GPS Anthro Tool'!$B$15,0,IF($E$17=0,0,I35)))))</f>
        <v>0</v>
      </c>
      <c r="J17" s="157"/>
      <c r="K17" s="460">
        <f>IF('GPS Anthro Tool'!$B$4=0,0,IF($G17=0,0,K35+'GPS Anthro Tool'!$B$41))</f>
        <v>0</v>
      </c>
      <c r="L17" s="460">
        <f>IF('GPS Anthro Tool'!$B$4=0,0,IF($H17=0,0,L35+'GPS Anthro Tool'!$B$41))</f>
        <v>0</v>
      </c>
      <c r="M17" s="460">
        <f>IF('GPS Anthro Tool'!$B$4=0,0,IF($I17=0,0,M35+'GPS Anthro Tool'!$B$41))</f>
        <v>0</v>
      </c>
      <c r="N17" s="461"/>
      <c r="O17" s="460">
        <f>IF('GPS Anthro Tool'!$B$4=0,0,IF($G17=0,0,O35+'GPS Anthro Tool'!$B$41))</f>
        <v>0</v>
      </c>
      <c r="P17" s="460">
        <f>IF('GPS Anthro Tool'!$B$4=0,0,IF($H17=0,0,P35+'GPS Anthro Tool'!$B$41))</f>
        <v>0</v>
      </c>
      <c r="Q17" s="460">
        <f>IF('GPS Anthro Tool'!$B$4=0,0,IF($I17=0,0,Q35+'GPS Anthro Tool'!$B$41))</f>
        <v>0</v>
      </c>
      <c r="R17" s="157"/>
      <c r="S17" s="174">
        <f>IF('GPS Anthro Tool'!$B$4=0,0,IF($G17=0,0,S35))</f>
        <v>0</v>
      </c>
      <c r="T17" s="174">
        <f>IF('GPS Anthro Tool'!$B$4=0,0,IF($H17=0,0,T35))</f>
        <v>0</v>
      </c>
      <c r="U17" s="174">
        <f>IF('GPS Anthro Tool'!$B$4=0,0,IF($I17=0,0,U35))</f>
        <v>0</v>
      </c>
      <c r="V17" s="157"/>
      <c r="W17" s="174">
        <f>IF('GPS Anthro Tool'!$B$4=0,0,IF($G17=0,0,W35))</f>
        <v>0</v>
      </c>
      <c r="X17" s="174">
        <f>IF('GPS Anthro Tool'!$B$4=0,0,IF($H17=0,0,X35))</f>
        <v>0</v>
      </c>
      <c r="Y17" s="174">
        <f>IF('GPS Anthro Tool'!$B$4=0,0,IF($I17=0,0,Y35))</f>
        <v>0</v>
      </c>
      <c r="Z17" s="157">
        <v>0</v>
      </c>
      <c r="AA17" s="425">
        <f>IF('GPS Anthro Tool'!$B$4=0,0,IF($G17=0,0,AA35))</f>
        <v>0</v>
      </c>
      <c r="AB17" s="425">
        <f>IF('GPS Anthro Tool'!$B$4=0,0,IF($H17=0,0,AB35))</f>
        <v>0</v>
      </c>
      <c r="AC17" s="425">
        <f>IF('GPS Anthro Tool'!$B$4=0,0,IF($I17=0,0,AC35))</f>
        <v>0</v>
      </c>
      <c r="AD17" s="86"/>
      <c r="AE17" s="174">
        <f>IF('GPS Anthro Tool'!$B$4=0,0,IF($G17=0,0,AE35))</f>
        <v>0</v>
      </c>
      <c r="AF17" s="174">
        <f>IF('GPS Anthro Tool'!$B$4=0,0,IF($H17=0,0,AF35))</f>
        <v>0</v>
      </c>
      <c r="AG17" s="174">
        <f>IF('GPS Anthro Tool'!$B$4=0,0,IF($I17=0,0,AG35))</f>
        <v>0</v>
      </c>
      <c r="AH17" s="211"/>
      <c r="AI17" s="460">
        <f>IF('GPS Anthro Tool'!$B$4=0,0,IF($G17=0,0,AI35+'GPS Anthro Tool'!$B$42))</f>
        <v>0</v>
      </c>
      <c r="AJ17" s="460">
        <f>IF('GPS Anthro Tool'!$B$4=0,0,IF($H17=0,0,AJ35+'GPS Anthro Tool'!$B$42))</f>
        <v>0</v>
      </c>
      <c r="AK17" s="460">
        <f>IF('GPS Anthro Tool'!$B$4=0,0,IF($I17=0,0,AK35+'GPS Anthro Tool'!$B$42))</f>
        <v>0</v>
      </c>
      <c r="AL17" s="211"/>
      <c r="AM17" s="174">
        <f>IF('GPS Anthro Tool'!$B$4=0,0,IF($G17=0,0,AM35-'GPS Anthro Tool'!$B$42))</f>
        <v>0</v>
      </c>
      <c r="AN17" s="174">
        <f>IF('GPS Anthro Tool'!$B$4=0,0,IF($H17=0,0,AN35-'GPS Anthro Tool'!$B$42))</f>
        <v>0</v>
      </c>
      <c r="AO17" s="174">
        <f>IF('GPS Anthro Tool'!$B$4=0,0,IF($I17=0,0,AO35-'GPS Anthro Tool'!$B$42))</f>
        <v>0</v>
      </c>
      <c r="AP17" s="211"/>
      <c r="AQ17" s="174">
        <f>IF('GPS Anthro Tool'!$B$4=0,0,IF($G17=0,0,AQ35))</f>
        <v>0</v>
      </c>
      <c r="AR17" s="174">
        <f>IF('GPS Anthro Tool'!$B$4=0,0,IF($H17=0,0,AR35))</f>
        <v>0</v>
      </c>
      <c r="AS17" s="174">
        <f>IF('GPS Anthro Tool'!$B$4=0,0,IF($I17=0,0,AS35))</f>
        <v>0</v>
      </c>
      <c r="AT17" s="211"/>
      <c r="AU17" s="174">
        <f>IF('GPS Anthro Tool'!$B$4=0,0,IF($G17=0,0,AU35))</f>
        <v>0</v>
      </c>
      <c r="AV17" s="174">
        <f>IF('GPS Anthro Tool'!$B$4=0,0,IF($H17=0,0,AV35))</f>
        <v>0</v>
      </c>
      <c r="AW17" s="174">
        <f>IF('GPS Anthro Tool'!$B$4=0,0,IF($I17=0,0,AW35))</f>
        <v>0</v>
      </c>
      <c r="AX17" s="211"/>
      <c r="AY17" s="174">
        <f>IF('GPS Anthro Tool'!$B$4=0,0,IF($G17=0,0,AY35))</f>
        <v>0</v>
      </c>
      <c r="AZ17" s="174">
        <f>IF('GPS Anthro Tool'!$B$4=0,0,IF($H17=0,0,AZ35))</f>
        <v>0</v>
      </c>
      <c r="BA17" s="174">
        <f>IF('GPS Anthro Tool'!$B$4=0,0,IF($I17=0,0,BA35))</f>
        <v>0</v>
      </c>
      <c r="BB17" s="211"/>
      <c r="BC17" s="174">
        <f>IF('GPS Anthro Tool'!$B$4=0,0,IF($G17=0,0,BC35))</f>
        <v>0</v>
      </c>
      <c r="BD17" s="174">
        <f>IF('GPS Anthro Tool'!$B$4=0,0,IF($H17=0,0,BD35))</f>
        <v>0</v>
      </c>
      <c r="BE17" s="174">
        <f>IF('GPS Anthro Tool'!$B$4=0,0,IF($I17=0,0,BE35))</f>
        <v>0</v>
      </c>
      <c r="BF17" s="208"/>
      <c r="BG17" s="157">
        <f t="shared" si="0"/>
        <v>0</v>
      </c>
      <c r="BH17" s="157">
        <f t="shared" si="1"/>
        <v>0</v>
      </c>
      <c r="BI17" s="157">
        <f t="shared" si="2"/>
        <v>0</v>
      </c>
      <c r="BJ17" s="213">
        <v>0</v>
      </c>
      <c r="BK17" s="157">
        <f>IF('GPS Anthro Tool'!$B$9=0,0,IF('US Child Data'!$B17=0,0,-S17/2))</f>
        <v>0</v>
      </c>
      <c r="BL17" s="157">
        <f>IF('GPS Anthro Tool'!$B$10=0,0,IF('US Child Data'!$B17=0,0,-T17/2))</f>
        <v>0</v>
      </c>
      <c r="BM17" s="157">
        <f>IF('GPS Anthro Tool'!$B$11=0,0,IF('US Child Data'!$B17=0,0,-U17/2))</f>
        <v>0</v>
      </c>
      <c r="BN17" s="213">
        <v>0</v>
      </c>
      <c r="BO17" s="157">
        <f t="shared" si="6"/>
        <v>0</v>
      </c>
      <c r="BP17" s="157">
        <f t="shared" si="7"/>
        <v>0</v>
      </c>
      <c r="BQ17" s="157">
        <f t="shared" si="8"/>
        <v>0</v>
      </c>
      <c r="BR17" s="213"/>
      <c r="BS17" s="167">
        <f t="shared" si="9"/>
        <v>0</v>
      </c>
      <c r="BT17" s="167">
        <f t="shared" si="10"/>
        <v>0</v>
      </c>
      <c r="BU17" s="167">
        <f t="shared" si="11"/>
        <v>0</v>
      </c>
      <c r="BV17" s="213">
        <v>0</v>
      </c>
      <c r="BW17" s="168">
        <f t="shared" si="12"/>
        <v>0</v>
      </c>
      <c r="BX17" s="168">
        <f t="shared" si="13"/>
        <v>0</v>
      </c>
      <c r="BY17" s="168">
        <f t="shared" si="14"/>
        <v>0</v>
      </c>
      <c r="BZ17" s="210"/>
      <c r="CA17" s="169">
        <f t="shared" si="15"/>
        <v>0</v>
      </c>
      <c r="CB17" s="169">
        <f t="shared" si="16"/>
        <v>0</v>
      </c>
      <c r="CC17" s="169">
        <f t="shared" si="17"/>
        <v>0</v>
      </c>
      <c r="CD17" s="210"/>
      <c r="CE17" s="170">
        <f t="shared" si="18"/>
        <v>0</v>
      </c>
      <c r="CF17" s="170">
        <f t="shared" si="19"/>
        <v>0</v>
      </c>
      <c r="CG17" s="170">
        <f t="shared" si="20"/>
        <v>0</v>
      </c>
      <c r="CH17" s="210"/>
      <c r="CI17" s="82"/>
      <c r="CJ17" s="82"/>
      <c r="CK17" s="82"/>
      <c r="CL17" s="82"/>
      <c r="CM17" s="82"/>
      <c r="CN17" s="82"/>
      <c r="CO17" s="82"/>
      <c r="CP17" s="82"/>
      <c r="CQ17" s="82"/>
      <c r="CR17" s="82"/>
      <c r="CS17" s="82"/>
      <c r="CT17" s="82"/>
      <c r="CU17" s="82"/>
      <c r="CV17" s="82"/>
      <c r="CW17" s="82"/>
      <c r="CX17" s="82"/>
      <c r="CY17" s="82"/>
      <c r="CZ17" s="82"/>
      <c r="DA17" s="82"/>
      <c r="DB17" s="82"/>
    </row>
    <row r="18" spans="1:106">
      <c r="A18" s="157"/>
      <c r="B18" s="157"/>
      <c r="C18" s="171"/>
      <c r="D18" s="171"/>
      <c r="E18" s="171"/>
      <c r="F18" s="171"/>
      <c r="G18" s="157"/>
      <c r="H18" s="157"/>
      <c r="I18" s="157"/>
      <c r="J18" s="157"/>
      <c r="K18" s="157"/>
      <c r="L18" s="157"/>
      <c r="M18" s="157"/>
      <c r="N18" s="157"/>
      <c r="O18" s="157"/>
      <c r="P18" s="157"/>
      <c r="Q18" s="157"/>
      <c r="R18" s="157"/>
      <c r="S18" s="157"/>
      <c r="T18" s="157"/>
      <c r="U18" s="157"/>
      <c r="V18" s="157"/>
      <c r="W18" s="157"/>
      <c r="X18" s="157"/>
      <c r="Y18" s="157"/>
      <c r="Z18" s="157"/>
      <c r="AA18" s="86"/>
      <c r="AB18" s="86"/>
      <c r="AC18" s="86"/>
      <c r="AD18" s="86"/>
      <c r="AE18" s="157"/>
      <c r="AF18" s="157"/>
      <c r="AG18" s="157"/>
      <c r="AH18" s="211"/>
      <c r="AI18" s="86"/>
      <c r="AJ18" s="86"/>
      <c r="AK18" s="86"/>
      <c r="AL18" s="211"/>
      <c r="AM18" s="86"/>
      <c r="AN18" s="86"/>
      <c r="AO18" s="86"/>
      <c r="AP18" s="211"/>
      <c r="AQ18" s="86"/>
      <c r="AR18" s="86"/>
      <c r="AS18" s="86"/>
      <c r="AT18" s="211"/>
      <c r="AU18" s="86"/>
      <c r="AV18" s="86"/>
      <c r="AW18" s="86"/>
      <c r="AX18" s="211"/>
      <c r="AY18" s="86"/>
      <c r="AZ18" s="86"/>
      <c r="BA18" s="86"/>
      <c r="BB18" s="211"/>
      <c r="BC18" s="86"/>
      <c r="BD18" s="86"/>
      <c r="BE18" s="86"/>
      <c r="BF18" s="208"/>
      <c r="BG18" s="157"/>
      <c r="BH18" s="157"/>
      <c r="BI18" s="157"/>
      <c r="BJ18" s="213"/>
      <c r="BK18" s="157"/>
      <c r="BL18" s="157"/>
      <c r="BM18" s="157"/>
      <c r="BN18" s="213"/>
      <c r="BO18" s="157"/>
      <c r="BP18" s="157"/>
      <c r="BQ18" s="157"/>
      <c r="BR18" s="213"/>
      <c r="BS18" s="167"/>
      <c r="BT18" s="167"/>
      <c r="BU18" s="167"/>
      <c r="BV18" s="210"/>
      <c r="BW18" s="168"/>
      <c r="BX18" s="168"/>
      <c r="BY18" s="168"/>
      <c r="BZ18" s="210"/>
      <c r="CA18" s="169"/>
      <c r="CB18" s="169"/>
      <c r="CC18" s="169"/>
      <c r="CD18" s="210"/>
      <c r="CE18" s="170"/>
      <c r="CF18" s="170"/>
      <c r="CG18" s="170"/>
      <c r="CH18" s="210"/>
      <c r="CI18" s="82"/>
      <c r="CJ18" s="82"/>
      <c r="CK18" s="82"/>
      <c r="CL18" s="82"/>
      <c r="CM18" s="82"/>
      <c r="CN18" s="82"/>
      <c r="CO18" s="82"/>
      <c r="CP18" s="82"/>
      <c r="CQ18" s="82"/>
      <c r="CR18" s="82"/>
      <c r="CS18" s="82"/>
      <c r="CT18" s="82"/>
      <c r="CU18" s="82"/>
      <c r="CV18" s="82"/>
      <c r="CW18" s="82"/>
      <c r="CX18" s="82"/>
      <c r="CY18" s="82"/>
      <c r="CZ18" s="82"/>
      <c r="DA18" s="82"/>
      <c r="DB18" s="82"/>
    </row>
    <row r="19" spans="1:106" s="290" customFormat="1" ht="12.95" customHeight="1">
      <c r="C19" s="291" t="s">
        <v>526</v>
      </c>
      <c r="D19" s="292"/>
      <c r="E19" s="292"/>
      <c r="F19" s="293"/>
      <c r="G19" s="291" t="s">
        <v>527</v>
      </c>
      <c r="H19" s="292"/>
      <c r="I19" s="292"/>
      <c r="J19" s="294"/>
      <c r="K19" s="291" t="s">
        <v>528</v>
      </c>
      <c r="L19" s="292"/>
      <c r="M19" s="292"/>
      <c r="O19" s="291" t="s">
        <v>529</v>
      </c>
      <c r="P19" s="292"/>
      <c r="Q19" s="292"/>
      <c r="S19" s="291" t="s">
        <v>530</v>
      </c>
      <c r="T19" s="292"/>
      <c r="U19" s="292"/>
      <c r="W19" s="291" t="s">
        <v>531</v>
      </c>
      <c r="X19" s="292"/>
      <c r="Y19" s="292"/>
      <c r="Z19" s="294"/>
      <c r="AA19" s="291" t="s">
        <v>532</v>
      </c>
      <c r="AB19" s="292"/>
      <c r="AC19" s="292"/>
      <c r="AD19" s="294"/>
      <c r="AE19" s="291" t="s">
        <v>533</v>
      </c>
      <c r="AF19" s="292"/>
      <c r="AG19" s="292"/>
      <c r="AH19" s="295"/>
      <c r="AI19" s="291" t="s">
        <v>548</v>
      </c>
      <c r="AJ19" s="292"/>
      <c r="AK19" s="292"/>
      <c r="AL19" s="295"/>
      <c r="AM19" s="291" t="s">
        <v>535</v>
      </c>
      <c r="AN19" s="292"/>
      <c r="AO19" s="292"/>
      <c r="AP19" s="295"/>
      <c r="AQ19" s="291" t="s">
        <v>536</v>
      </c>
      <c r="AR19" s="292"/>
      <c r="AS19" s="292"/>
      <c r="AT19" s="295"/>
      <c r="AU19" s="291" t="s">
        <v>537</v>
      </c>
      <c r="AV19" s="292"/>
      <c r="AW19" s="292"/>
      <c r="AX19" s="295"/>
      <c r="AY19" s="291" t="s">
        <v>538</v>
      </c>
      <c r="AZ19" s="292"/>
      <c r="BA19" s="292"/>
      <c r="BB19" s="295"/>
      <c r="BC19" s="296" t="s">
        <v>534</v>
      </c>
      <c r="BD19" s="292"/>
      <c r="BE19" s="292"/>
      <c r="BF19" s="297"/>
      <c r="BG19" s="294"/>
      <c r="BH19" s="294"/>
      <c r="BI19" s="294"/>
      <c r="BJ19" s="298"/>
      <c r="BK19" s="294"/>
      <c r="BL19" s="294"/>
      <c r="BM19" s="294"/>
      <c r="BN19" s="298"/>
      <c r="BO19" s="294"/>
      <c r="BP19" s="294"/>
      <c r="BQ19" s="294"/>
      <c r="BR19" s="298"/>
      <c r="BS19" s="294"/>
      <c r="BT19" s="294"/>
      <c r="BU19" s="294"/>
      <c r="BV19" s="299"/>
      <c r="BW19" s="294"/>
      <c r="BX19" s="294"/>
      <c r="BY19" s="294"/>
      <c r="BZ19" s="299"/>
      <c r="CA19" s="294"/>
      <c r="CB19" s="294"/>
      <c r="CC19" s="294"/>
      <c r="CD19" s="299"/>
      <c r="CE19" s="294"/>
      <c r="CF19" s="294"/>
      <c r="CG19" s="294"/>
      <c r="CH19" s="299"/>
    </row>
    <row r="20" spans="1:106">
      <c r="A20" s="82"/>
      <c r="B20" s="82"/>
      <c r="C20" s="156" t="s">
        <v>308</v>
      </c>
      <c r="D20" s="156" t="s">
        <v>435</v>
      </c>
      <c r="E20" s="156" t="s">
        <v>309</v>
      </c>
      <c r="F20" s="171"/>
      <c r="G20" s="156" t="s">
        <v>308</v>
      </c>
      <c r="H20" s="156" t="s">
        <v>435</v>
      </c>
      <c r="I20" s="156" t="s">
        <v>309</v>
      </c>
      <c r="J20" s="156"/>
      <c r="K20" s="156" t="s">
        <v>308</v>
      </c>
      <c r="L20" s="156" t="s">
        <v>435</v>
      </c>
      <c r="M20" s="156" t="s">
        <v>309</v>
      </c>
      <c r="N20" s="82"/>
      <c r="O20" s="156" t="s">
        <v>308</v>
      </c>
      <c r="P20" s="156" t="s">
        <v>435</v>
      </c>
      <c r="Q20" s="156" t="s">
        <v>309</v>
      </c>
      <c r="R20" s="82"/>
      <c r="S20" s="156" t="s">
        <v>308</v>
      </c>
      <c r="T20" s="156" t="s">
        <v>435</v>
      </c>
      <c r="U20" s="156" t="s">
        <v>309</v>
      </c>
      <c r="V20" s="82"/>
      <c r="W20" s="156" t="s">
        <v>308</v>
      </c>
      <c r="X20" s="156" t="s">
        <v>435</v>
      </c>
      <c r="Y20" s="156" t="s">
        <v>309</v>
      </c>
      <c r="Z20" s="156"/>
      <c r="AA20" s="156" t="s">
        <v>308</v>
      </c>
      <c r="AB20" s="156" t="s">
        <v>435</v>
      </c>
      <c r="AC20" s="156" t="s">
        <v>309</v>
      </c>
      <c r="AD20" s="156"/>
      <c r="AE20" s="156" t="s">
        <v>308</v>
      </c>
      <c r="AF20" s="156" t="s">
        <v>435</v>
      </c>
      <c r="AG20" s="156" t="s">
        <v>309</v>
      </c>
      <c r="AH20" s="204"/>
      <c r="AI20" s="156" t="s">
        <v>308</v>
      </c>
      <c r="AJ20" s="156" t="s">
        <v>435</v>
      </c>
      <c r="AK20" s="156" t="s">
        <v>309</v>
      </c>
      <c r="AL20" s="204"/>
      <c r="AM20" s="156" t="s">
        <v>308</v>
      </c>
      <c r="AN20" s="156" t="s">
        <v>435</v>
      </c>
      <c r="AO20" s="156" t="s">
        <v>309</v>
      </c>
      <c r="AP20" s="204"/>
      <c r="AQ20" s="156" t="s">
        <v>308</v>
      </c>
      <c r="AR20" s="156" t="s">
        <v>435</v>
      </c>
      <c r="AS20" s="156" t="s">
        <v>309</v>
      </c>
      <c r="AT20" s="204"/>
      <c r="AU20" s="156" t="s">
        <v>308</v>
      </c>
      <c r="AV20" s="156" t="s">
        <v>435</v>
      </c>
      <c r="AW20" s="156" t="s">
        <v>309</v>
      </c>
      <c r="AX20" s="204"/>
      <c r="AY20" s="156" t="s">
        <v>308</v>
      </c>
      <c r="AZ20" s="156" t="s">
        <v>435</v>
      </c>
      <c r="BA20" s="156" t="s">
        <v>309</v>
      </c>
      <c r="BB20" s="204"/>
      <c r="BC20" s="156" t="s">
        <v>308</v>
      </c>
      <c r="BD20" s="156" t="s">
        <v>435</v>
      </c>
      <c r="BE20" s="156" t="s">
        <v>309</v>
      </c>
      <c r="BF20" s="207"/>
      <c r="BG20" s="156"/>
      <c r="BH20" s="156"/>
      <c r="BI20" s="156"/>
      <c r="BJ20" s="205"/>
      <c r="BK20" s="156"/>
      <c r="BL20" s="156"/>
      <c r="BM20" s="156"/>
      <c r="BN20" s="205"/>
      <c r="BO20" s="156"/>
      <c r="BP20" s="156"/>
      <c r="BQ20" s="156"/>
      <c r="BR20" s="205"/>
      <c r="BS20" s="156"/>
      <c r="BT20" s="156"/>
      <c r="BU20" s="156"/>
      <c r="BV20" s="210"/>
      <c r="BW20" s="156"/>
      <c r="BX20" s="156"/>
      <c r="BY20" s="156"/>
      <c r="BZ20" s="210"/>
      <c r="CA20" s="156"/>
      <c r="CB20" s="156"/>
      <c r="CC20" s="156"/>
      <c r="CD20" s="210"/>
      <c r="CE20" s="156"/>
      <c r="CF20" s="156"/>
      <c r="CG20" s="156"/>
      <c r="CH20" s="210"/>
      <c r="CI20" s="82"/>
      <c r="CJ20" s="82"/>
      <c r="CK20" s="82"/>
      <c r="CL20" s="82"/>
      <c r="CM20" s="82"/>
      <c r="CN20" s="82"/>
      <c r="CO20" s="82"/>
      <c r="CP20" s="82"/>
      <c r="CQ20" s="82"/>
      <c r="CR20" s="82"/>
      <c r="CS20" s="82"/>
      <c r="CT20" s="82"/>
      <c r="CU20" s="82"/>
      <c r="CV20" s="82"/>
      <c r="CW20" s="82"/>
      <c r="CX20" s="82"/>
      <c r="CY20" s="82"/>
      <c r="CZ20" s="82"/>
      <c r="DA20" s="82"/>
      <c r="DB20" s="82"/>
    </row>
    <row r="21" spans="1:106">
      <c r="A21" s="184" t="s">
        <v>236</v>
      </c>
      <c r="B21" s="284"/>
      <c r="C21" s="167">
        <v>2.8576321199999994</v>
      </c>
      <c r="D21" s="167">
        <v>5.3070310799999998</v>
      </c>
      <c r="E21" s="167">
        <v>7.7564300399999997</v>
      </c>
      <c r="F21" s="171"/>
      <c r="G21" s="157">
        <v>48.006</v>
      </c>
      <c r="H21" s="157">
        <v>56.134</v>
      </c>
      <c r="I21" s="157">
        <v>64.262</v>
      </c>
      <c r="J21" s="157"/>
      <c r="K21" s="157">
        <v>31.75</v>
      </c>
      <c r="L21" s="157">
        <v>37.845999999999997</v>
      </c>
      <c r="M21" s="157">
        <v>43.942</v>
      </c>
      <c r="N21" s="82"/>
      <c r="O21" s="157">
        <v>21.59</v>
      </c>
      <c r="P21" s="157">
        <v>25.146000000000001</v>
      </c>
      <c r="Q21" s="157">
        <v>28.702000000000002</v>
      </c>
      <c r="R21" s="82"/>
      <c r="S21" s="157">
        <v>9.3979999999999997</v>
      </c>
      <c r="T21" s="157">
        <v>13.462</v>
      </c>
      <c r="U21" s="157">
        <v>17.526</v>
      </c>
      <c r="V21" s="82"/>
      <c r="W21" s="157">
        <v>12.7</v>
      </c>
      <c r="X21" s="157">
        <v>16.256</v>
      </c>
      <c r="Y21" s="157">
        <v>19.812000000000001</v>
      </c>
      <c r="Z21" s="157">
        <v>0</v>
      </c>
      <c r="AA21" s="86">
        <v>8.1213959999999989</v>
      </c>
      <c r="AB21" s="86">
        <v>9.6418400000000002</v>
      </c>
      <c r="AC21" s="86">
        <v>11.162284</v>
      </c>
      <c r="AD21" s="86"/>
      <c r="AE21" s="157">
        <v>4.8259999999999996</v>
      </c>
      <c r="AF21" s="157">
        <v>5.8419999999999996</v>
      </c>
      <c r="AG21" s="157">
        <v>6.8579999999999997</v>
      </c>
      <c r="AH21" s="211"/>
      <c r="AI21" s="167">
        <v>7.1120000000000001</v>
      </c>
      <c r="AJ21" s="167">
        <v>9.1440000000000001</v>
      </c>
      <c r="AK21" s="167">
        <v>11.176</v>
      </c>
      <c r="AL21" s="271"/>
      <c r="AM21" s="167">
        <f>0-0.88*10.922</f>
        <v>-9.6113600000000012</v>
      </c>
      <c r="AN21" s="167">
        <f>0-0.88*13.97</f>
        <v>-12.293600000000001</v>
      </c>
      <c r="AO21" s="167">
        <f>0-0.88*17.018</f>
        <v>-14.97584</v>
      </c>
      <c r="AP21" s="271"/>
      <c r="AQ21" s="167">
        <v>3.0480000000000005</v>
      </c>
      <c r="AR21" s="167">
        <v>5.3340000000000005</v>
      </c>
      <c r="AS21" s="167">
        <v>7.620000000000001</v>
      </c>
      <c r="AT21" s="271"/>
      <c r="AU21" s="167">
        <v>21.222000000000001</v>
      </c>
      <c r="AV21" s="167">
        <v>23.622000000000003</v>
      </c>
      <c r="AW21" s="167">
        <v>26.022000000000006</v>
      </c>
      <c r="AX21" s="271"/>
      <c r="AY21" s="167">
        <v>12.170000000000002</v>
      </c>
      <c r="AZ21" s="167">
        <v>13.97</v>
      </c>
      <c r="BA21" s="167">
        <v>15.77</v>
      </c>
      <c r="BB21" s="271"/>
      <c r="BC21" s="167">
        <v>12.978000000000002</v>
      </c>
      <c r="BD21" s="167">
        <v>14.478000000000002</v>
      </c>
      <c r="BE21" s="167">
        <v>15.978000000000002</v>
      </c>
      <c r="BF21" s="208"/>
      <c r="BG21" s="157"/>
      <c r="BH21" s="157"/>
      <c r="BI21" s="157"/>
      <c r="BJ21" s="213"/>
      <c r="BK21" s="157"/>
      <c r="BL21" s="157"/>
      <c r="BM21" s="157"/>
      <c r="BN21" s="213"/>
      <c r="BO21" s="157"/>
      <c r="BP21" s="157"/>
      <c r="BQ21" s="157"/>
      <c r="BR21" s="213"/>
      <c r="BS21" s="167"/>
      <c r="BT21" s="167"/>
      <c r="BU21" s="167"/>
      <c r="BV21" s="210"/>
      <c r="BW21" s="168"/>
      <c r="BX21" s="168"/>
      <c r="BY21" s="168"/>
      <c r="BZ21" s="210"/>
      <c r="CA21" s="169"/>
      <c r="CB21" s="169"/>
      <c r="CC21" s="169"/>
      <c r="CD21" s="210"/>
      <c r="CE21" s="170"/>
      <c r="CF21" s="170"/>
      <c r="CG21" s="170"/>
      <c r="CH21" s="210"/>
      <c r="CI21" s="82"/>
      <c r="CJ21" s="82"/>
      <c r="CK21" s="82"/>
      <c r="CL21" s="82"/>
      <c r="CM21" s="82"/>
      <c r="CN21" s="82"/>
      <c r="CO21" s="82"/>
      <c r="CP21" s="82"/>
      <c r="CQ21" s="82"/>
      <c r="CR21" s="82"/>
      <c r="CS21" s="82"/>
      <c r="CT21" s="82"/>
      <c r="CU21" s="82"/>
      <c r="CV21" s="82"/>
      <c r="CW21" s="82"/>
      <c r="CX21" s="82"/>
      <c r="CY21" s="82"/>
      <c r="CZ21" s="82"/>
      <c r="DA21" s="82"/>
      <c r="DB21" s="82"/>
    </row>
    <row r="22" spans="1:106">
      <c r="A22" s="184" t="s">
        <v>237</v>
      </c>
      <c r="B22" s="284"/>
      <c r="C22" s="167">
        <v>4.9895163999999994</v>
      </c>
      <c r="D22" s="167">
        <v>7.8017892799999995</v>
      </c>
      <c r="E22" s="167">
        <v>10.61406216</v>
      </c>
      <c r="F22" s="171"/>
      <c r="G22" s="157">
        <v>57.404000000000003</v>
      </c>
      <c r="H22" s="157">
        <v>67.055999999999997</v>
      </c>
      <c r="I22" s="157">
        <v>76.707999999999998</v>
      </c>
      <c r="J22" s="157"/>
      <c r="K22" s="157">
        <v>38.353999999999999</v>
      </c>
      <c r="L22" s="157">
        <v>43.942</v>
      </c>
      <c r="M22" s="157">
        <v>49.53</v>
      </c>
      <c r="N22" s="82"/>
      <c r="O22" s="157">
        <v>24.384</v>
      </c>
      <c r="P22" s="157">
        <v>28.956000000000003</v>
      </c>
      <c r="Q22" s="157">
        <v>33.528000000000006</v>
      </c>
      <c r="R22" s="82"/>
      <c r="S22" s="157">
        <v>12.446</v>
      </c>
      <c r="T22" s="157">
        <v>15.494</v>
      </c>
      <c r="U22" s="157">
        <v>18.542000000000002</v>
      </c>
      <c r="V22" s="82"/>
      <c r="W22" s="157">
        <v>16.510000000000002</v>
      </c>
      <c r="X22" s="157">
        <v>19.558</v>
      </c>
      <c r="Y22" s="157">
        <v>22.606000000000002</v>
      </c>
      <c r="Z22" s="157">
        <v>0</v>
      </c>
      <c r="AA22" s="86">
        <v>8.9001599999999996</v>
      </c>
      <c r="AB22" s="86">
        <v>10.383520000000001</v>
      </c>
      <c r="AC22" s="86">
        <v>11.86688</v>
      </c>
      <c r="AD22" s="86"/>
      <c r="AE22" s="157">
        <v>5.3339999999999996</v>
      </c>
      <c r="AF22" s="157">
        <v>6.35</v>
      </c>
      <c r="AG22" s="157">
        <v>7.3659999999999997</v>
      </c>
      <c r="AH22" s="211"/>
      <c r="AI22" s="167">
        <v>8.1280000000000001</v>
      </c>
      <c r="AJ22" s="167">
        <v>10.16</v>
      </c>
      <c r="AK22" s="167">
        <v>12.192</v>
      </c>
      <c r="AL22" s="271"/>
      <c r="AM22" s="167">
        <f>0-0.88*12.954</f>
        <v>-11.399520000000001</v>
      </c>
      <c r="AN22" s="167">
        <f>0-0.88*17.018</f>
        <v>-14.97584</v>
      </c>
      <c r="AO22" s="167">
        <f>0-0.88*21.082</f>
        <v>-18.552160000000001</v>
      </c>
      <c r="AP22" s="271"/>
      <c r="AQ22" s="167">
        <v>3.3019999999999996</v>
      </c>
      <c r="AR22" s="167">
        <v>6.35</v>
      </c>
      <c r="AS22" s="167">
        <v>9.3979999999999997</v>
      </c>
      <c r="AT22" s="271"/>
      <c r="AU22" s="167">
        <v>26.463999999999999</v>
      </c>
      <c r="AV22" s="167">
        <v>29.463999999999999</v>
      </c>
      <c r="AW22" s="167">
        <v>32.463999999999999</v>
      </c>
      <c r="AX22" s="271"/>
      <c r="AY22" s="167">
        <v>14.618</v>
      </c>
      <c r="AZ22" s="167">
        <v>17.018000000000001</v>
      </c>
      <c r="BA22" s="167">
        <v>19.417999999999999</v>
      </c>
      <c r="BB22" s="271"/>
      <c r="BC22" s="167">
        <v>15.426</v>
      </c>
      <c r="BD22" s="167">
        <v>17.526</v>
      </c>
      <c r="BE22" s="167">
        <v>19.625999999999998</v>
      </c>
      <c r="BF22" s="208"/>
      <c r="BG22" s="157"/>
      <c r="BH22" s="157"/>
      <c r="BI22" s="157"/>
      <c r="BJ22" s="213"/>
      <c r="BK22" s="157"/>
      <c r="BL22" s="157"/>
      <c r="BM22" s="157"/>
      <c r="BN22" s="213"/>
      <c r="BO22" s="157"/>
      <c r="BP22" s="157"/>
      <c r="BQ22" s="157"/>
      <c r="BR22" s="213"/>
      <c r="BS22" s="167"/>
      <c r="BT22" s="167"/>
      <c r="BU22" s="167"/>
      <c r="BV22" s="210"/>
      <c r="BW22" s="168"/>
      <c r="BX22" s="168"/>
      <c r="BY22" s="168"/>
      <c r="BZ22" s="210"/>
      <c r="CA22" s="169"/>
      <c r="CB22" s="169"/>
      <c r="CC22" s="169"/>
      <c r="CD22" s="210"/>
      <c r="CE22" s="170"/>
      <c r="CF22" s="170"/>
      <c r="CG22" s="170"/>
      <c r="CH22" s="210"/>
      <c r="CI22" s="82"/>
      <c r="CJ22" s="82"/>
      <c r="CK22" s="82"/>
      <c r="CL22" s="82"/>
      <c r="CM22" s="82"/>
      <c r="CN22" s="82"/>
      <c r="CO22" s="82"/>
      <c r="CP22" s="82"/>
      <c r="CQ22" s="82"/>
      <c r="CR22" s="82"/>
      <c r="CS22" s="82"/>
      <c r="CT22" s="82"/>
      <c r="CU22" s="82"/>
      <c r="CV22" s="82"/>
      <c r="CW22" s="82"/>
      <c r="CX22" s="82"/>
      <c r="CY22" s="82"/>
      <c r="CZ22" s="82"/>
      <c r="DA22" s="82"/>
      <c r="DB22" s="82"/>
    </row>
    <row r="23" spans="1:106">
      <c r="A23" s="184" t="s">
        <v>238</v>
      </c>
      <c r="B23" s="284"/>
      <c r="C23" s="167">
        <v>7.2574784000000001</v>
      </c>
      <c r="D23" s="167">
        <v>9.70687736</v>
      </c>
      <c r="E23" s="167">
        <v>12.15627632</v>
      </c>
      <c r="F23" s="171"/>
      <c r="G23" s="157">
        <v>67.563999999999993</v>
      </c>
      <c r="H23" s="157">
        <v>74.676000000000002</v>
      </c>
      <c r="I23" s="157">
        <v>81.787999999999997</v>
      </c>
      <c r="J23" s="157"/>
      <c r="K23" s="157">
        <v>43.433999999999997</v>
      </c>
      <c r="L23" s="157">
        <v>48.006</v>
      </c>
      <c r="M23" s="157">
        <v>52.578000000000003</v>
      </c>
      <c r="N23" s="82"/>
      <c r="O23" s="157">
        <v>26.161999999999999</v>
      </c>
      <c r="P23" s="157">
        <v>30.733999999999998</v>
      </c>
      <c r="Q23" s="157">
        <v>35.306000000000004</v>
      </c>
      <c r="R23" s="82"/>
      <c r="S23" s="157">
        <v>14.986000000000001</v>
      </c>
      <c r="T23" s="157">
        <v>17.018000000000001</v>
      </c>
      <c r="U23" s="157">
        <v>19.05</v>
      </c>
      <c r="V23" s="82"/>
      <c r="W23" s="157">
        <v>18.795999999999999</v>
      </c>
      <c r="X23" s="157">
        <v>21.335999999999999</v>
      </c>
      <c r="Y23" s="157">
        <v>23.876000000000001</v>
      </c>
      <c r="Z23" s="157">
        <v>0</v>
      </c>
      <c r="AA23" s="86">
        <v>9.4193359999999995</v>
      </c>
      <c r="AB23" s="86">
        <v>10.939780000000001</v>
      </c>
      <c r="AC23" s="86">
        <v>12.460224</v>
      </c>
      <c r="AD23" s="86"/>
      <c r="AE23" s="157">
        <v>5.8419999999999996</v>
      </c>
      <c r="AF23" s="157">
        <v>6.8579999999999997</v>
      </c>
      <c r="AG23" s="157">
        <v>7.8739999999999997</v>
      </c>
      <c r="AH23" s="211"/>
      <c r="AI23" s="167">
        <v>8.8899999999999988</v>
      </c>
      <c r="AJ23" s="167">
        <v>10.921999999999999</v>
      </c>
      <c r="AK23" s="167">
        <v>12.953999999999999</v>
      </c>
      <c r="AL23" s="271"/>
      <c r="AM23" s="167">
        <f>0-0.88*16.764</f>
        <v>-14.752319999999999</v>
      </c>
      <c r="AN23" s="167">
        <f>0-0.88*19.812</f>
        <v>-17.434560000000001</v>
      </c>
      <c r="AO23" s="167">
        <f>0-0.88*22.86</f>
        <v>-20.116800000000001</v>
      </c>
      <c r="AP23" s="271"/>
      <c r="AQ23" s="167">
        <v>3.8100000000000005</v>
      </c>
      <c r="AR23" s="167">
        <v>6.8580000000000005</v>
      </c>
      <c r="AS23" s="167">
        <v>9.9060000000000006</v>
      </c>
      <c r="AT23" s="271"/>
      <c r="AU23" s="167">
        <v>32.306000000000004</v>
      </c>
      <c r="AV23" s="167">
        <v>35.306000000000004</v>
      </c>
      <c r="AW23" s="167">
        <v>38.306000000000004</v>
      </c>
      <c r="AX23" s="271"/>
      <c r="AY23" s="167">
        <v>18.012</v>
      </c>
      <c r="AZ23" s="167">
        <v>19.812000000000001</v>
      </c>
      <c r="BA23" s="167">
        <v>21.612000000000002</v>
      </c>
      <c r="BB23" s="271"/>
      <c r="BC23" s="167">
        <v>18.82</v>
      </c>
      <c r="BD23" s="167">
        <v>20.32</v>
      </c>
      <c r="BE23" s="167">
        <v>21.82</v>
      </c>
      <c r="BF23" s="208"/>
      <c r="BG23" s="157"/>
      <c r="BH23" s="157"/>
      <c r="BI23" s="157"/>
      <c r="BJ23" s="213"/>
      <c r="BK23" s="157"/>
      <c r="BL23" s="157"/>
      <c r="BM23" s="157"/>
      <c r="BN23" s="213"/>
      <c r="BO23" s="157"/>
      <c r="BP23" s="157"/>
      <c r="BQ23" s="157"/>
      <c r="BR23" s="213"/>
      <c r="BS23" s="167"/>
      <c r="BT23" s="167"/>
      <c r="BU23" s="167"/>
      <c r="BV23" s="210"/>
      <c r="BW23" s="168"/>
      <c r="BX23" s="168"/>
      <c r="BY23" s="168"/>
      <c r="BZ23" s="210"/>
      <c r="CA23" s="169"/>
      <c r="CB23" s="169"/>
      <c r="CC23" s="169"/>
      <c r="CD23" s="210"/>
      <c r="CE23" s="170"/>
      <c r="CF23" s="170"/>
      <c r="CG23" s="170"/>
      <c r="CH23" s="210"/>
      <c r="CI23" s="82"/>
      <c r="CJ23" s="82"/>
      <c r="CK23" s="82"/>
      <c r="CL23" s="82"/>
      <c r="CM23" s="82"/>
      <c r="CN23" s="82"/>
      <c r="CO23" s="82"/>
      <c r="CP23" s="82"/>
      <c r="CQ23" s="82"/>
      <c r="CR23" s="82"/>
      <c r="CS23" s="82"/>
      <c r="CT23" s="82"/>
      <c r="CU23" s="82"/>
      <c r="CV23" s="82"/>
      <c r="CW23" s="82"/>
      <c r="CX23" s="82"/>
      <c r="CY23" s="82"/>
      <c r="CZ23" s="82"/>
      <c r="DA23" s="82"/>
      <c r="DB23" s="82"/>
    </row>
    <row r="24" spans="1:106">
      <c r="A24" s="184" t="s">
        <v>239</v>
      </c>
      <c r="B24" s="284"/>
      <c r="C24" s="167">
        <v>8.7543333200000006</v>
      </c>
      <c r="D24" s="167">
        <v>11.203732280000001</v>
      </c>
      <c r="E24" s="167">
        <v>13.65313124</v>
      </c>
      <c r="F24" s="171"/>
      <c r="G24" s="157">
        <v>74.168000000000006</v>
      </c>
      <c r="H24" s="157">
        <v>81.28</v>
      </c>
      <c r="I24" s="157">
        <v>88.391999999999996</v>
      </c>
      <c r="J24" s="157"/>
      <c r="K24" s="157">
        <v>45.973999999999997</v>
      </c>
      <c r="L24" s="157">
        <v>50.545999999999999</v>
      </c>
      <c r="M24" s="157">
        <v>55.118000000000002</v>
      </c>
      <c r="N24" s="82"/>
      <c r="O24" s="157">
        <v>27.432000000000002</v>
      </c>
      <c r="P24" s="157">
        <v>32.512</v>
      </c>
      <c r="Q24" s="157">
        <v>37.592000000000006</v>
      </c>
      <c r="R24" s="82"/>
      <c r="S24" s="157">
        <v>13.97</v>
      </c>
      <c r="T24" s="157">
        <v>17.018000000000001</v>
      </c>
      <c r="U24" s="157">
        <v>20.065999999999999</v>
      </c>
      <c r="V24" s="82"/>
      <c r="W24" s="157">
        <v>19.812000000000001</v>
      </c>
      <c r="X24" s="157">
        <v>22.352</v>
      </c>
      <c r="Y24" s="157">
        <v>24.891999999999999</v>
      </c>
      <c r="Z24" s="157">
        <v>0</v>
      </c>
      <c r="AA24" s="86">
        <v>9.4935039999999997</v>
      </c>
      <c r="AB24" s="86">
        <v>10.939780000000001</v>
      </c>
      <c r="AC24" s="86">
        <v>12.386055999999998</v>
      </c>
      <c r="AD24" s="86"/>
      <c r="AE24" s="157">
        <v>5.8419999999999996</v>
      </c>
      <c r="AF24" s="157">
        <v>6.8579999999999997</v>
      </c>
      <c r="AG24" s="157">
        <v>7.8739999999999997</v>
      </c>
      <c r="AH24" s="211"/>
      <c r="AI24" s="167">
        <v>9.3979999999999997</v>
      </c>
      <c r="AJ24" s="167">
        <v>11.43</v>
      </c>
      <c r="AK24" s="167">
        <v>13.462</v>
      </c>
      <c r="AL24" s="271"/>
      <c r="AM24" s="167">
        <f>0-0.88*18.034</f>
        <v>-15.869919999999999</v>
      </c>
      <c r="AN24" s="167">
        <f>0-0.88*22.098</f>
        <v>-19.44624</v>
      </c>
      <c r="AO24" s="167">
        <f>0-0.88*26.162</f>
        <v>-23.022559999999999</v>
      </c>
      <c r="AP24" s="271"/>
      <c r="AQ24" s="167">
        <v>4.8259999999999987</v>
      </c>
      <c r="AR24" s="167">
        <v>7.1119999999999992</v>
      </c>
      <c r="AS24" s="167">
        <v>9.3979999999999997</v>
      </c>
      <c r="AT24" s="271"/>
      <c r="AU24" s="167">
        <v>35.769999999999996</v>
      </c>
      <c r="AV24" s="167">
        <v>39.369999999999997</v>
      </c>
      <c r="AW24" s="167">
        <v>42.97</v>
      </c>
      <c r="AX24" s="271"/>
      <c r="AY24" s="167">
        <v>19.698</v>
      </c>
      <c r="AZ24" s="167">
        <v>22.097999999999999</v>
      </c>
      <c r="BA24" s="167">
        <v>24.497999999999998</v>
      </c>
      <c r="BB24" s="271"/>
      <c r="BC24" s="167">
        <v>20.552000000000003</v>
      </c>
      <c r="BD24" s="167">
        <v>22.352000000000004</v>
      </c>
      <c r="BE24" s="167">
        <v>24.152000000000005</v>
      </c>
      <c r="BF24" s="208"/>
      <c r="BG24" s="157"/>
      <c r="BH24" s="157"/>
      <c r="BI24" s="157"/>
      <c r="BJ24" s="213"/>
      <c r="BK24" s="157"/>
      <c r="BL24" s="157"/>
      <c r="BM24" s="157"/>
      <c r="BN24" s="213"/>
      <c r="BO24" s="157"/>
      <c r="BP24" s="157"/>
      <c r="BQ24" s="157"/>
      <c r="BR24" s="213"/>
      <c r="BS24" s="167"/>
      <c r="BT24" s="167"/>
      <c r="BU24" s="167"/>
      <c r="BV24" s="210"/>
      <c r="BW24" s="168"/>
      <c r="BX24" s="168"/>
      <c r="BY24" s="168"/>
      <c r="BZ24" s="210"/>
      <c r="CA24" s="169"/>
      <c r="CB24" s="169"/>
      <c r="CC24" s="169"/>
      <c r="CD24" s="210"/>
      <c r="CE24" s="170"/>
      <c r="CF24" s="170"/>
      <c r="CG24" s="170"/>
      <c r="CH24" s="210"/>
      <c r="CI24" s="82"/>
      <c r="CJ24" s="82"/>
      <c r="CK24" s="82"/>
      <c r="CL24" s="82"/>
      <c r="CM24" s="82"/>
      <c r="CN24" s="82"/>
      <c r="CO24" s="82"/>
      <c r="CP24" s="82"/>
      <c r="CQ24" s="82"/>
      <c r="CR24" s="82"/>
      <c r="CS24" s="82"/>
      <c r="CT24" s="82"/>
      <c r="CU24" s="82"/>
      <c r="CV24" s="82"/>
      <c r="CW24" s="82"/>
      <c r="CX24" s="82"/>
      <c r="CY24" s="82"/>
      <c r="CZ24" s="82"/>
      <c r="DA24" s="82"/>
      <c r="DB24" s="82"/>
    </row>
    <row r="25" spans="1:106">
      <c r="A25" s="184" t="s">
        <v>240</v>
      </c>
      <c r="B25" s="284"/>
      <c r="C25" s="167">
        <v>9.70687736</v>
      </c>
      <c r="D25" s="167">
        <v>12.337713279999999</v>
      </c>
      <c r="E25" s="167">
        <v>14.968549199999998</v>
      </c>
      <c r="F25" s="171"/>
      <c r="G25" s="157">
        <v>79.756</v>
      </c>
      <c r="H25" s="157">
        <v>86.36</v>
      </c>
      <c r="I25" s="157">
        <v>92.963999999999999</v>
      </c>
      <c r="J25" s="157"/>
      <c r="K25" s="157">
        <v>47.497999999999998</v>
      </c>
      <c r="L25" s="157">
        <v>51.561999999999998</v>
      </c>
      <c r="M25" s="157">
        <v>55.625999999999998</v>
      </c>
      <c r="N25" s="82"/>
      <c r="O25" s="157">
        <v>28.447999999999997</v>
      </c>
      <c r="P25" s="157">
        <v>32.003999999999998</v>
      </c>
      <c r="Q25" s="157">
        <v>35.56</v>
      </c>
      <c r="R25" s="82"/>
      <c r="S25" s="157">
        <v>15.494</v>
      </c>
      <c r="T25" s="157">
        <v>18.542000000000002</v>
      </c>
      <c r="U25" s="157">
        <v>21.59</v>
      </c>
      <c r="V25" s="82"/>
      <c r="W25" s="157">
        <v>20.827999999999999</v>
      </c>
      <c r="X25" s="157">
        <v>23.367999999999999</v>
      </c>
      <c r="Y25" s="157">
        <v>25.908000000000001</v>
      </c>
      <c r="Z25" s="157">
        <v>0</v>
      </c>
      <c r="AA25" s="86">
        <v>9.4193359999999995</v>
      </c>
      <c r="AB25" s="86">
        <v>10.939780000000001</v>
      </c>
      <c r="AC25" s="86">
        <v>12.460224</v>
      </c>
      <c r="AD25" s="86"/>
      <c r="AE25" s="157">
        <v>5.8419999999999996</v>
      </c>
      <c r="AF25" s="157">
        <v>6.8579999999999997</v>
      </c>
      <c r="AG25" s="157">
        <v>7.8739999999999997</v>
      </c>
      <c r="AH25" s="211"/>
      <c r="AI25" s="167">
        <v>9.6519999999999992</v>
      </c>
      <c r="AJ25" s="167">
        <v>11.683999999999999</v>
      </c>
      <c r="AK25" s="167">
        <v>13.715999999999999</v>
      </c>
      <c r="AL25" s="271"/>
      <c r="AM25" s="167">
        <f>0-0.88*20.828</f>
        <v>-18.32864</v>
      </c>
      <c r="AN25" s="167">
        <f>0-0.88*24.892</f>
        <v>-21.904959999999999</v>
      </c>
      <c r="AO25" s="167">
        <f>0-0.88*28.956</f>
        <v>-25.481279999999998</v>
      </c>
      <c r="AP25" s="271"/>
      <c r="AQ25" s="167">
        <v>4.5720000000000001</v>
      </c>
      <c r="AR25" s="167">
        <v>7.62</v>
      </c>
      <c r="AS25" s="167">
        <v>10.667999999999999</v>
      </c>
      <c r="AT25" s="271"/>
      <c r="AU25" s="167">
        <v>39.834000000000003</v>
      </c>
      <c r="AV25" s="167">
        <v>43.434000000000005</v>
      </c>
      <c r="AW25" s="167">
        <v>47.034000000000006</v>
      </c>
      <c r="AX25" s="271"/>
      <c r="AY25" s="167">
        <v>22.492000000000004</v>
      </c>
      <c r="AZ25" s="167">
        <v>24.892000000000003</v>
      </c>
      <c r="BA25" s="167">
        <v>27.292000000000002</v>
      </c>
      <c r="BB25" s="271"/>
      <c r="BC25" s="167">
        <v>22.584</v>
      </c>
      <c r="BD25" s="167">
        <v>24.384</v>
      </c>
      <c r="BE25" s="167">
        <v>26.184000000000001</v>
      </c>
      <c r="BF25" s="208"/>
      <c r="BG25" s="157"/>
      <c r="BH25" s="157"/>
      <c r="BI25" s="157"/>
      <c r="BJ25" s="213"/>
      <c r="BK25" s="157"/>
      <c r="BL25" s="157"/>
      <c r="BM25" s="157"/>
      <c r="BN25" s="213"/>
      <c r="BO25" s="157"/>
      <c r="BP25" s="157"/>
      <c r="BQ25" s="157"/>
      <c r="BR25" s="213"/>
      <c r="BS25" s="167"/>
      <c r="BT25" s="167"/>
      <c r="BU25" s="167"/>
      <c r="BV25" s="210"/>
      <c r="BW25" s="168"/>
      <c r="BX25" s="168"/>
      <c r="BY25" s="168"/>
      <c r="BZ25" s="210"/>
      <c r="CA25" s="169"/>
      <c r="CB25" s="169"/>
      <c r="CC25" s="169"/>
      <c r="CD25" s="210"/>
      <c r="CE25" s="170"/>
      <c r="CF25" s="170"/>
      <c r="CG25" s="170"/>
      <c r="CH25" s="210"/>
      <c r="CI25" s="82"/>
      <c r="CJ25" s="82"/>
      <c r="CK25" s="82"/>
      <c r="CL25" s="82"/>
      <c r="CM25" s="82"/>
      <c r="CN25" s="82"/>
      <c r="CO25" s="82"/>
      <c r="CP25" s="82"/>
      <c r="CQ25" s="82"/>
      <c r="CR25" s="82"/>
      <c r="CS25" s="82"/>
      <c r="CT25" s="82"/>
      <c r="CU25" s="82"/>
      <c r="CV25" s="82"/>
      <c r="CW25" s="82"/>
      <c r="CX25" s="82"/>
      <c r="CY25" s="82"/>
      <c r="CZ25" s="82"/>
      <c r="DA25" s="82"/>
      <c r="DB25" s="82"/>
    </row>
    <row r="26" spans="1:106">
      <c r="A26" s="184" t="s">
        <v>241</v>
      </c>
      <c r="B26" s="284"/>
      <c r="C26" s="167">
        <v>10.341906720000001</v>
      </c>
      <c r="D26" s="167">
        <v>13.426335040000001</v>
      </c>
      <c r="E26" s="167">
        <v>16.510763360000002</v>
      </c>
      <c r="F26" s="171"/>
      <c r="G26" s="157">
        <v>83.566000000000003</v>
      </c>
      <c r="H26" s="157">
        <v>91.186000000000007</v>
      </c>
      <c r="I26" s="157">
        <v>98.805999999999997</v>
      </c>
      <c r="J26" s="157"/>
      <c r="K26" s="157">
        <v>48.26</v>
      </c>
      <c r="L26" s="157">
        <v>53.34</v>
      </c>
      <c r="M26" s="157">
        <v>58.42</v>
      </c>
      <c r="N26" s="82"/>
      <c r="O26" s="157">
        <v>28.193999999999999</v>
      </c>
      <c r="P26" s="157">
        <v>32.765999999999998</v>
      </c>
      <c r="Q26" s="157">
        <v>37.338000000000001</v>
      </c>
      <c r="R26" s="82"/>
      <c r="S26" s="157">
        <v>16.256</v>
      </c>
      <c r="T26" s="157">
        <v>18.795999999999999</v>
      </c>
      <c r="U26" s="157">
        <v>21.335999999999999</v>
      </c>
      <c r="V26" s="82"/>
      <c r="W26" s="157">
        <v>21.59</v>
      </c>
      <c r="X26" s="157">
        <v>24.13</v>
      </c>
      <c r="Y26" s="157">
        <v>26.67</v>
      </c>
      <c r="Z26" s="157">
        <v>0</v>
      </c>
      <c r="AA26" s="86">
        <v>9.1968319999999988</v>
      </c>
      <c r="AB26" s="86">
        <v>10.939780000000001</v>
      </c>
      <c r="AC26" s="86">
        <v>12.682727999999999</v>
      </c>
      <c r="AD26" s="86"/>
      <c r="AE26" s="157">
        <v>6.0960000000000001</v>
      </c>
      <c r="AF26" s="157">
        <v>7.1120000000000001</v>
      </c>
      <c r="AG26" s="157">
        <v>8.1280000000000001</v>
      </c>
      <c r="AH26" s="211"/>
      <c r="AI26" s="167">
        <v>9.9060000000000006</v>
      </c>
      <c r="AJ26" s="167">
        <v>11.938000000000001</v>
      </c>
      <c r="AK26" s="167">
        <v>13.97</v>
      </c>
      <c r="AL26" s="271"/>
      <c r="AM26" s="167">
        <f>0-0.88*23.622</f>
        <v>-20.78736</v>
      </c>
      <c r="AN26" s="167">
        <f>0-0.88*27.178</f>
        <v>-23.916640000000001</v>
      </c>
      <c r="AO26" s="167">
        <f>0-0.88*30.734</f>
        <v>-27.045920000000002</v>
      </c>
      <c r="AP26" s="271"/>
      <c r="AQ26" s="167">
        <v>4.8260000000000005</v>
      </c>
      <c r="AR26" s="167">
        <v>7.8740000000000006</v>
      </c>
      <c r="AS26" s="167">
        <v>10.922000000000001</v>
      </c>
      <c r="AT26" s="271"/>
      <c r="AU26" s="167">
        <v>43.852000000000004</v>
      </c>
      <c r="AV26" s="167">
        <v>47.752000000000002</v>
      </c>
      <c r="AW26" s="167">
        <v>51.652000000000001</v>
      </c>
      <c r="AX26" s="271"/>
      <c r="AY26" s="167">
        <v>25.077999999999996</v>
      </c>
      <c r="AZ26" s="167">
        <v>27.177999999999997</v>
      </c>
      <c r="BA26" s="167">
        <v>29.277999999999999</v>
      </c>
      <c r="BB26" s="271"/>
      <c r="BC26" s="167">
        <v>24.616</v>
      </c>
      <c r="BD26" s="167">
        <v>26.416</v>
      </c>
      <c r="BE26" s="167">
        <v>28.216000000000001</v>
      </c>
      <c r="BF26" s="208"/>
      <c r="BG26" s="157"/>
      <c r="BH26" s="157"/>
      <c r="BI26" s="157"/>
      <c r="BJ26" s="213"/>
      <c r="BK26" s="157"/>
      <c r="BL26" s="157"/>
      <c r="BM26" s="157"/>
      <c r="BN26" s="213"/>
      <c r="BO26" s="157"/>
      <c r="BP26" s="157"/>
      <c r="BQ26" s="157"/>
      <c r="BR26" s="213"/>
      <c r="BS26" s="167"/>
      <c r="BT26" s="167"/>
      <c r="BU26" s="167"/>
      <c r="BV26" s="210"/>
      <c r="BW26" s="168"/>
      <c r="BX26" s="168"/>
      <c r="BY26" s="168"/>
      <c r="BZ26" s="210"/>
      <c r="CA26" s="169"/>
      <c r="CB26" s="169"/>
      <c r="CC26" s="169"/>
      <c r="CD26" s="210"/>
      <c r="CE26" s="170"/>
      <c r="CF26" s="170"/>
      <c r="CG26" s="170"/>
      <c r="CH26" s="210"/>
      <c r="CI26" s="82"/>
      <c r="CJ26" s="82"/>
      <c r="CK26" s="82"/>
      <c r="CL26" s="82"/>
      <c r="CM26" s="82"/>
      <c r="CN26" s="82"/>
      <c r="CO26" s="82"/>
      <c r="CP26" s="82"/>
      <c r="CQ26" s="82"/>
      <c r="CR26" s="82"/>
      <c r="CS26" s="82"/>
      <c r="CT26" s="82"/>
      <c r="CU26" s="82"/>
      <c r="CV26" s="82"/>
      <c r="CW26" s="82"/>
      <c r="CX26" s="82"/>
      <c r="CY26" s="82"/>
      <c r="CZ26" s="82"/>
      <c r="DA26" s="82"/>
      <c r="DB26" s="82"/>
    </row>
    <row r="27" spans="1:106">
      <c r="A27" s="184" t="s">
        <v>242</v>
      </c>
      <c r="B27" s="284"/>
      <c r="C27" s="167">
        <v>10.97693608</v>
      </c>
      <c r="D27" s="167">
        <v>14.5149568</v>
      </c>
      <c r="E27" s="167">
        <v>18.052977519999999</v>
      </c>
      <c r="F27" s="171"/>
      <c r="G27" s="157">
        <v>87.63</v>
      </c>
      <c r="H27" s="157">
        <v>95.25</v>
      </c>
      <c r="I27" s="157">
        <v>102.87</v>
      </c>
      <c r="J27" s="157"/>
      <c r="K27" s="157">
        <v>49.53</v>
      </c>
      <c r="L27" s="157">
        <v>54.61</v>
      </c>
      <c r="M27" s="157">
        <v>59.69</v>
      </c>
      <c r="N27" s="82"/>
      <c r="O27" s="157">
        <v>28.702000000000002</v>
      </c>
      <c r="P27" s="157">
        <v>32.765999999999998</v>
      </c>
      <c r="Q27" s="157">
        <v>36.83</v>
      </c>
      <c r="R27" s="82"/>
      <c r="S27" s="157">
        <v>16.763999999999999</v>
      </c>
      <c r="T27" s="157">
        <v>19.303999999999998</v>
      </c>
      <c r="U27" s="157">
        <v>21.844000000000001</v>
      </c>
      <c r="V27" s="82"/>
      <c r="W27" s="157">
        <v>21.59</v>
      </c>
      <c r="X27" s="157">
        <v>24.638000000000002</v>
      </c>
      <c r="Y27" s="157">
        <v>27.686</v>
      </c>
      <c r="Z27" s="157">
        <v>0</v>
      </c>
      <c r="AA27" s="86">
        <v>9.011412</v>
      </c>
      <c r="AB27" s="86">
        <v>11.31062</v>
      </c>
      <c r="AC27" s="86">
        <v>13.609827999999998</v>
      </c>
      <c r="AD27" s="86"/>
      <c r="AE27" s="157">
        <v>6.35</v>
      </c>
      <c r="AF27" s="157">
        <v>7.3659999999999997</v>
      </c>
      <c r="AG27" s="157">
        <v>8.3819999999999997</v>
      </c>
      <c r="AH27" s="211"/>
      <c r="AI27" s="167">
        <v>10.16</v>
      </c>
      <c r="AJ27" s="167">
        <v>12.192</v>
      </c>
      <c r="AK27" s="167">
        <v>14.224</v>
      </c>
      <c r="AL27" s="271"/>
      <c r="AM27" s="167">
        <f>0-0.88*24.892</f>
        <v>-21.904959999999999</v>
      </c>
      <c r="AN27" s="167">
        <f>0-0.88*28.448</f>
        <v>-25.03424</v>
      </c>
      <c r="AO27" s="167">
        <f>0-0.88*32.004</f>
        <v>-28.163519999999998</v>
      </c>
      <c r="AP27" s="271"/>
      <c r="AQ27" s="167">
        <v>3.8099999999999996</v>
      </c>
      <c r="AR27" s="167">
        <v>8.3819999999999997</v>
      </c>
      <c r="AS27" s="167">
        <v>12.954000000000001</v>
      </c>
      <c r="AT27" s="271"/>
      <c r="AU27" s="167">
        <v>47.246000000000002</v>
      </c>
      <c r="AV27" s="167">
        <v>50.545999999999999</v>
      </c>
      <c r="AW27" s="167">
        <v>53.845999999999997</v>
      </c>
      <c r="AX27" s="271"/>
      <c r="AY27" s="167">
        <v>26.347999999999999</v>
      </c>
      <c r="AZ27" s="167">
        <v>28.447999999999997</v>
      </c>
      <c r="BA27" s="167">
        <v>30.547999999999995</v>
      </c>
      <c r="BB27" s="271"/>
      <c r="BC27" s="167">
        <v>25.885999999999999</v>
      </c>
      <c r="BD27" s="167">
        <v>27.686</v>
      </c>
      <c r="BE27" s="167">
        <v>29.486000000000001</v>
      </c>
      <c r="BF27" s="208"/>
      <c r="BG27" s="157"/>
      <c r="BH27" s="157"/>
      <c r="BI27" s="157"/>
      <c r="BJ27" s="213"/>
      <c r="BK27" s="157"/>
      <c r="BL27" s="157"/>
      <c r="BM27" s="157"/>
      <c r="BN27" s="213"/>
      <c r="BO27" s="157"/>
      <c r="BP27" s="157"/>
      <c r="BQ27" s="157"/>
      <c r="BR27" s="213"/>
      <c r="BS27" s="167"/>
      <c r="BT27" s="167"/>
      <c r="BU27" s="167"/>
      <c r="BV27" s="210"/>
      <c r="BW27" s="168"/>
      <c r="BX27" s="168"/>
      <c r="BY27" s="168"/>
      <c r="BZ27" s="210"/>
      <c r="CA27" s="169"/>
      <c r="CB27" s="169"/>
      <c r="CC27" s="169"/>
      <c r="CD27" s="210"/>
      <c r="CE27" s="170"/>
      <c r="CF27" s="170"/>
      <c r="CG27" s="170"/>
      <c r="CH27" s="210"/>
      <c r="CI27" s="82"/>
      <c r="CJ27" s="82"/>
      <c r="CK27" s="82"/>
      <c r="CL27" s="82"/>
      <c r="CM27" s="82"/>
      <c r="CN27" s="82"/>
      <c r="CO27" s="82"/>
      <c r="CP27" s="82"/>
      <c r="CQ27" s="82"/>
      <c r="CR27" s="82"/>
      <c r="CS27" s="82"/>
      <c r="CT27" s="82"/>
      <c r="CU27" s="82"/>
      <c r="CV27" s="82"/>
      <c r="CW27" s="82"/>
      <c r="CX27" s="82"/>
      <c r="CY27" s="82"/>
      <c r="CZ27" s="82"/>
      <c r="DA27" s="82"/>
      <c r="DB27" s="82"/>
    </row>
    <row r="28" spans="1:106">
      <c r="A28" s="184" t="s">
        <v>243</v>
      </c>
      <c r="B28" s="284"/>
      <c r="C28" s="167">
        <v>11.70268392</v>
      </c>
      <c r="D28" s="167">
        <v>15.4221416</v>
      </c>
      <c r="E28" s="167">
        <v>19.141599280000001</v>
      </c>
      <c r="F28" s="171"/>
      <c r="G28" s="157">
        <v>90.932000000000002</v>
      </c>
      <c r="H28" s="157">
        <v>98.552000000000007</v>
      </c>
      <c r="I28" s="157">
        <v>106.172</v>
      </c>
      <c r="J28" s="157"/>
      <c r="K28" s="157">
        <v>52.07</v>
      </c>
      <c r="L28" s="157">
        <v>57.15</v>
      </c>
      <c r="M28" s="157">
        <v>62.23</v>
      </c>
      <c r="N28" s="82"/>
      <c r="O28" s="157">
        <v>30.225999999999996</v>
      </c>
      <c r="P28" s="157">
        <v>34.798000000000002</v>
      </c>
      <c r="Q28" s="157">
        <v>39.369999999999997</v>
      </c>
      <c r="R28" s="82"/>
      <c r="S28" s="157">
        <v>17.018000000000001</v>
      </c>
      <c r="T28" s="157">
        <v>19.558</v>
      </c>
      <c r="U28" s="157">
        <v>22.097999999999999</v>
      </c>
      <c r="V28" s="82"/>
      <c r="W28" s="157">
        <v>22.606000000000002</v>
      </c>
      <c r="X28" s="157">
        <v>25.146000000000001</v>
      </c>
      <c r="Y28" s="157">
        <v>27.686</v>
      </c>
      <c r="Z28" s="157">
        <v>0</v>
      </c>
      <c r="AA28" s="86">
        <v>9.4564199999999996</v>
      </c>
      <c r="AB28" s="86">
        <v>11.1252</v>
      </c>
      <c r="AC28" s="86">
        <v>12.793979999999999</v>
      </c>
      <c r="AD28" s="86"/>
      <c r="AE28" s="157">
        <v>6.35</v>
      </c>
      <c r="AF28" s="157">
        <v>7.3659999999999997</v>
      </c>
      <c r="AG28" s="157">
        <v>8.3819999999999997</v>
      </c>
      <c r="AH28" s="211"/>
      <c r="AI28" s="167">
        <v>10.414000000000001</v>
      </c>
      <c r="AJ28" s="167">
        <v>12.446000000000002</v>
      </c>
      <c r="AK28" s="167">
        <v>14.478000000000002</v>
      </c>
      <c r="AL28" s="271"/>
      <c r="AM28" s="167">
        <f>0-0.88*26.162</f>
        <v>-23.022559999999999</v>
      </c>
      <c r="AN28" s="167">
        <f>0-0.88*29.718</f>
        <v>-26.15184</v>
      </c>
      <c r="AO28" s="167">
        <f>0-0.88*33.274</f>
        <v>-29.281120000000001</v>
      </c>
      <c r="AP28" s="271"/>
      <c r="AQ28" s="167">
        <v>4.3179999999999996</v>
      </c>
      <c r="AR28" s="167">
        <v>8.1280000000000001</v>
      </c>
      <c r="AS28" s="167">
        <v>11.938000000000001</v>
      </c>
      <c r="AT28" s="271"/>
      <c r="AU28" s="167">
        <v>49.532000000000004</v>
      </c>
      <c r="AV28" s="167">
        <v>52.832000000000001</v>
      </c>
      <c r="AW28" s="167">
        <v>56.131999999999998</v>
      </c>
      <c r="AX28" s="271"/>
      <c r="AY28" s="167">
        <v>27.618000000000002</v>
      </c>
      <c r="AZ28" s="167">
        <v>29.718</v>
      </c>
      <c r="BA28" s="167">
        <v>31.817999999999998</v>
      </c>
      <c r="BB28" s="271"/>
      <c r="BC28" s="167">
        <v>27.156000000000002</v>
      </c>
      <c r="BD28" s="167">
        <v>28.956000000000003</v>
      </c>
      <c r="BE28" s="167">
        <v>30.756000000000004</v>
      </c>
      <c r="BF28" s="208"/>
      <c r="BG28" s="157"/>
      <c r="BH28" s="157"/>
      <c r="BI28" s="157"/>
      <c r="BJ28" s="213"/>
      <c r="BK28" s="157"/>
      <c r="BL28" s="157"/>
      <c r="BM28" s="157"/>
      <c r="BN28" s="213"/>
      <c r="BO28" s="157"/>
      <c r="BP28" s="157"/>
      <c r="BQ28" s="157"/>
      <c r="BR28" s="213"/>
      <c r="BS28" s="167"/>
      <c r="BT28" s="167"/>
      <c r="BU28" s="167"/>
      <c r="BV28" s="210"/>
      <c r="BW28" s="168"/>
      <c r="BX28" s="168"/>
      <c r="BY28" s="168"/>
      <c r="BZ28" s="210"/>
      <c r="CA28" s="169"/>
      <c r="CB28" s="169"/>
      <c r="CC28" s="169"/>
      <c r="CD28" s="210"/>
      <c r="CE28" s="170"/>
      <c r="CF28" s="170"/>
      <c r="CG28" s="170"/>
      <c r="CH28" s="210"/>
      <c r="CI28" s="82"/>
      <c r="CJ28" s="82"/>
      <c r="CK28" s="82"/>
      <c r="CL28" s="82"/>
      <c r="CM28" s="82"/>
      <c r="CN28" s="82"/>
      <c r="CO28" s="82"/>
      <c r="CP28" s="82"/>
      <c r="CQ28" s="82"/>
      <c r="CR28" s="82"/>
      <c r="CS28" s="82"/>
      <c r="CT28" s="82"/>
      <c r="CU28" s="82"/>
      <c r="CV28" s="82"/>
      <c r="CW28" s="82"/>
      <c r="CX28" s="82"/>
      <c r="CY28" s="82"/>
      <c r="CZ28" s="82"/>
      <c r="DA28" s="82"/>
      <c r="DB28" s="82"/>
    </row>
    <row r="29" spans="1:106">
      <c r="A29" s="184" t="s">
        <v>244</v>
      </c>
      <c r="B29" s="284"/>
      <c r="C29" s="167">
        <v>12.383072519999999</v>
      </c>
      <c r="D29" s="167">
        <v>16.374685639999999</v>
      </c>
      <c r="E29" s="167">
        <v>20.366298759999999</v>
      </c>
      <c r="F29" s="171"/>
      <c r="G29" s="157">
        <v>93.218000000000004</v>
      </c>
      <c r="H29" s="157">
        <v>102.36199999999999</v>
      </c>
      <c r="I29" s="157">
        <v>111.506</v>
      </c>
      <c r="J29" s="157"/>
      <c r="K29" s="157">
        <v>51.816000000000003</v>
      </c>
      <c r="L29" s="157">
        <v>57.404000000000003</v>
      </c>
      <c r="M29" s="157">
        <v>62.991999999999997</v>
      </c>
      <c r="N29" s="82"/>
      <c r="O29" s="157">
        <v>30.988</v>
      </c>
      <c r="P29" s="157">
        <v>35.56</v>
      </c>
      <c r="Q29" s="157">
        <v>40.132000000000005</v>
      </c>
      <c r="R29" s="82"/>
      <c r="S29" s="157">
        <v>17.526</v>
      </c>
      <c r="T29" s="157">
        <v>20.065999999999999</v>
      </c>
      <c r="U29" s="157">
        <v>22.606000000000002</v>
      </c>
      <c r="V29" s="82"/>
      <c r="W29" s="157">
        <v>22.606000000000002</v>
      </c>
      <c r="X29" s="157">
        <v>25.654</v>
      </c>
      <c r="Y29" s="157">
        <v>28.702000000000002</v>
      </c>
      <c r="Z29" s="157">
        <v>0</v>
      </c>
      <c r="AA29" s="86">
        <v>9.6047560000000001</v>
      </c>
      <c r="AB29" s="86">
        <v>11.496039999999999</v>
      </c>
      <c r="AC29" s="86">
        <v>13.387324</v>
      </c>
      <c r="AD29" s="86"/>
      <c r="AE29" s="157">
        <v>6.6040000000000001</v>
      </c>
      <c r="AF29" s="157">
        <v>7.62</v>
      </c>
      <c r="AG29" s="157">
        <v>8.6359999999999992</v>
      </c>
      <c r="AH29" s="211"/>
      <c r="AI29" s="167">
        <v>10.667999999999999</v>
      </c>
      <c r="AJ29" s="167">
        <v>12.7</v>
      </c>
      <c r="AK29" s="167">
        <v>14.731999999999999</v>
      </c>
      <c r="AL29" s="271"/>
      <c r="AM29" s="167">
        <f>0-0.88*27.178</f>
        <v>-23.916640000000001</v>
      </c>
      <c r="AN29" s="167">
        <f>0-0.88*31.242</f>
        <v>-27.49296</v>
      </c>
      <c r="AO29" s="167">
        <f>0-0.88*35.306</f>
        <v>-31.069279999999999</v>
      </c>
      <c r="AP29" s="271"/>
      <c r="AQ29" s="167">
        <v>5.3339999999999996</v>
      </c>
      <c r="AR29" s="167">
        <v>8.3819999999999997</v>
      </c>
      <c r="AS29" s="167">
        <v>11.43</v>
      </c>
      <c r="AT29" s="271"/>
      <c r="AU29" s="167">
        <v>51.518000000000001</v>
      </c>
      <c r="AV29" s="167">
        <v>55.118000000000002</v>
      </c>
      <c r="AW29" s="167">
        <v>58.718000000000004</v>
      </c>
      <c r="AX29" s="271"/>
      <c r="AY29" s="167">
        <v>28.841999999999999</v>
      </c>
      <c r="AZ29" s="167">
        <v>31.242000000000001</v>
      </c>
      <c r="BA29" s="167">
        <v>33.642000000000003</v>
      </c>
      <c r="BB29" s="271"/>
      <c r="BC29" s="167">
        <v>28.126000000000005</v>
      </c>
      <c r="BD29" s="167">
        <v>30.226000000000003</v>
      </c>
      <c r="BE29" s="167">
        <v>32.326000000000001</v>
      </c>
      <c r="BF29" s="208"/>
      <c r="BG29" s="157"/>
      <c r="BH29" s="157"/>
      <c r="BI29" s="157"/>
      <c r="BJ29" s="213"/>
      <c r="BK29" s="157"/>
      <c r="BL29" s="157"/>
      <c r="BM29" s="157"/>
      <c r="BN29" s="213"/>
      <c r="BO29" s="157"/>
      <c r="BP29" s="157"/>
      <c r="BQ29" s="157"/>
      <c r="BR29" s="213"/>
      <c r="BS29" s="167"/>
      <c r="BT29" s="167"/>
      <c r="BU29" s="167"/>
      <c r="BV29" s="210"/>
      <c r="BW29" s="168"/>
      <c r="BX29" s="168"/>
      <c r="BY29" s="168"/>
      <c r="BZ29" s="210"/>
      <c r="CA29" s="169"/>
      <c r="CB29" s="169"/>
      <c r="CC29" s="169"/>
      <c r="CD29" s="210"/>
      <c r="CE29" s="170"/>
      <c r="CF29" s="170"/>
      <c r="CG29" s="170"/>
      <c r="CH29" s="210"/>
      <c r="CI29" s="82"/>
      <c r="CJ29" s="82"/>
      <c r="CK29" s="82"/>
      <c r="CL29" s="82"/>
      <c r="CM29" s="82"/>
      <c r="CN29" s="82"/>
      <c r="CO29" s="82"/>
      <c r="CP29" s="82"/>
      <c r="CQ29" s="82"/>
      <c r="CR29" s="82"/>
      <c r="CS29" s="82"/>
      <c r="CT29" s="82"/>
      <c r="CU29" s="82"/>
      <c r="CV29" s="82"/>
      <c r="CW29" s="82"/>
      <c r="CX29" s="82"/>
      <c r="CY29" s="82"/>
      <c r="CZ29" s="82"/>
      <c r="DA29" s="82"/>
      <c r="DB29" s="82"/>
    </row>
    <row r="30" spans="1:106">
      <c r="A30" s="184" t="s">
        <v>245</v>
      </c>
      <c r="B30" s="284"/>
      <c r="C30" s="167">
        <v>13.244898080000002</v>
      </c>
      <c r="D30" s="167">
        <v>18.325132960000001</v>
      </c>
      <c r="E30" s="167">
        <v>23.40536784</v>
      </c>
      <c r="F30" s="171"/>
      <c r="G30" s="157">
        <v>98.298000000000002</v>
      </c>
      <c r="H30" s="157">
        <v>107.95</v>
      </c>
      <c r="I30" s="157">
        <v>117.602</v>
      </c>
      <c r="J30" s="157"/>
      <c r="K30" s="157">
        <v>54.356000000000002</v>
      </c>
      <c r="L30" s="157">
        <v>59.944000000000003</v>
      </c>
      <c r="M30" s="157">
        <v>65.531999999999996</v>
      </c>
      <c r="N30" s="82"/>
      <c r="O30" s="157">
        <v>32.765999999999998</v>
      </c>
      <c r="P30" s="157">
        <v>37.338000000000001</v>
      </c>
      <c r="Q30" s="157">
        <v>41.910000000000004</v>
      </c>
      <c r="R30" s="82"/>
      <c r="S30" s="157">
        <v>18.033999999999999</v>
      </c>
      <c r="T30" s="157">
        <v>20.574000000000002</v>
      </c>
      <c r="U30" s="157">
        <v>23.114000000000001</v>
      </c>
      <c r="V30" s="82"/>
      <c r="W30" s="157">
        <v>23.622</v>
      </c>
      <c r="X30" s="157">
        <v>26.67</v>
      </c>
      <c r="Y30" s="157">
        <v>29.718</v>
      </c>
      <c r="Z30" s="157">
        <v>0</v>
      </c>
      <c r="AA30" s="86">
        <v>0</v>
      </c>
      <c r="AB30" s="86">
        <v>0</v>
      </c>
      <c r="AC30" s="86">
        <v>0</v>
      </c>
      <c r="AD30" s="86"/>
      <c r="AE30" s="157">
        <v>6.0960000000000001</v>
      </c>
      <c r="AF30" s="157">
        <v>7.62</v>
      </c>
      <c r="AG30" s="157">
        <v>9.1440000000000001</v>
      </c>
      <c r="AH30" s="211"/>
      <c r="AI30" s="167">
        <v>10.921999999999999</v>
      </c>
      <c r="AJ30" s="167">
        <v>12.953999999999999</v>
      </c>
      <c r="AK30" s="167">
        <v>14.985999999999999</v>
      </c>
      <c r="AL30" s="271"/>
      <c r="AM30" s="167">
        <f>0-0.88*29.21</f>
        <v>-25.704800000000002</v>
      </c>
      <c r="AN30" s="167">
        <f>0-0.88*33.274</f>
        <v>-29.281120000000001</v>
      </c>
      <c r="AO30" s="167">
        <f>0-0.88*37.338</f>
        <v>-32.857440000000004</v>
      </c>
      <c r="AP30" s="271"/>
      <c r="AQ30" s="167">
        <v>5.8420000000000005</v>
      </c>
      <c r="AR30" s="167">
        <v>8.89</v>
      </c>
      <c r="AS30" s="167">
        <v>11.938000000000001</v>
      </c>
      <c r="AT30" s="271"/>
      <c r="AU30" s="167">
        <v>54.474000000000004</v>
      </c>
      <c r="AV30" s="167">
        <v>58.674000000000007</v>
      </c>
      <c r="AW30" s="167">
        <v>62.874000000000009</v>
      </c>
      <c r="AX30" s="271"/>
      <c r="AY30" s="167">
        <v>30.874000000000002</v>
      </c>
      <c r="AZ30" s="167">
        <v>33.274000000000001</v>
      </c>
      <c r="BA30" s="167">
        <v>35.673999999999999</v>
      </c>
      <c r="BB30" s="271"/>
      <c r="BC30" s="167">
        <v>30.157999999999994</v>
      </c>
      <c r="BD30" s="167">
        <v>32.257999999999996</v>
      </c>
      <c r="BE30" s="167">
        <v>34.357999999999997</v>
      </c>
      <c r="BF30" s="208"/>
      <c r="BG30" s="157"/>
      <c r="BH30" s="157"/>
      <c r="BI30" s="157"/>
      <c r="BJ30" s="213"/>
      <c r="BK30" s="157"/>
      <c r="BL30" s="157"/>
      <c r="BM30" s="157"/>
      <c r="BN30" s="213"/>
      <c r="BO30" s="157"/>
      <c r="BP30" s="157"/>
      <c r="BQ30" s="157"/>
      <c r="BR30" s="213"/>
      <c r="BS30" s="167"/>
      <c r="BT30" s="167"/>
      <c r="BU30" s="167"/>
      <c r="BV30" s="210"/>
      <c r="BW30" s="168"/>
      <c r="BX30" s="168"/>
      <c r="BY30" s="168"/>
      <c r="BZ30" s="210"/>
      <c r="CA30" s="169"/>
      <c r="CB30" s="169"/>
      <c r="CC30" s="169"/>
      <c r="CD30" s="210"/>
      <c r="CE30" s="170"/>
      <c r="CF30" s="170"/>
      <c r="CG30" s="170"/>
      <c r="CH30" s="210"/>
      <c r="CI30" s="82"/>
      <c r="CJ30" s="82"/>
      <c r="CK30" s="82"/>
      <c r="CL30" s="82"/>
      <c r="CM30" s="82"/>
      <c r="CN30" s="82"/>
      <c r="CO30" s="82"/>
      <c r="CP30" s="82"/>
      <c r="CQ30" s="82"/>
      <c r="CR30" s="82"/>
      <c r="CS30" s="82"/>
      <c r="CT30" s="82"/>
      <c r="CU30" s="82"/>
      <c r="CV30" s="82"/>
      <c r="CW30" s="82"/>
      <c r="CX30" s="82"/>
      <c r="CY30" s="82"/>
      <c r="CZ30" s="82"/>
      <c r="DA30" s="82"/>
      <c r="DB30" s="82"/>
    </row>
    <row r="31" spans="1:106">
      <c r="A31" s="184" t="s">
        <v>246</v>
      </c>
      <c r="B31" s="284"/>
      <c r="C31" s="167">
        <v>14.651034520000003</v>
      </c>
      <c r="D31" s="167">
        <v>20.457017240000003</v>
      </c>
      <c r="E31" s="167">
        <v>26.262999960000002</v>
      </c>
      <c r="F31" s="171"/>
      <c r="G31" s="157">
        <v>104.14</v>
      </c>
      <c r="H31" s="157">
        <v>114.3</v>
      </c>
      <c r="I31" s="157">
        <v>124.46</v>
      </c>
      <c r="J31" s="157"/>
      <c r="K31" s="157">
        <v>57.15</v>
      </c>
      <c r="L31" s="157">
        <v>62.738</v>
      </c>
      <c r="M31" s="157">
        <v>68.325999999999993</v>
      </c>
      <c r="N31" s="82"/>
      <c r="O31" s="157">
        <v>34.036000000000001</v>
      </c>
      <c r="P31" s="157">
        <v>39.116</v>
      </c>
      <c r="Q31" s="157">
        <v>44.195999999999998</v>
      </c>
      <c r="R31" s="82"/>
      <c r="S31" s="157">
        <v>18.542000000000002</v>
      </c>
      <c r="T31" s="157">
        <v>21.59</v>
      </c>
      <c r="U31" s="157">
        <v>24.638000000000002</v>
      </c>
      <c r="V31" s="82"/>
      <c r="W31" s="157">
        <v>24.384</v>
      </c>
      <c r="X31" s="157">
        <v>27.94</v>
      </c>
      <c r="Y31" s="157">
        <v>31.495999999999999</v>
      </c>
      <c r="Z31" s="157">
        <v>0</v>
      </c>
      <c r="AA31" s="86">
        <v>0</v>
      </c>
      <c r="AB31" s="86">
        <v>0</v>
      </c>
      <c r="AC31" s="86">
        <v>0</v>
      </c>
      <c r="AD31" s="86"/>
      <c r="AE31" s="157">
        <v>6.35</v>
      </c>
      <c r="AF31" s="157">
        <v>7.8739999999999997</v>
      </c>
      <c r="AG31" s="157">
        <v>9.3979999999999997</v>
      </c>
      <c r="AH31" s="211"/>
      <c r="AI31" s="167">
        <v>11.43</v>
      </c>
      <c r="AJ31" s="167">
        <v>13.462</v>
      </c>
      <c r="AK31" s="167">
        <v>15.494</v>
      </c>
      <c r="AL31" s="271"/>
      <c r="AM31" s="167">
        <f>0-0.88*31.242</f>
        <v>-27.49296</v>
      </c>
      <c r="AN31" s="167">
        <f>0-0.88*35.814</f>
        <v>-31.51632</v>
      </c>
      <c r="AO31" s="167">
        <f>0-0.88*40.386</f>
        <v>-35.539680000000004</v>
      </c>
      <c r="AP31" s="271"/>
      <c r="AQ31" s="167">
        <v>6.6039999999999992</v>
      </c>
      <c r="AR31" s="167">
        <v>9.6519999999999992</v>
      </c>
      <c r="AS31" s="167">
        <v>12.7</v>
      </c>
      <c r="AT31" s="271"/>
      <c r="AU31" s="167">
        <v>59.045999999999992</v>
      </c>
      <c r="AV31" s="167">
        <v>63.245999999999995</v>
      </c>
      <c r="AW31" s="167">
        <v>67.445999999999998</v>
      </c>
      <c r="AX31" s="271"/>
      <c r="AY31" s="167">
        <v>33.113999999999997</v>
      </c>
      <c r="AZ31" s="167">
        <v>35.814</v>
      </c>
      <c r="BA31" s="167">
        <v>38.514000000000003</v>
      </c>
      <c r="BB31" s="271"/>
      <c r="BC31" s="167">
        <v>32.143999999999998</v>
      </c>
      <c r="BD31" s="167">
        <v>34.543999999999997</v>
      </c>
      <c r="BE31" s="167">
        <v>36.943999999999996</v>
      </c>
      <c r="BF31" s="208"/>
      <c r="BG31" s="157"/>
      <c r="BH31" s="157"/>
      <c r="BI31" s="157"/>
      <c r="BJ31" s="213"/>
      <c r="BK31" s="157"/>
      <c r="BL31" s="157"/>
      <c r="BM31" s="157"/>
      <c r="BN31" s="213"/>
      <c r="BO31" s="157"/>
      <c r="BP31" s="157"/>
      <c r="BQ31" s="157"/>
      <c r="BR31" s="213"/>
      <c r="BS31" s="167"/>
      <c r="BT31" s="167"/>
      <c r="BU31" s="167"/>
      <c r="BV31" s="210"/>
      <c r="BW31" s="168"/>
      <c r="BX31" s="168"/>
      <c r="BY31" s="168"/>
      <c r="BZ31" s="210"/>
      <c r="CA31" s="169"/>
      <c r="CB31" s="169"/>
      <c r="CC31" s="169"/>
      <c r="CD31" s="210"/>
      <c r="CE31" s="170"/>
      <c r="CF31" s="170"/>
      <c r="CG31" s="170"/>
      <c r="CH31" s="210"/>
      <c r="CI31" s="82"/>
      <c r="CJ31" s="82"/>
      <c r="CK31" s="82"/>
      <c r="CL31" s="82"/>
      <c r="CM31" s="82"/>
      <c r="CN31" s="82"/>
      <c r="CO31" s="82"/>
      <c r="CP31" s="82"/>
      <c r="CQ31" s="82"/>
      <c r="CR31" s="82"/>
      <c r="CS31" s="82"/>
      <c r="CT31" s="82"/>
      <c r="CU31" s="82"/>
      <c r="CV31" s="82"/>
      <c r="CW31" s="82"/>
      <c r="CX31" s="82"/>
      <c r="CY31" s="82"/>
      <c r="CZ31" s="82"/>
      <c r="DA31" s="82"/>
      <c r="DB31" s="82"/>
    </row>
    <row r="32" spans="1:106">
      <c r="A32" s="184" t="s">
        <v>247</v>
      </c>
      <c r="B32" s="284"/>
      <c r="C32" s="167">
        <v>15.69429704</v>
      </c>
      <c r="D32" s="167">
        <v>23.223930880000001</v>
      </c>
      <c r="E32" s="167">
        <v>30.75356472</v>
      </c>
      <c r="F32" s="171"/>
      <c r="G32" s="157">
        <v>110.236</v>
      </c>
      <c r="H32" s="157">
        <v>120.904</v>
      </c>
      <c r="I32" s="157">
        <v>131.572</v>
      </c>
      <c r="J32" s="157"/>
      <c r="K32" s="157">
        <v>59.182000000000002</v>
      </c>
      <c r="L32" s="157">
        <v>65.278000000000006</v>
      </c>
      <c r="M32" s="157">
        <v>71.373999999999995</v>
      </c>
      <c r="N32" s="82"/>
      <c r="O32" s="157">
        <v>36.067999999999998</v>
      </c>
      <c r="P32" s="157">
        <v>41.147999999999996</v>
      </c>
      <c r="Q32" s="157">
        <v>46.228000000000002</v>
      </c>
      <c r="R32" s="82"/>
      <c r="S32" s="157">
        <v>18.542000000000002</v>
      </c>
      <c r="T32" s="157">
        <v>22.606000000000002</v>
      </c>
      <c r="U32" s="157">
        <v>26.67</v>
      </c>
      <c r="V32" s="82"/>
      <c r="W32" s="157">
        <v>25.146000000000001</v>
      </c>
      <c r="X32" s="157">
        <v>29.21</v>
      </c>
      <c r="Y32" s="157">
        <v>33.274000000000001</v>
      </c>
      <c r="Z32" s="157">
        <v>0</v>
      </c>
      <c r="AA32" s="86">
        <v>0</v>
      </c>
      <c r="AB32" s="86">
        <v>0</v>
      </c>
      <c r="AC32" s="86">
        <v>0</v>
      </c>
      <c r="AD32" s="86"/>
      <c r="AE32" s="157">
        <v>6.35</v>
      </c>
      <c r="AF32" s="157">
        <v>7.8739999999999997</v>
      </c>
      <c r="AG32" s="157">
        <v>9.3979999999999997</v>
      </c>
      <c r="AH32" s="211"/>
      <c r="AI32" s="167">
        <v>11.684000000000001</v>
      </c>
      <c r="AJ32" s="167">
        <v>13.716000000000001</v>
      </c>
      <c r="AK32" s="167">
        <v>15.748000000000001</v>
      </c>
      <c r="AL32" s="271"/>
      <c r="AM32" s="167">
        <f>0-0.88*34.036</f>
        <v>-29.95168</v>
      </c>
      <c r="AN32" s="167">
        <f>0-0.88*38.608</f>
        <v>-33.97504</v>
      </c>
      <c r="AO32" s="167">
        <f>0-0.88*43.18</f>
        <v>-37.998399999999997</v>
      </c>
      <c r="AP32" s="271"/>
      <c r="AQ32" s="167">
        <v>6.35</v>
      </c>
      <c r="AR32" s="167">
        <v>10.16</v>
      </c>
      <c r="AS32" s="167">
        <v>13.97</v>
      </c>
      <c r="AT32" s="271"/>
      <c r="AU32" s="167">
        <v>63.364000000000004</v>
      </c>
      <c r="AV32" s="167">
        <v>67.564000000000007</v>
      </c>
      <c r="AW32" s="167">
        <v>71.76400000000001</v>
      </c>
      <c r="AX32" s="271"/>
      <c r="AY32" s="167">
        <v>35.907999999999994</v>
      </c>
      <c r="AZ32" s="167">
        <v>38.607999999999997</v>
      </c>
      <c r="BA32" s="167">
        <v>41.308</v>
      </c>
      <c r="BB32" s="271"/>
      <c r="BC32" s="167">
        <v>34.43</v>
      </c>
      <c r="BD32" s="167">
        <v>36.83</v>
      </c>
      <c r="BE32" s="167">
        <v>39.229999999999997</v>
      </c>
      <c r="BF32" s="208"/>
      <c r="BG32" s="157"/>
      <c r="BH32" s="157"/>
      <c r="BI32" s="157"/>
      <c r="BJ32" s="213"/>
      <c r="BK32" s="157"/>
      <c r="BL32" s="157"/>
      <c r="BM32" s="157"/>
      <c r="BN32" s="213"/>
      <c r="BO32" s="157"/>
      <c r="BP32" s="157"/>
      <c r="BQ32" s="157"/>
      <c r="BR32" s="213"/>
      <c r="BS32" s="167"/>
      <c r="BT32" s="167"/>
      <c r="BU32" s="167"/>
      <c r="BV32" s="210"/>
      <c r="BW32" s="168"/>
      <c r="BX32" s="168"/>
      <c r="BY32" s="168"/>
      <c r="BZ32" s="210"/>
      <c r="CA32" s="169"/>
      <c r="CB32" s="169"/>
      <c r="CC32" s="169"/>
      <c r="CD32" s="210"/>
      <c r="CE32" s="170"/>
      <c r="CF32" s="170"/>
      <c r="CG32" s="170"/>
      <c r="CH32" s="210"/>
      <c r="CI32" s="82"/>
      <c r="CJ32" s="82"/>
      <c r="CK32" s="82"/>
      <c r="CL32" s="82"/>
      <c r="CM32" s="82"/>
      <c r="CN32" s="82"/>
      <c r="CO32" s="82"/>
      <c r="CP32" s="82"/>
      <c r="CQ32" s="82"/>
      <c r="CR32" s="82"/>
      <c r="CS32" s="82"/>
      <c r="CT32" s="82"/>
      <c r="CU32" s="82"/>
      <c r="CV32" s="82"/>
      <c r="CW32" s="82"/>
      <c r="CX32" s="82"/>
      <c r="CY32" s="82"/>
      <c r="CZ32" s="82"/>
      <c r="DA32" s="82"/>
      <c r="DB32" s="82"/>
    </row>
    <row r="33" spans="1:106">
      <c r="A33" s="184" t="s">
        <v>248</v>
      </c>
      <c r="B33" s="284"/>
      <c r="C33" s="167">
        <v>17.009715</v>
      </c>
      <c r="D33" s="167">
        <v>26.353718440000002</v>
      </c>
      <c r="E33" s="167">
        <v>35.697721880000003</v>
      </c>
      <c r="F33" s="171"/>
      <c r="G33" s="157">
        <v>115.316</v>
      </c>
      <c r="H33" s="157">
        <v>127</v>
      </c>
      <c r="I33" s="157">
        <v>138.684</v>
      </c>
      <c r="J33" s="157"/>
      <c r="K33" s="157">
        <v>62.23</v>
      </c>
      <c r="L33" s="157">
        <v>67.817999999999998</v>
      </c>
      <c r="M33" s="157">
        <v>73.406000000000006</v>
      </c>
      <c r="N33" s="82"/>
      <c r="O33" s="157">
        <v>38.557200000000002</v>
      </c>
      <c r="P33" s="157">
        <v>43.18</v>
      </c>
      <c r="Q33" s="157">
        <v>47.802800000000005</v>
      </c>
      <c r="R33" s="82"/>
      <c r="S33" s="157">
        <v>19.812000000000001</v>
      </c>
      <c r="T33" s="157">
        <v>23.876000000000001</v>
      </c>
      <c r="U33" s="157">
        <v>27.94</v>
      </c>
      <c r="V33" s="82"/>
      <c r="W33" s="157">
        <v>26.416</v>
      </c>
      <c r="X33" s="157">
        <v>30.48</v>
      </c>
      <c r="Y33" s="157">
        <v>34.543999999999997</v>
      </c>
      <c r="Z33" s="157">
        <v>0</v>
      </c>
      <c r="AA33" s="86">
        <v>0</v>
      </c>
      <c r="AB33" s="86">
        <v>0</v>
      </c>
      <c r="AC33" s="86">
        <v>0</v>
      </c>
      <c r="AD33" s="86"/>
      <c r="AE33" s="157">
        <v>6.8579999999999997</v>
      </c>
      <c r="AF33" s="157">
        <v>8.3819999999999997</v>
      </c>
      <c r="AG33" s="157">
        <v>9.9060000000000006</v>
      </c>
      <c r="AH33" s="211"/>
      <c r="AI33" s="167">
        <v>11.938000000000002</v>
      </c>
      <c r="AJ33" s="167">
        <v>14.478000000000002</v>
      </c>
      <c r="AK33" s="167">
        <v>17.018000000000001</v>
      </c>
      <c r="AL33" s="271"/>
      <c r="AM33" s="167">
        <f>0-0.88*35.814</f>
        <v>-31.51632</v>
      </c>
      <c r="AN33" s="167">
        <f>0-0.88*40.894</f>
        <v>-35.986719999999998</v>
      </c>
      <c r="AO33" s="167">
        <f>0-0.88*45.974</f>
        <v>-40.457119999999996</v>
      </c>
      <c r="AP33" s="271"/>
      <c r="AQ33" s="167">
        <v>7.1119999999999983</v>
      </c>
      <c r="AR33" s="167">
        <v>10.921999999999999</v>
      </c>
      <c r="AS33" s="167">
        <v>14.731999999999999</v>
      </c>
      <c r="AT33" s="271"/>
      <c r="AU33" s="167">
        <v>67.290000000000006</v>
      </c>
      <c r="AV33" s="167">
        <v>72.39</v>
      </c>
      <c r="AW33" s="167">
        <v>77.489999999999995</v>
      </c>
      <c r="AX33" s="271"/>
      <c r="AY33" s="167">
        <v>37.894000000000005</v>
      </c>
      <c r="AZ33" s="167">
        <v>40.894000000000005</v>
      </c>
      <c r="BA33" s="167">
        <v>43.894000000000005</v>
      </c>
      <c r="BB33" s="271"/>
      <c r="BC33" s="167">
        <v>36.669999999999995</v>
      </c>
      <c r="BD33" s="167">
        <v>39.369999999999997</v>
      </c>
      <c r="BE33" s="167">
        <v>42.07</v>
      </c>
      <c r="BF33" s="208"/>
      <c r="BG33" s="157"/>
      <c r="BH33" s="157"/>
      <c r="BI33" s="157"/>
      <c r="BJ33" s="213"/>
      <c r="BK33" s="157"/>
      <c r="BL33" s="157"/>
      <c r="BM33" s="157"/>
      <c r="BN33" s="213"/>
      <c r="BO33" s="157"/>
      <c r="BP33" s="157"/>
      <c r="BQ33" s="157"/>
      <c r="BR33" s="213"/>
      <c r="BS33" s="167"/>
      <c r="BT33" s="167"/>
      <c r="BU33" s="167"/>
      <c r="BV33" s="210"/>
      <c r="BW33" s="168"/>
      <c r="BX33" s="168"/>
      <c r="BY33" s="168"/>
      <c r="BZ33" s="210"/>
      <c r="CA33" s="169"/>
      <c r="CB33" s="169"/>
      <c r="CC33" s="169"/>
      <c r="CD33" s="210"/>
      <c r="CE33" s="170"/>
      <c r="CF33" s="170"/>
      <c r="CG33" s="170"/>
      <c r="CH33" s="210"/>
      <c r="CI33" s="82"/>
      <c r="CJ33" s="82"/>
      <c r="CK33" s="82"/>
      <c r="CL33" s="82"/>
      <c r="CM33" s="82"/>
      <c r="CN33" s="82"/>
      <c r="CO33" s="82"/>
      <c r="CP33" s="82"/>
      <c r="CQ33" s="82"/>
      <c r="CR33" s="82"/>
      <c r="CS33" s="82"/>
      <c r="CT33" s="82"/>
      <c r="CU33" s="82"/>
      <c r="CV33" s="82"/>
      <c r="CW33" s="82"/>
      <c r="CX33" s="82"/>
      <c r="CY33" s="82"/>
      <c r="CZ33" s="82"/>
      <c r="DA33" s="82"/>
      <c r="DB33" s="82"/>
    </row>
    <row r="34" spans="1:106">
      <c r="A34" s="184" t="s">
        <v>249</v>
      </c>
      <c r="B34" s="284"/>
      <c r="C34" s="167">
        <v>18.279773720000001</v>
      </c>
      <c r="D34" s="167">
        <v>29.438146760000002</v>
      </c>
      <c r="E34" s="167">
        <v>40.596519800000003</v>
      </c>
      <c r="F34" s="171"/>
      <c r="G34" s="157">
        <v>120.396</v>
      </c>
      <c r="H34" s="157">
        <v>132.58799999999999</v>
      </c>
      <c r="I34" s="157">
        <v>144.78</v>
      </c>
      <c r="J34" s="157"/>
      <c r="K34" s="157">
        <v>61.468000000000004</v>
      </c>
      <c r="L34" s="157">
        <v>67.563999999999993</v>
      </c>
      <c r="M34" s="157">
        <v>73.66</v>
      </c>
      <c r="N34" s="82"/>
      <c r="O34" s="157">
        <v>39.878</v>
      </c>
      <c r="P34" s="157">
        <v>44.957999999999998</v>
      </c>
      <c r="Q34" s="157">
        <v>50.037999999999997</v>
      </c>
      <c r="R34" s="82"/>
      <c r="S34" s="157">
        <v>20.32</v>
      </c>
      <c r="T34" s="157">
        <v>24.891999999999999</v>
      </c>
      <c r="U34" s="157">
        <v>29.463999999999999</v>
      </c>
      <c r="V34" s="82"/>
      <c r="W34" s="157">
        <v>27.178000000000001</v>
      </c>
      <c r="X34" s="157">
        <v>31.75</v>
      </c>
      <c r="Y34" s="157">
        <v>36.322000000000003</v>
      </c>
      <c r="Z34" s="157">
        <v>0</v>
      </c>
      <c r="AA34" s="86">
        <v>0</v>
      </c>
      <c r="AB34" s="86">
        <v>0</v>
      </c>
      <c r="AC34" s="86">
        <v>0</v>
      </c>
      <c r="AD34" s="86"/>
      <c r="AE34" s="157">
        <v>6.8579999999999997</v>
      </c>
      <c r="AF34" s="157">
        <v>8.3819999999999997</v>
      </c>
      <c r="AG34" s="157">
        <v>9.9060000000000006</v>
      </c>
      <c r="AH34" s="211"/>
      <c r="AI34" s="167">
        <v>11.683999999999999</v>
      </c>
      <c r="AJ34" s="167">
        <v>14.731999999999999</v>
      </c>
      <c r="AK34" s="167">
        <v>17.78</v>
      </c>
      <c r="AL34" s="271"/>
      <c r="AM34" s="167">
        <f>0-0.88*37.846</f>
        <v>-33.304479999999998</v>
      </c>
      <c r="AN34" s="167">
        <f>0-0.88*43.434</f>
        <v>-38.221919999999997</v>
      </c>
      <c r="AO34" s="167">
        <f>0-0.88*49.022</f>
        <v>-43.139359999999996</v>
      </c>
      <c r="AP34" s="271"/>
      <c r="AQ34" s="167">
        <v>7.6199999999999992</v>
      </c>
      <c r="AR34" s="167">
        <v>11.43</v>
      </c>
      <c r="AS34" s="167">
        <v>15.24</v>
      </c>
      <c r="AT34" s="271"/>
      <c r="AU34" s="167">
        <v>70.8</v>
      </c>
      <c r="AV34" s="167">
        <v>76.2</v>
      </c>
      <c r="AW34" s="167">
        <v>81.600000000000009</v>
      </c>
      <c r="AX34" s="271"/>
      <c r="AY34" s="167">
        <v>40.134000000000007</v>
      </c>
      <c r="AZ34" s="167">
        <v>43.434000000000005</v>
      </c>
      <c r="BA34" s="167">
        <v>46.734000000000002</v>
      </c>
      <c r="BB34" s="271"/>
      <c r="BC34" s="167">
        <v>38.402000000000001</v>
      </c>
      <c r="BD34" s="167">
        <v>41.402000000000001</v>
      </c>
      <c r="BE34" s="167">
        <v>44.402000000000001</v>
      </c>
      <c r="BF34" s="208"/>
      <c r="BG34" s="157"/>
      <c r="BH34" s="157"/>
      <c r="BI34" s="157"/>
      <c r="BJ34" s="213"/>
      <c r="BK34" s="157"/>
      <c r="BL34" s="157"/>
      <c r="BM34" s="157"/>
      <c r="BN34" s="213"/>
      <c r="BO34" s="157"/>
      <c r="BP34" s="157"/>
      <c r="BQ34" s="157"/>
      <c r="BR34" s="213"/>
      <c r="BS34" s="167"/>
      <c r="BT34" s="167"/>
      <c r="BU34" s="167"/>
      <c r="BV34" s="210"/>
      <c r="BW34" s="168"/>
      <c r="BX34" s="168"/>
      <c r="BY34" s="168"/>
      <c r="BZ34" s="210"/>
      <c r="CA34" s="169"/>
      <c r="CB34" s="169"/>
      <c r="CC34" s="169"/>
      <c r="CD34" s="210"/>
      <c r="CE34" s="170"/>
      <c r="CF34" s="170"/>
      <c r="CG34" s="170"/>
      <c r="CH34" s="210"/>
      <c r="CI34" s="82"/>
      <c r="CJ34" s="82"/>
      <c r="CK34" s="82"/>
      <c r="CL34" s="82"/>
      <c r="CM34" s="82"/>
      <c r="CN34" s="82"/>
      <c r="CO34" s="82"/>
      <c r="CP34" s="82"/>
      <c r="CQ34" s="82"/>
      <c r="CR34" s="82"/>
      <c r="CS34" s="82"/>
      <c r="CT34" s="82"/>
      <c r="CU34" s="82"/>
      <c r="CV34" s="82"/>
      <c r="CW34" s="82"/>
      <c r="CX34" s="82"/>
      <c r="CY34" s="82"/>
      <c r="CZ34" s="82"/>
      <c r="DA34" s="82"/>
      <c r="DB34" s="82"/>
    </row>
    <row r="35" spans="1:106">
      <c r="A35" s="184" t="s">
        <v>250</v>
      </c>
      <c r="B35" s="284"/>
      <c r="C35" s="167">
        <v>19.958065600000001</v>
      </c>
      <c r="D35" s="167">
        <v>32.38649736</v>
      </c>
      <c r="E35" s="167">
        <v>44.814929120000002</v>
      </c>
      <c r="F35" s="171"/>
      <c r="G35" s="157">
        <v>124.714</v>
      </c>
      <c r="H35" s="157">
        <v>137.41399999999999</v>
      </c>
      <c r="I35" s="157">
        <v>150.114</v>
      </c>
      <c r="J35" s="157"/>
      <c r="K35" s="157">
        <v>65.278000000000006</v>
      </c>
      <c r="L35" s="157">
        <v>71.882000000000005</v>
      </c>
      <c r="M35" s="157">
        <v>78.486000000000004</v>
      </c>
      <c r="N35" s="82"/>
      <c r="O35" s="157">
        <v>40.894000000000005</v>
      </c>
      <c r="P35" s="157">
        <v>46.481999999999999</v>
      </c>
      <c r="Q35" s="157">
        <v>52.07</v>
      </c>
      <c r="R35" s="82"/>
      <c r="S35" s="157">
        <v>20.827999999999999</v>
      </c>
      <c r="T35" s="157">
        <v>25.908000000000001</v>
      </c>
      <c r="U35" s="157">
        <v>30.988</v>
      </c>
      <c r="V35" s="82"/>
      <c r="W35" s="157">
        <v>27.94</v>
      </c>
      <c r="X35" s="157">
        <v>33.020000000000003</v>
      </c>
      <c r="Y35" s="157">
        <v>38.1</v>
      </c>
      <c r="Z35" s="157">
        <v>0</v>
      </c>
      <c r="AA35" s="86">
        <v>0</v>
      </c>
      <c r="AB35" s="86">
        <v>0</v>
      </c>
      <c r="AC35" s="86">
        <v>0</v>
      </c>
      <c r="AD35" s="86"/>
      <c r="AE35" s="157">
        <v>6.8579999999999997</v>
      </c>
      <c r="AF35" s="157">
        <v>8.3819999999999997</v>
      </c>
      <c r="AG35" s="157">
        <v>9.9060000000000006</v>
      </c>
      <c r="AH35" s="211"/>
      <c r="AI35" s="167">
        <v>12.192</v>
      </c>
      <c r="AJ35" s="167">
        <v>15.24</v>
      </c>
      <c r="AK35" s="167">
        <v>18.288</v>
      </c>
      <c r="AL35" s="271"/>
      <c r="AM35" s="167">
        <f>0-0.88*39.878</f>
        <v>-35.092640000000003</v>
      </c>
      <c r="AN35" s="167">
        <f>0-0.88*45.466</f>
        <v>-40.010080000000002</v>
      </c>
      <c r="AO35" s="167">
        <f>0-0.88*51.054</f>
        <v>-44.927520000000001</v>
      </c>
      <c r="AP35" s="271"/>
      <c r="AQ35" s="167">
        <v>7.3660000000000005</v>
      </c>
      <c r="AR35" s="167">
        <v>11.938000000000001</v>
      </c>
      <c r="AS35" s="167">
        <v>16.510000000000002</v>
      </c>
      <c r="AT35" s="271"/>
      <c r="AU35" s="167">
        <v>73.548000000000002</v>
      </c>
      <c r="AV35" s="167">
        <v>79.248000000000005</v>
      </c>
      <c r="AW35" s="167">
        <v>84.948000000000008</v>
      </c>
      <c r="AX35" s="271"/>
      <c r="AY35" s="167">
        <v>42.165999999999997</v>
      </c>
      <c r="AZ35" s="167">
        <v>45.465999999999994</v>
      </c>
      <c r="BA35" s="167">
        <v>48.765999999999991</v>
      </c>
      <c r="BB35" s="271"/>
      <c r="BC35" s="167">
        <v>40.18</v>
      </c>
      <c r="BD35" s="167">
        <v>43.18</v>
      </c>
      <c r="BE35" s="167">
        <v>46.18</v>
      </c>
      <c r="BF35" s="208"/>
      <c r="BG35" s="157"/>
      <c r="BH35" s="157"/>
      <c r="BI35" s="157"/>
      <c r="BJ35" s="213"/>
      <c r="BK35" s="157"/>
      <c r="BL35" s="157"/>
      <c r="BM35" s="157"/>
      <c r="BN35" s="213"/>
      <c r="BO35" s="157"/>
      <c r="BP35" s="157"/>
      <c r="BQ35" s="157"/>
      <c r="BR35" s="213"/>
      <c r="BS35" s="167"/>
      <c r="BT35" s="167"/>
      <c r="BU35" s="167"/>
      <c r="BV35" s="210"/>
      <c r="BW35" s="168"/>
      <c r="BX35" s="168"/>
      <c r="BY35" s="168"/>
      <c r="BZ35" s="210"/>
      <c r="CA35" s="169"/>
      <c r="CB35" s="169"/>
      <c r="CC35" s="169"/>
      <c r="CD35" s="210"/>
      <c r="CE35" s="170"/>
      <c r="CF35" s="170"/>
      <c r="CG35" s="170"/>
      <c r="CH35" s="210"/>
      <c r="CI35" s="82"/>
      <c r="CJ35" s="82"/>
      <c r="CK35" s="82"/>
      <c r="CL35" s="82"/>
      <c r="CM35" s="82"/>
      <c r="CN35" s="82"/>
      <c r="CO35" s="82"/>
      <c r="CP35" s="82"/>
      <c r="CQ35" s="82"/>
      <c r="CR35" s="82"/>
      <c r="CS35" s="82"/>
      <c r="CT35" s="82"/>
      <c r="CU35" s="82"/>
      <c r="CV35" s="82"/>
      <c r="CW35" s="82"/>
      <c r="CX35" s="82"/>
      <c r="CY35" s="82"/>
      <c r="CZ35" s="82"/>
      <c r="DA35" s="82"/>
      <c r="DB35" s="82"/>
    </row>
    <row r="36" spans="1:106">
      <c r="A36" s="82"/>
      <c r="B36" s="82"/>
      <c r="C36" s="171"/>
      <c r="D36" s="171"/>
      <c r="E36" s="171"/>
      <c r="F36" s="171"/>
      <c r="G36" s="157"/>
      <c r="H36" s="157"/>
      <c r="I36" s="157"/>
      <c r="J36" s="157"/>
      <c r="K36" s="157"/>
      <c r="L36" s="157"/>
      <c r="M36" s="157"/>
      <c r="N36" s="82"/>
      <c r="O36" s="157"/>
      <c r="P36" s="157"/>
      <c r="Q36" s="157"/>
      <c r="R36" s="82"/>
      <c r="S36" s="157"/>
      <c r="T36" s="157"/>
      <c r="U36" s="157"/>
      <c r="V36" s="82"/>
      <c r="W36" s="157"/>
      <c r="X36" s="157"/>
      <c r="Y36" s="157"/>
      <c r="Z36" s="157"/>
      <c r="AA36" s="86"/>
      <c r="AB36" s="86"/>
      <c r="AC36" s="86"/>
      <c r="AD36" s="86"/>
      <c r="AE36" s="157"/>
      <c r="AF36" s="157"/>
      <c r="AG36" s="157"/>
      <c r="AH36" s="211"/>
      <c r="AI36" s="86"/>
      <c r="AJ36" s="86"/>
      <c r="AK36" s="86"/>
      <c r="AL36" s="211"/>
      <c r="AM36" s="86"/>
      <c r="AN36" s="86"/>
      <c r="AO36" s="86"/>
      <c r="AP36" s="211"/>
      <c r="AQ36" s="86"/>
      <c r="AR36" s="86"/>
      <c r="AS36" s="86"/>
      <c r="AT36" s="211"/>
      <c r="AU36" s="86"/>
      <c r="AV36" s="86"/>
      <c r="AW36" s="86"/>
      <c r="AX36" s="211"/>
      <c r="AY36" s="86"/>
      <c r="AZ36" s="86"/>
      <c r="BA36" s="86"/>
      <c r="BB36" s="211"/>
      <c r="BC36" s="86"/>
      <c r="BD36" s="86"/>
      <c r="BE36" s="86"/>
      <c r="BF36" s="208"/>
      <c r="BG36" s="157"/>
      <c r="BH36" s="157"/>
      <c r="BI36" s="157"/>
      <c r="BJ36" s="213"/>
      <c r="BK36" s="157"/>
      <c r="BL36" s="157"/>
      <c r="BM36" s="157"/>
      <c r="BN36" s="213"/>
      <c r="BO36" s="157"/>
      <c r="BP36" s="157"/>
      <c r="BQ36" s="157"/>
      <c r="BR36" s="213"/>
      <c r="BS36" s="167"/>
      <c r="BT36" s="167"/>
      <c r="BU36" s="167"/>
      <c r="BV36" s="210"/>
      <c r="BW36" s="168"/>
      <c r="BX36" s="168"/>
      <c r="BY36" s="168"/>
      <c r="BZ36" s="210"/>
      <c r="CA36" s="169"/>
      <c r="CB36" s="169"/>
      <c r="CC36" s="169"/>
      <c r="CD36" s="210"/>
      <c r="CE36" s="170"/>
      <c r="CF36" s="170"/>
      <c r="CG36" s="170"/>
      <c r="CH36" s="210"/>
      <c r="CI36" s="82"/>
      <c r="CJ36" s="82"/>
      <c r="CK36" s="82"/>
      <c r="CL36" s="82"/>
      <c r="CM36" s="82"/>
      <c r="CN36" s="82"/>
      <c r="CO36" s="82"/>
      <c r="CP36" s="82"/>
      <c r="CQ36" s="82"/>
      <c r="CR36" s="82"/>
      <c r="CS36" s="82"/>
      <c r="CT36" s="82"/>
      <c r="CU36" s="82"/>
      <c r="CV36" s="82"/>
      <c r="CW36" s="82"/>
      <c r="CX36" s="82"/>
      <c r="CY36" s="82"/>
      <c r="CZ36" s="82"/>
      <c r="DA36" s="82"/>
      <c r="DB36" s="82"/>
    </row>
    <row r="37" spans="1:106">
      <c r="A37" s="82"/>
      <c r="B37" s="82"/>
      <c r="C37" s="171"/>
      <c r="D37" s="171"/>
      <c r="E37" s="171"/>
      <c r="F37" s="171"/>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206"/>
      <c r="AI37" s="82"/>
      <c r="AJ37" s="82"/>
      <c r="AK37" s="82"/>
      <c r="AL37" s="206"/>
      <c r="AM37" s="82"/>
      <c r="AN37" s="82"/>
      <c r="AO37" s="82"/>
      <c r="AP37" s="206"/>
      <c r="AQ37" s="82"/>
      <c r="AR37" s="82"/>
      <c r="AS37" s="82"/>
      <c r="AT37" s="206"/>
      <c r="AU37" s="82"/>
      <c r="AV37" s="82"/>
      <c r="AW37" s="82"/>
      <c r="AX37" s="206"/>
      <c r="AY37" s="82"/>
      <c r="AZ37" s="82"/>
      <c r="BA37" s="82"/>
      <c r="BB37" s="206"/>
      <c r="BC37" s="82"/>
      <c r="BD37" s="82"/>
      <c r="BE37" s="82"/>
      <c r="BF37" s="209"/>
      <c r="BG37" s="82"/>
      <c r="BH37" s="82"/>
      <c r="BI37" s="82"/>
      <c r="BJ37" s="210"/>
      <c r="BK37" s="82"/>
      <c r="BL37" s="82"/>
      <c r="BM37" s="82"/>
      <c r="BN37" s="210"/>
      <c r="BO37" s="82"/>
      <c r="BP37" s="82"/>
      <c r="BQ37" s="82"/>
      <c r="BR37" s="210"/>
      <c r="BS37" s="82"/>
      <c r="BT37" s="82"/>
      <c r="BU37" s="82"/>
      <c r="BV37" s="210"/>
      <c r="BW37" s="82"/>
      <c r="BX37" s="82"/>
      <c r="BY37" s="82"/>
      <c r="BZ37" s="210"/>
      <c r="CA37" s="82"/>
      <c r="CB37" s="82"/>
      <c r="CC37" s="82"/>
      <c r="CD37" s="210"/>
      <c r="CE37" s="82"/>
      <c r="CF37" s="82"/>
      <c r="CG37" s="82"/>
      <c r="CH37" s="210"/>
      <c r="CI37" s="82"/>
      <c r="CJ37" s="82"/>
      <c r="CK37" s="82"/>
      <c r="CL37" s="82"/>
      <c r="CM37" s="82"/>
      <c r="CN37" s="82"/>
      <c r="CO37" s="82"/>
      <c r="CP37" s="82"/>
      <c r="CQ37" s="82"/>
      <c r="CR37" s="82"/>
      <c r="CS37" s="82"/>
      <c r="CT37" s="82"/>
      <c r="CU37" s="82"/>
      <c r="CV37" s="82"/>
      <c r="CW37" s="82"/>
      <c r="CX37" s="82"/>
      <c r="CY37" s="82"/>
      <c r="CZ37" s="82"/>
      <c r="DA37" s="82"/>
      <c r="DB37" s="82"/>
    </row>
    <row r="38" spans="1:106">
      <c r="A38" s="82"/>
      <c r="B38" s="82"/>
      <c r="C38" s="171"/>
      <c r="D38" s="171"/>
      <c r="E38" s="171"/>
      <c r="F38" s="171"/>
      <c r="G38" s="82"/>
      <c r="H38" s="82"/>
      <c r="I38" s="82"/>
      <c r="J38" s="82"/>
      <c r="K38" s="82"/>
      <c r="L38" s="82"/>
      <c r="M38" s="184" t="s">
        <v>236</v>
      </c>
      <c r="N38" s="82"/>
      <c r="O38" s="82">
        <v>24.790400000000002</v>
      </c>
      <c r="P38" s="82">
        <v>25.146000000000001</v>
      </c>
      <c r="Q38" s="82">
        <v>25.5016</v>
      </c>
      <c r="R38" s="82"/>
      <c r="S38" s="82"/>
      <c r="T38" s="82"/>
      <c r="U38" s="82"/>
      <c r="V38" s="82"/>
      <c r="W38" s="82"/>
      <c r="X38" s="82"/>
      <c r="Y38" s="82"/>
      <c r="Z38" s="82"/>
      <c r="AA38" s="82"/>
      <c r="AB38" s="82"/>
      <c r="AC38" s="82"/>
      <c r="AD38" s="82"/>
      <c r="AE38" s="82"/>
      <c r="AF38" s="82"/>
      <c r="AG38" s="82"/>
      <c r="AH38" s="206"/>
      <c r="AI38" s="82"/>
      <c r="AJ38" s="82"/>
      <c r="AK38" s="82"/>
      <c r="AL38" s="206"/>
      <c r="AM38" s="82"/>
      <c r="AN38" s="82"/>
      <c r="AO38" s="82"/>
      <c r="AP38" s="206"/>
      <c r="AQ38" s="82"/>
      <c r="AR38" s="82"/>
      <c r="AS38" s="82"/>
      <c r="AT38" s="206"/>
      <c r="AU38" s="82"/>
      <c r="AV38" s="82"/>
      <c r="AW38" s="82"/>
      <c r="AX38" s="206"/>
      <c r="AY38" s="82"/>
      <c r="AZ38" s="82"/>
      <c r="BA38" s="82"/>
      <c r="BB38" s="206"/>
      <c r="BC38" s="82"/>
      <c r="BD38" s="82"/>
      <c r="BE38" s="82"/>
      <c r="BF38" s="209"/>
      <c r="BG38" s="82"/>
      <c r="BH38" s="82"/>
      <c r="BI38" s="82"/>
      <c r="BJ38" s="210"/>
      <c r="BK38" s="82"/>
      <c r="BL38" s="82"/>
      <c r="BM38" s="82"/>
      <c r="BN38" s="210"/>
      <c r="BO38" s="82"/>
      <c r="BP38" s="82"/>
      <c r="BQ38" s="82"/>
      <c r="BR38" s="210"/>
      <c r="BS38" s="82"/>
      <c r="BT38" s="82"/>
      <c r="BU38" s="82"/>
      <c r="BV38" s="210"/>
      <c r="BW38" s="82"/>
      <c r="BX38" s="82"/>
      <c r="BY38" s="82"/>
      <c r="BZ38" s="210"/>
      <c r="CA38" s="82"/>
      <c r="CB38" s="82"/>
      <c r="CC38" s="82"/>
      <c r="CD38" s="210"/>
      <c r="CE38" s="82"/>
      <c r="CF38" s="82"/>
      <c r="CG38" s="82"/>
      <c r="CH38" s="210"/>
      <c r="CI38" s="82"/>
      <c r="CJ38" s="82"/>
      <c r="CK38" s="82"/>
      <c r="CL38" s="82"/>
      <c r="CM38" s="82"/>
      <c r="CN38" s="82"/>
      <c r="CO38" s="82"/>
      <c r="CP38" s="82"/>
      <c r="CQ38" s="82"/>
      <c r="CR38" s="82"/>
      <c r="CS38" s="82"/>
      <c r="CT38" s="82"/>
      <c r="CU38" s="82"/>
      <c r="CV38" s="82"/>
      <c r="CW38" s="82"/>
      <c r="CX38" s="82"/>
      <c r="CY38" s="82"/>
      <c r="CZ38" s="82"/>
      <c r="DA38" s="82"/>
      <c r="DB38" s="82"/>
    </row>
    <row r="39" spans="1:106">
      <c r="A39" s="82"/>
      <c r="B39" s="82"/>
      <c r="C39" s="171"/>
      <c r="D39" s="171"/>
      <c r="E39" s="171"/>
      <c r="F39" s="171"/>
      <c r="G39" s="82"/>
      <c r="H39" s="82"/>
      <c r="I39" s="82"/>
      <c r="J39" s="82"/>
      <c r="K39" s="82"/>
      <c r="L39" s="82"/>
      <c r="M39" s="184" t="s">
        <v>237</v>
      </c>
      <c r="N39" s="82"/>
      <c r="O39" s="82">
        <v>24.384000000000004</v>
      </c>
      <c r="P39" s="82">
        <v>28.956000000000003</v>
      </c>
      <c r="Q39" s="82">
        <v>33.528000000000006</v>
      </c>
      <c r="R39" s="82"/>
      <c r="S39" s="82"/>
      <c r="T39" s="82"/>
      <c r="U39" s="82"/>
      <c r="V39" s="82"/>
      <c r="W39" s="82"/>
      <c r="X39" s="82"/>
      <c r="Y39" s="82"/>
      <c r="Z39" s="82"/>
      <c r="AA39" s="82"/>
      <c r="AB39" s="82"/>
      <c r="AC39" s="82"/>
      <c r="AD39" s="82"/>
      <c r="AE39" s="82"/>
      <c r="AF39" s="82"/>
      <c r="AG39" s="82"/>
      <c r="AH39" s="206"/>
      <c r="AI39" s="82"/>
      <c r="AJ39" s="82"/>
      <c r="AK39" s="82"/>
      <c r="AL39" s="206"/>
      <c r="AM39" s="82"/>
      <c r="AN39" s="82"/>
      <c r="AO39" s="82"/>
      <c r="AP39" s="206"/>
      <c r="AQ39" s="82"/>
      <c r="AR39" s="82"/>
      <c r="AS39" s="82"/>
      <c r="AT39" s="206"/>
      <c r="AU39" s="82"/>
      <c r="AV39" s="82"/>
      <c r="AW39" s="82"/>
      <c r="AX39" s="206"/>
      <c r="AY39" s="82"/>
      <c r="AZ39" s="82"/>
      <c r="BA39" s="82"/>
      <c r="BB39" s="206"/>
      <c r="BC39" s="82"/>
      <c r="BD39" s="82"/>
      <c r="BE39" s="82"/>
      <c r="BF39" s="209"/>
      <c r="BG39" s="82"/>
      <c r="BH39" s="82"/>
      <c r="BI39" s="82"/>
      <c r="BJ39" s="210"/>
      <c r="BK39" s="82"/>
      <c r="BL39" s="82"/>
      <c r="BM39" s="82"/>
      <c r="BN39" s="210"/>
      <c r="BO39" s="82"/>
      <c r="BP39" s="82"/>
      <c r="BQ39" s="82"/>
      <c r="BR39" s="210"/>
      <c r="BS39" s="82"/>
      <c r="BT39" s="82"/>
      <c r="BU39" s="82"/>
      <c r="BV39" s="210"/>
      <c r="BW39" s="82"/>
      <c r="BX39" s="82"/>
      <c r="BY39" s="82"/>
      <c r="BZ39" s="210"/>
      <c r="CA39" s="82"/>
      <c r="CB39" s="82"/>
      <c r="CC39" s="82"/>
      <c r="CD39" s="210"/>
      <c r="CE39" s="82"/>
      <c r="CF39" s="82"/>
      <c r="CG39" s="82"/>
      <c r="CH39" s="210"/>
      <c r="CI39" s="82"/>
      <c r="CJ39" s="82"/>
      <c r="CK39" s="82"/>
      <c r="CL39" s="82"/>
      <c r="CM39" s="82"/>
      <c r="CN39" s="82"/>
      <c r="CO39" s="82"/>
      <c r="CP39" s="82"/>
      <c r="CQ39" s="82"/>
      <c r="CR39" s="82"/>
      <c r="CS39" s="82"/>
      <c r="CT39" s="82"/>
      <c r="CU39" s="82"/>
      <c r="CV39" s="82"/>
      <c r="CW39" s="82"/>
      <c r="CX39" s="82"/>
      <c r="CY39" s="82"/>
      <c r="CZ39" s="82"/>
      <c r="DA39" s="82"/>
      <c r="DB39" s="82"/>
    </row>
    <row r="40" spans="1:106">
      <c r="A40" s="82"/>
      <c r="B40" s="82"/>
      <c r="C40" s="171"/>
      <c r="D40" s="171"/>
      <c r="E40" s="171"/>
      <c r="F40" s="171"/>
      <c r="G40" s="82"/>
      <c r="H40" s="82"/>
      <c r="I40" s="82"/>
      <c r="J40" s="82"/>
      <c r="K40" s="82"/>
      <c r="L40" s="82"/>
      <c r="M40" s="184" t="s">
        <v>238</v>
      </c>
      <c r="N40" s="82"/>
      <c r="O40" s="82">
        <v>26.161999999999999</v>
      </c>
      <c r="P40" s="82">
        <v>30.733999999999998</v>
      </c>
      <c r="Q40" s="82">
        <v>35.305999999999997</v>
      </c>
      <c r="R40" s="82"/>
      <c r="S40" s="82"/>
      <c r="T40" s="82"/>
      <c r="U40" s="82"/>
      <c r="V40" s="82"/>
      <c r="W40" s="82"/>
      <c r="X40" s="82"/>
      <c r="Y40" s="82"/>
      <c r="Z40" s="82"/>
      <c r="AA40" s="82"/>
      <c r="AB40" s="82"/>
      <c r="AC40" s="82"/>
      <c r="AD40" s="82"/>
      <c r="AE40" s="82"/>
      <c r="AF40" s="82"/>
      <c r="AG40" s="82"/>
      <c r="AH40" s="206"/>
      <c r="AI40" s="82"/>
      <c r="AJ40" s="82"/>
      <c r="AK40" s="82"/>
      <c r="AL40" s="206"/>
      <c r="AM40" s="82"/>
      <c r="AN40" s="82"/>
      <c r="AO40" s="82"/>
      <c r="AP40" s="206"/>
      <c r="AQ40" s="82"/>
      <c r="AR40" s="82"/>
      <c r="AS40" s="82"/>
      <c r="AT40" s="206"/>
      <c r="AU40" s="82"/>
      <c r="AV40" s="82"/>
      <c r="AW40" s="82"/>
      <c r="AX40" s="206"/>
      <c r="AY40" s="82"/>
      <c r="AZ40" s="82"/>
      <c r="BA40" s="82"/>
      <c r="BB40" s="206"/>
      <c r="BC40" s="82"/>
      <c r="BD40" s="82"/>
      <c r="BE40" s="82"/>
      <c r="BF40" s="209"/>
      <c r="BG40" s="82"/>
      <c r="BH40" s="82"/>
      <c r="BI40" s="82"/>
      <c r="BJ40" s="210"/>
      <c r="BK40" s="82"/>
      <c r="BL40" s="82"/>
      <c r="BM40" s="82"/>
      <c r="BN40" s="210"/>
      <c r="BO40" s="82"/>
      <c r="BP40" s="82"/>
      <c r="BQ40" s="82"/>
      <c r="BR40" s="210"/>
      <c r="BS40" s="82"/>
      <c r="BT40" s="82"/>
      <c r="BU40" s="82"/>
      <c r="BV40" s="210"/>
      <c r="BW40" s="82"/>
      <c r="BX40" s="82"/>
      <c r="BY40" s="82"/>
      <c r="BZ40" s="210"/>
      <c r="CA40" s="82"/>
      <c r="CB40" s="82"/>
      <c r="CC40" s="82"/>
      <c r="CD40" s="210"/>
      <c r="CE40" s="82"/>
      <c r="CF40" s="82"/>
      <c r="CG40" s="82"/>
      <c r="CH40" s="210"/>
      <c r="CI40" s="82"/>
      <c r="CJ40" s="82"/>
      <c r="CK40" s="82"/>
      <c r="CL40" s="82"/>
      <c r="CM40" s="82"/>
      <c r="CN40" s="82"/>
      <c r="CO40" s="82"/>
      <c r="CP40" s="82"/>
      <c r="CQ40" s="82"/>
      <c r="CR40" s="82"/>
      <c r="CS40" s="82"/>
      <c r="CT40" s="82"/>
      <c r="CU40" s="82"/>
      <c r="CV40" s="82"/>
      <c r="CW40" s="82"/>
      <c r="CX40" s="82"/>
      <c r="CY40" s="82"/>
      <c r="CZ40" s="82"/>
      <c r="DA40" s="82"/>
      <c r="DB40" s="82"/>
    </row>
    <row r="41" spans="1:106">
      <c r="A41" s="82"/>
      <c r="B41" s="82"/>
      <c r="C41" s="171"/>
      <c r="D41" s="171"/>
      <c r="E41" s="171"/>
      <c r="F41" s="171"/>
      <c r="G41" s="82"/>
      <c r="H41" s="82"/>
      <c r="I41" s="82"/>
      <c r="J41" s="82"/>
      <c r="K41" s="82"/>
      <c r="L41" s="82"/>
      <c r="M41" s="184" t="s">
        <v>239</v>
      </c>
      <c r="N41" s="82"/>
      <c r="O41" s="82">
        <v>27.432000000000002</v>
      </c>
      <c r="P41" s="82">
        <v>32.512</v>
      </c>
      <c r="Q41" s="82">
        <v>37.591999999999999</v>
      </c>
      <c r="R41" s="82"/>
      <c r="S41" s="82"/>
      <c r="T41" s="82"/>
      <c r="U41" s="82"/>
      <c r="V41" s="82"/>
      <c r="W41" s="82"/>
      <c r="X41" s="82"/>
      <c r="Y41" s="82"/>
      <c r="Z41" s="82"/>
      <c r="AA41" s="156"/>
      <c r="AB41" s="156"/>
      <c r="AC41" s="156"/>
      <c r="AD41" s="82"/>
      <c r="AE41" s="82"/>
      <c r="AF41" s="82"/>
      <c r="AG41" s="82"/>
      <c r="AH41" s="204"/>
      <c r="AI41" s="156"/>
      <c r="AJ41" s="212"/>
      <c r="AK41" s="156"/>
      <c r="AL41" s="204"/>
      <c r="AM41" s="156"/>
      <c r="AN41" s="212"/>
      <c r="AO41" s="156"/>
      <c r="AP41" s="204"/>
      <c r="AQ41" s="156"/>
      <c r="AR41" s="156"/>
      <c r="AS41" s="156"/>
      <c r="AT41" s="204"/>
      <c r="AU41" s="212"/>
      <c r="AV41" s="82"/>
      <c r="AW41" s="156"/>
      <c r="AX41" s="204"/>
      <c r="AY41" s="156"/>
      <c r="AZ41" s="156"/>
      <c r="BA41" s="156"/>
      <c r="BB41" s="204"/>
      <c r="BC41" s="156"/>
      <c r="BD41" s="212"/>
      <c r="BE41" s="156"/>
      <c r="BF41" s="209"/>
      <c r="BG41" s="82"/>
      <c r="BH41" s="82"/>
      <c r="BI41" s="82"/>
      <c r="BJ41" s="210"/>
      <c r="BK41" s="82"/>
      <c r="BL41" s="82"/>
      <c r="BM41" s="82"/>
      <c r="BN41" s="210"/>
      <c r="BO41" s="82"/>
      <c r="BP41" s="82"/>
      <c r="BQ41" s="82"/>
      <c r="BR41" s="210"/>
      <c r="BS41" s="82"/>
      <c r="BT41" s="82"/>
      <c r="BU41" s="82"/>
      <c r="BV41" s="210"/>
      <c r="BW41" s="82"/>
      <c r="BX41" s="82"/>
      <c r="BY41" s="82"/>
      <c r="BZ41" s="210"/>
      <c r="CA41" s="82"/>
      <c r="CB41" s="82"/>
      <c r="CC41" s="82"/>
      <c r="CD41" s="210"/>
      <c r="CE41" s="82"/>
      <c r="CF41" s="82"/>
      <c r="CG41" s="82"/>
      <c r="CH41" s="210"/>
      <c r="CI41" s="82"/>
      <c r="CJ41" s="82"/>
      <c r="CK41" s="82"/>
      <c r="CL41" s="82"/>
      <c r="CM41" s="82"/>
      <c r="CN41" s="82"/>
      <c r="CO41" s="82"/>
      <c r="CP41" s="82"/>
      <c r="CQ41" s="82"/>
      <c r="CR41" s="82"/>
      <c r="CS41" s="82"/>
      <c r="CT41" s="82"/>
      <c r="CU41" s="82"/>
      <c r="CV41" s="82"/>
      <c r="CW41" s="82"/>
      <c r="CX41" s="82"/>
      <c r="CY41" s="82"/>
      <c r="CZ41" s="82"/>
      <c r="DA41" s="82"/>
      <c r="DB41" s="82"/>
    </row>
    <row r="42" spans="1:106">
      <c r="A42" s="82"/>
      <c r="B42" s="82"/>
      <c r="C42" s="171"/>
      <c r="D42" s="171"/>
      <c r="E42" s="171"/>
      <c r="F42" s="171"/>
      <c r="G42" s="82"/>
      <c r="H42" s="82"/>
      <c r="I42" s="82"/>
      <c r="J42" s="82"/>
      <c r="K42" s="82"/>
      <c r="L42" s="82"/>
      <c r="M42" s="184" t="s">
        <v>240</v>
      </c>
      <c r="N42" s="82"/>
      <c r="O42" s="82">
        <v>28.447999999999997</v>
      </c>
      <c r="P42" s="82">
        <v>32.003999999999998</v>
      </c>
      <c r="Q42" s="82">
        <v>35.559999999999995</v>
      </c>
      <c r="R42" s="82"/>
      <c r="S42" s="82"/>
      <c r="T42" s="82"/>
      <c r="U42" s="82"/>
      <c r="V42" s="82"/>
      <c r="W42" s="82"/>
      <c r="X42" s="82"/>
      <c r="Y42" s="82"/>
      <c r="Z42" s="82"/>
      <c r="AA42" s="226"/>
      <c r="AB42" s="226"/>
      <c r="AC42" s="226"/>
      <c r="AD42" s="82"/>
      <c r="AE42" s="82"/>
      <c r="AF42" s="82"/>
      <c r="AG42" s="82"/>
      <c r="AH42" s="211"/>
      <c r="AI42" s="86"/>
      <c r="AJ42" s="86"/>
      <c r="AK42" s="86"/>
      <c r="AL42" s="211"/>
      <c r="AM42" s="86"/>
      <c r="AN42" s="86"/>
      <c r="AO42" s="86"/>
      <c r="AP42" s="211"/>
      <c r="AQ42" s="86"/>
      <c r="AR42" s="86"/>
      <c r="AS42" s="86"/>
      <c r="AT42" s="211"/>
      <c r="AU42" s="86"/>
      <c r="AV42" s="86"/>
      <c r="AW42" s="86"/>
      <c r="AX42" s="211"/>
      <c r="AY42" s="86"/>
      <c r="AZ42" s="86"/>
      <c r="BA42" s="86"/>
      <c r="BB42" s="211"/>
      <c r="BC42" s="86"/>
      <c r="BD42" s="86"/>
      <c r="BE42" s="86"/>
      <c r="BF42" s="209"/>
      <c r="BG42" s="82"/>
      <c r="BH42" s="82"/>
      <c r="BI42" s="82"/>
      <c r="BJ42" s="210"/>
      <c r="BK42" s="82"/>
      <c r="BL42" s="82"/>
      <c r="BM42" s="82"/>
      <c r="BN42" s="210"/>
      <c r="BO42" s="82"/>
      <c r="BP42" s="82"/>
      <c r="BQ42" s="82"/>
      <c r="BR42" s="210"/>
      <c r="BS42" s="82"/>
      <c r="BT42" s="82"/>
      <c r="BU42" s="82"/>
      <c r="BV42" s="210"/>
      <c r="BW42" s="82"/>
      <c r="BX42" s="82"/>
      <c r="BY42" s="82"/>
      <c r="BZ42" s="210"/>
      <c r="CA42" s="82"/>
      <c r="CB42" s="82"/>
      <c r="CC42" s="82"/>
      <c r="CD42" s="210"/>
      <c r="CE42" s="82"/>
      <c r="CF42" s="82"/>
      <c r="CG42" s="82"/>
      <c r="CH42" s="210"/>
      <c r="CI42" s="82"/>
      <c r="CJ42" s="82"/>
      <c r="CK42" s="82"/>
      <c r="CL42" s="82"/>
      <c r="CM42" s="82"/>
      <c r="CN42" s="82"/>
      <c r="CO42" s="82"/>
      <c r="CP42" s="82"/>
      <c r="CQ42" s="82"/>
      <c r="CR42" s="82"/>
      <c r="CS42" s="82"/>
      <c r="CT42" s="82"/>
      <c r="CU42" s="82"/>
      <c r="CV42" s="82"/>
      <c r="CW42" s="82"/>
      <c r="CX42" s="82"/>
      <c r="CY42" s="82"/>
      <c r="CZ42" s="82"/>
      <c r="DA42" s="82"/>
      <c r="DB42" s="82"/>
    </row>
    <row r="43" spans="1:106">
      <c r="A43" s="82"/>
      <c r="B43" s="82"/>
      <c r="C43" s="171"/>
      <c r="D43" s="171"/>
      <c r="E43" s="171"/>
      <c r="F43" s="171"/>
      <c r="G43" s="82"/>
      <c r="H43" s="82"/>
      <c r="I43" s="82"/>
      <c r="J43" s="82"/>
      <c r="K43" s="82"/>
      <c r="L43" s="82"/>
      <c r="M43" s="184" t="s">
        <v>241</v>
      </c>
      <c r="N43" s="82"/>
      <c r="O43" s="82">
        <v>28.193999999999999</v>
      </c>
      <c r="P43" s="82">
        <v>32.765999999999998</v>
      </c>
      <c r="Q43" s="82">
        <v>37.338000000000001</v>
      </c>
      <c r="R43" s="82"/>
      <c r="S43" s="82"/>
      <c r="T43" s="82"/>
      <c r="U43" s="82"/>
      <c r="V43" s="82"/>
      <c r="W43" s="82"/>
      <c r="X43" s="82"/>
      <c r="Y43" s="82"/>
      <c r="Z43" s="82"/>
      <c r="AA43" s="226"/>
      <c r="AB43" s="226"/>
      <c r="AC43" s="226"/>
      <c r="AD43" s="82"/>
      <c r="AE43" s="82"/>
      <c r="AF43" s="82"/>
      <c r="AG43" s="82"/>
      <c r="AH43" s="211"/>
      <c r="AI43" s="86"/>
      <c r="AJ43" s="86"/>
      <c r="AK43" s="86"/>
      <c r="AL43" s="211"/>
      <c r="AM43" s="86"/>
      <c r="AN43" s="86"/>
      <c r="AO43" s="86"/>
      <c r="AP43" s="211"/>
      <c r="AQ43" s="86"/>
      <c r="AR43" s="86"/>
      <c r="AS43" s="86"/>
      <c r="AT43" s="211"/>
      <c r="AU43" s="86"/>
      <c r="AV43" s="86"/>
      <c r="AW43" s="86"/>
      <c r="AX43" s="211"/>
      <c r="AY43" s="86"/>
      <c r="AZ43" s="86"/>
      <c r="BA43" s="86"/>
      <c r="BB43" s="211"/>
      <c r="BC43" s="86"/>
      <c r="BD43" s="86"/>
      <c r="BE43" s="86"/>
      <c r="BF43" s="209"/>
      <c r="BG43" s="82"/>
      <c r="BH43" s="82"/>
      <c r="BI43" s="82"/>
      <c r="BJ43" s="210"/>
      <c r="BK43" s="82"/>
      <c r="BL43" s="82"/>
      <c r="BM43" s="82"/>
      <c r="BN43" s="210"/>
      <c r="BO43" s="82"/>
      <c r="BP43" s="82"/>
      <c r="BQ43" s="82"/>
      <c r="BR43" s="210"/>
      <c r="BS43" s="82"/>
      <c r="BT43" s="82"/>
      <c r="BU43" s="82"/>
      <c r="BV43" s="210"/>
      <c r="BW43" s="82"/>
      <c r="BX43" s="82"/>
      <c r="BY43" s="82"/>
      <c r="BZ43" s="210"/>
      <c r="CA43" s="82"/>
      <c r="CB43" s="82"/>
      <c r="CC43" s="82"/>
      <c r="CD43" s="210"/>
      <c r="CE43" s="82"/>
      <c r="CF43" s="82"/>
      <c r="CG43" s="82"/>
      <c r="CH43" s="210"/>
      <c r="CI43" s="82"/>
      <c r="CJ43" s="82"/>
      <c r="CK43" s="82"/>
      <c r="CL43" s="82"/>
      <c r="CM43" s="82"/>
      <c r="CN43" s="82"/>
      <c r="CO43" s="82"/>
      <c r="CP43" s="82"/>
      <c r="CQ43" s="82"/>
      <c r="CR43" s="82"/>
      <c r="CS43" s="82"/>
      <c r="CT43" s="82"/>
      <c r="CU43" s="82"/>
      <c r="CV43" s="82"/>
      <c r="CW43" s="82"/>
      <c r="CX43" s="82"/>
      <c r="CY43" s="82"/>
      <c r="CZ43" s="82"/>
      <c r="DA43" s="82"/>
      <c r="DB43" s="82"/>
    </row>
    <row r="44" spans="1:106">
      <c r="A44" s="82"/>
      <c r="B44" s="82"/>
      <c r="C44" s="171"/>
      <c r="D44" s="171"/>
      <c r="E44" s="171"/>
      <c r="F44" s="171"/>
      <c r="G44" s="82"/>
      <c r="H44" s="82"/>
      <c r="I44" s="82"/>
      <c r="J44" s="82"/>
      <c r="K44" s="82"/>
      <c r="L44" s="82"/>
      <c r="M44" s="184" t="s">
        <v>242</v>
      </c>
      <c r="N44" s="82"/>
      <c r="O44" s="82">
        <v>29.463999999999999</v>
      </c>
      <c r="P44" s="82">
        <v>33.527999999999999</v>
      </c>
      <c r="Q44" s="82">
        <v>37.591999999999999</v>
      </c>
      <c r="R44" s="82"/>
      <c r="S44" s="82"/>
      <c r="T44" s="82"/>
      <c r="U44" s="82"/>
      <c r="V44" s="82"/>
      <c r="W44" s="82"/>
      <c r="X44" s="82"/>
      <c r="Y44" s="82"/>
      <c r="Z44" s="82"/>
      <c r="AA44" s="226"/>
      <c r="AB44" s="226"/>
      <c r="AC44" s="226"/>
      <c r="AD44" s="82"/>
      <c r="AE44" s="82"/>
      <c r="AF44" s="82"/>
      <c r="AG44" s="82"/>
      <c r="AH44" s="211"/>
      <c r="AI44" s="86"/>
      <c r="AJ44" s="86"/>
      <c r="AK44" s="86"/>
      <c r="AL44" s="211"/>
      <c r="AM44" s="86"/>
      <c r="AN44" s="86"/>
      <c r="AO44" s="86"/>
      <c r="AP44" s="211"/>
      <c r="AQ44" s="86"/>
      <c r="AR44" s="86"/>
      <c r="AS44" s="86"/>
      <c r="AT44" s="211"/>
      <c r="AU44" s="86"/>
      <c r="AV44" s="86"/>
      <c r="AW44" s="86"/>
      <c r="AX44" s="211"/>
      <c r="AY44" s="86"/>
      <c r="AZ44" s="86"/>
      <c r="BA44" s="86"/>
      <c r="BB44" s="211"/>
      <c r="BC44" s="86"/>
      <c r="BD44" s="86"/>
      <c r="BE44" s="86"/>
      <c r="BF44" s="209"/>
      <c r="BG44" s="82"/>
      <c r="BH44" s="82"/>
      <c r="BI44" s="82"/>
      <c r="BJ44" s="210"/>
      <c r="BK44" s="82"/>
      <c r="BL44" s="82"/>
      <c r="BM44" s="82"/>
      <c r="BN44" s="210"/>
      <c r="BO44" s="82"/>
      <c r="BP44" s="82"/>
      <c r="BQ44" s="82"/>
      <c r="BR44" s="210"/>
      <c r="BS44" s="82"/>
      <c r="BT44" s="82"/>
      <c r="BU44" s="82"/>
      <c r="BV44" s="210"/>
      <c r="BW44" s="82"/>
      <c r="BX44" s="82"/>
      <c r="BY44" s="82"/>
      <c r="BZ44" s="210"/>
      <c r="CA44" s="82"/>
      <c r="CB44" s="82"/>
      <c r="CC44" s="82"/>
      <c r="CD44" s="210"/>
      <c r="CE44" s="82"/>
      <c r="CF44" s="82"/>
      <c r="CG44" s="82"/>
      <c r="CH44" s="210"/>
      <c r="CI44" s="82"/>
      <c r="CJ44" s="82"/>
      <c r="CK44" s="82"/>
      <c r="CL44" s="82"/>
      <c r="CM44" s="82"/>
      <c r="CN44" s="82"/>
      <c r="CO44" s="82"/>
      <c r="CP44" s="82"/>
      <c r="CQ44" s="82"/>
      <c r="CR44" s="82"/>
      <c r="CS44" s="82"/>
      <c r="CT44" s="82"/>
      <c r="CU44" s="82"/>
      <c r="CV44" s="82"/>
      <c r="CW44" s="82"/>
      <c r="CX44" s="82"/>
      <c r="CY44" s="82"/>
      <c r="CZ44" s="82"/>
      <c r="DA44" s="82"/>
      <c r="DB44" s="82"/>
    </row>
    <row r="45" spans="1:106">
      <c r="A45" s="82"/>
      <c r="B45" s="82"/>
      <c r="C45" s="171"/>
      <c r="D45" s="171"/>
      <c r="E45" s="171"/>
      <c r="F45" s="171"/>
      <c r="G45" s="82"/>
      <c r="H45" s="82"/>
      <c r="I45" s="82"/>
      <c r="J45" s="82"/>
      <c r="K45" s="82"/>
      <c r="L45" s="82"/>
      <c r="M45" s="184" t="s">
        <v>243</v>
      </c>
      <c r="N45" s="82"/>
      <c r="O45" s="82">
        <v>30.226000000000003</v>
      </c>
      <c r="P45" s="82">
        <v>34.798000000000002</v>
      </c>
      <c r="Q45" s="82">
        <v>39.370000000000005</v>
      </c>
      <c r="R45" s="82"/>
      <c r="S45" s="82"/>
      <c r="T45" s="82"/>
      <c r="U45" s="82"/>
      <c r="V45" s="82"/>
      <c r="W45" s="82"/>
      <c r="X45" s="82"/>
      <c r="Y45" s="82"/>
      <c r="Z45" s="82"/>
      <c r="AA45" s="226"/>
      <c r="AB45" s="226"/>
      <c r="AC45" s="226"/>
      <c r="AD45" s="82"/>
      <c r="AE45" s="82"/>
      <c r="AF45" s="82"/>
      <c r="AG45" s="82"/>
      <c r="AH45" s="211"/>
      <c r="AI45" s="86"/>
      <c r="AJ45" s="86"/>
      <c r="AK45" s="86"/>
      <c r="AL45" s="211"/>
      <c r="AM45" s="86"/>
      <c r="AN45" s="86"/>
      <c r="AO45" s="86"/>
      <c r="AP45" s="211"/>
      <c r="AQ45" s="86"/>
      <c r="AR45" s="86"/>
      <c r="AS45" s="86"/>
      <c r="AT45" s="211"/>
      <c r="AU45" s="86"/>
      <c r="AV45" s="86"/>
      <c r="AW45" s="86"/>
      <c r="AX45" s="211"/>
      <c r="AY45" s="86"/>
      <c r="AZ45" s="86"/>
      <c r="BA45" s="86"/>
      <c r="BB45" s="211"/>
      <c r="BC45" s="86"/>
      <c r="BD45" s="86"/>
      <c r="BE45" s="86"/>
      <c r="BF45" s="209"/>
      <c r="BG45" s="82"/>
      <c r="BH45" s="82"/>
      <c r="BI45" s="82"/>
      <c r="BJ45" s="210"/>
      <c r="BK45" s="82"/>
      <c r="BL45" s="82"/>
      <c r="BM45" s="82"/>
      <c r="BN45" s="210"/>
      <c r="BO45" s="82"/>
      <c r="BP45" s="82"/>
      <c r="BQ45" s="82"/>
      <c r="BR45" s="210"/>
      <c r="BS45" s="82"/>
      <c r="BT45" s="82"/>
      <c r="BU45" s="82"/>
      <c r="BV45" s="210"/>
      <c r="BW45" s="82"/>
      <c r="BX45" s="82"/>
      <c r="BY45" s="82"/>
      <c r="BZ45" s="210"/>
      <c r="CA45" s="82"/>
      <c r="CB45" s="82"/>
      <c r="CC45" s="82"/>
      <c r="CD45" s="210"/>
      <c r="CE45" s="82"/>
      <c r="CF45" s="82"/>
      <c r="CG45" s="82"/>
      <c r="CH45" s="210"/>
      <c r="CI45" s="82"/>
      <c r="CJ45" s="82"/>
      <c r="CK45" s="82"/>
      <c r="CL45" s="82"/>
      <c r="CM45" s="82"/>
      <c r="CN45" s="82"/>
      <c r="CO45" s="82"/>
      <c r="CP45" s="82"/>
      <c r="CQ45" s="82"/>
      <c r="CR45" s="82"/>
      <c r="CS45" s="82"/>
      <c r="CT45" s="82"/>
      <c r="CU45" s="82"/>
      <c r="CV45" s="82"/>
      <c r="CW45" s="82"/>
      <c r="CX45" s="82"/>
      <c r="CY45" s="82"/>
      <c r="CZ45" s="82"/>
      <c r="DA45" s="82"/>
      <c r="DB45" s="82"/>
    </row>
    <row r="46" spans="1:106">
      <c r="A46" s="82"/>
      <c r="B46" s="82"/>
      <c r="C46" s="171"/>
      <c r="D46" s="171"/>
      <c r="E46" s="171"/>
      <c r="F46" s="171"/>
      <c r="G46" s="82"/>
      <c r="H46" s="82"/>
      <c r="I46" s="82"/>
      <c r="J46" s="82"/>
      <c r="K46" s="82"/>
      <c r="L46" s="82"/>
      <c r="M46" s="184" t="s">
        <v>244</v>
      </c>
      <c r="N46" s="82"/>
      <c r="O46" s="82">
        <v>30.988000000000003</v>
      </c>
      <c r="P46" s="82">
        <v>35.56</v>
      </c>
      <c r="Q46" s="82">
        <v>40.132000000000005</v>
      </c>
      <c r="R46" s="82"/>
      <c r="S46" s="82"/>
      <c r="T46" s="82"/>
      <c r="U46" s="82"/>
      <c r="V46" s="82"/>
      <c r="W46" s="82"/>
      <c r="X46" s="82"/>
      <c r="Y46" s="82"/>
      <c r="Z46" s="82"/>
      <c r="AA46" s="226"/>
      <c r="AB46" s="226"/>
      <c r="AC46" s="226"/>
      <c r="AD46" s="82"/>
      <c r="AE46" s="82"/>
      <c r="AF46" s="82"/>
      <c r="AG46" s="82"/>
      <c r="AH46" s="211"/>
      <c r="AI46" s="86"/>
      <c r="AJ46" s="86"/>
      <c r="AK46" s="86"/>
      <c r="AL46" s="211"/>
      <c r="AM46" s="86"/>
      <c r="AN46" s="86"/>
      <c r="AO46" s="86"/>
      <c r="AP46" s="211"/>
      <c r="AQ46" s="86"/>
      <c r="AR46" s="86"/>
      <c r="AS46" s="86"/>
      <c r="AT46" s="211"/>
      <c r="AU46" s="86"/>
      <c r="AV46" s="86"/>
      <c r="AW46" s="86"/>
      <c r="AX46" s="211"/>
      <c r="AY46" s="86"/>
      <c r="AZ46" s="86"/>
      <c r="BA46" s="86"/>
      <c r="BB46" s="211"/>
      <c r="BC46" s="86"/>
      <c r="BD46" s="86"/>
      <c r="BE46" s="86"/>
      <c r="BF46" s="209"/>
      <c r="BG46" s="82"/>
      <c r="BH46" s="82"/>
      <c r="BI46" s="82"/>
      <c r="BJ46" s="210"/>
      <c r="BK46" s="82"/>
      <c r="BL46" s="82"/>
      <c r="BM46" s="82"/>
      <c r="BN46" s="210"/>
      <c r="BO46" s="82"/>
      <c r="BP46" s="82"/>
      <c r="BQ46" s="82"/>
      <c r="BR46" s="210"/>
      <c r="BS46" s="82"/>
      <c r="BT46" s="82"/>
      <c r="BU46" s="82"/>
      <c r="BV46" s="210"/>
      <c r="BW46" s="82"/>
      <c r="BX46" s="82"/>
      <c r="BY46" s="82"/>
      <c r="BZ46" s="210"/>
      <c r="CA46" s="82"/>
      <c r="CB46" s="82"/>
      <c r="CC46" s="82"/>
      <c r="CD46" s="210"/>
      <c r="CE46" s="82"/>
      <c r="CF46" s="82"/>
      <c r="CG46" s="82"/>
      <c r="CH46" s="210"/>
      <c r="CI46" s="82"/>
      <c r="CJ46" s="82"/>
      <c r="CK46" s="82"/>
      <c r="CL46" s="82"/>
      <c r="CM46" s="82"/>
      <c r="CN46" s="82"/>
      <c r="CO46" s="82"/>
      <c r="CP46" s="82"/>
      <c r="CQ46" s="82"/>
      <c r="CR46" s="82"/>
      <c r="CS46" s="82"/>
      <c r="CT46" s="82"/>
      <c r="CU46" s="82"/>
      <c r="CV46" s="82"/>
      <c r="CW46" s="82"/>
      <c r="CX46" s="82"/>
      <c r="CY46" s="82"/>
      <c r="CZ46" s="82"/>
      <c r="DA46" s="82"/>
      <c r="DB46" s="82"/>
    </row>
    <row r="47" spans="1:106">
      <c r="A47" s="82"/>
      <c r="B47" s="82"/>
      <c r="C47" s="171"/>
      <c r="D47" s="171"/>
      <c r="E47" s="171"/>
      <c r="F47" s="171"/>
      <c r="G47" s="82"/>
      <c r="H47" s="82"/>
      <c r="I47" s="82"/>
      <c r="J47" s="82"/>
      <c r="K47" s="82"/>
      <c r="L47" s="82"/>
      <c r="M47" s="184" t="s">
        <v>245</v>
      </c>
      <c r="N47" s="82"/>
      <c r="O47" s="82">
        <v>32.765999999999998</v>
      </c>
      <c r="P47" s="82">
        <v>37.338000000000001</v>
      </c>
      <c r="Q47" s="82">
        <v>41.910000000000004</v>
      </c>
      <c r="R47" s="82"/>
      <c r="S47" s="82"/>
      <c r="T47" s="82"/>
      <c r="U47" s="82"/>
      <c r="V47" s="82"/>
      <c r="W47" s="82"/>
      <c r="X47" s="82"/>
      <c r="Y47" s="82"/>
      <c r="Z47" s="82"/>
      <c r="AA47" s="226"/>
      <c r="AB47" s="226"/>
      <c r="AC47" s="226"/>
      <c r="AD47" s="82"/>
      <c r="AE47" s="82"/>
      <c r="AF47" s="82"/>
      <c r="AG47" s="82"/>
      <c r="AH47" s="211"/>
      <c r="AI47" s="86"/>
      <c r="AJ47" s="86"/>
      <c r="AK47" s="86"/>
      <c r="AL47" s="211"/>
      <c r="AM47" s="86"/>
      <c r="AN47" s="86"/>
      <c r="AO47" s="86"/>
      <c r="AP47" s="211"/>
      <c r="AQ47" s="86"/>
      <c r="AR47" s="86"/>
      <c r="AS47" s="86"/>
      <c r="AT47" s="211"/>
      <c r="AU47" s="86"/>
      <c r="AV47" s="86"/>
      <c r="AW47" s="86"/>
      <c r="AX47" s="211"/>
      <c r="AY47" s="86"/>
      <c r="AZ47" s="86"/>
      <c r="BA47" s="86"/>
      <c r="BB47" s="211"/>
      <c r="BC47" s="86"/>
      <c r="BD47" s="86"/>
      <c r="BE47" s="86"/>
      <c r="BF47" s="209"/>
      <c r="BG47" s="82"/>
      <c r="BH47" s="82"/>
      <c r="BI47" s="82"/>
      <c r="BJ47" s="210"/>
      <c r="BK47" s="82"/>
      <c r="BL47" s="82"/>
      <c r="BM47" s="82"/>
      <c r="BN47" s="210"/>
      <c r="BO47" s="82"/>
      <c r="BP47" s="82"/>
      <c r="BQ47" s="82"/>
      <c r="BR47" s="210"/>
      <c r="BS47" s="82"/>
      <c r="BT47" s="82"/>
      <c r="BU47" s="82"/>
      <c r="BV47" s="210"/>
      <c r="BW47" s="82"/>
      <c r="BX47" s="82"/>
      <c r="BY47" s="82"/>
      <c r="BZ47" s="210"/>
      <c r="CA47" s="82"/>
      <c r="CB47" s="82"/>
      <c r="CC47" s="82"/>
      <c r="CD47" s="210"/>
      <c r="CE47" s="82"/>
      <c r="CF47" s="82"/>
      <c r="CG47" s="82"/>
      <c r="CH47" s="210"/>
      <c r="CI47" s="82"/>
      <c r="CJ47" s="82"/>
      <c r="CK47" s="82"/>
      <c r="CL47" s="82"/>
      <c r="CM47" s="82"/>
      <c r="CN47" s="82"/>
      <c r="CO47" s="82"/>
      <c r="CP47" s="82"/>
      <c r="CQ47" s="82"/>
      <c r="CR47" s="82"/>
      <c r="CS47" s="82"/>
      <c r="CT47" s="82"/>
      <c r="CU47" s="82"/>
      <c r="CV47" s="82"/>
      <c r="CW47" s="82"/>
      <c r="CX47" s="82"/>
      <c r="CY47" s="82"/>
      <c r="CZ47" s="82"/>
      <c r="DA47" s="82"/>
      <c r="DB47" s="82"/>
    </row>
    <row r="48" spans="1:106">
      <c r="A48" s="82"/>
      <c r="B48" s="82"/>
      <c r="C48" s="171"/>
      <c r="D48" s="171"/>
      <c r="E48" s="171"/>
      <c r="F48" s="171"/>
      <c r="G48" s="82"/>
      <c r="H48" s="82"/>
      <c r="I48" s="82"/>
      <c r="J48" s="82"/>
      <c r="K48" s="82"/>
      <c r="L48" s="82"/>
      <c r="M48" s="184" t="s">
        <v>246</v>
      </c>
      <c r="N48" s="82"/>
      <c r="O48" s="82">
        <v>34.036000000000001</v>
      </c>
      <c r="P48" s="82">
        <v>39.116</v>
      </c>
      <c r="Q48" s="82">
        <v>44.195999999999998</v>
      </c>
      <c r="R48" s="82"/>
      <c r="S48" s="82"/>
      <c r="T48" s="82"/>
      <c r="U48" s="82"/>
      <c r="V48" s="82"/>
      <c r="W48" s="82"/>
      <c r="X48" s="82"/>
      <c r="Y48" s="82"/>
      <c r="Z48" s="82"/>
      <c r="AA48" s="226"/>
      <c r="AB48" s="226"/>
      <c r="AC48" s="226"/>
      <c r="AD48" s="82"/>
      <c r="AE48" s="82"/>
      <c r="AF48" s="82"/>
      <c r="AG48" s="82"/>
      <c r="AH48" s="211"/>
      <c r="AI48" s="86"/>
      <c r="AJ48" s="86"/>
      <c r="AK48" s="86"/>
      <c r="AL48" s="211"/>
      <c r="AM48" s="86"/>
      <c r="AN48" s="86"/>
      <c r="AO48" s="86"/>
      <c r="AP48" s="211"/>
      <c r="AQ48" s="86"/>
      <c r="AR48" s="86"/>
      <c r="AS48" s="86"/>
      <c r="AT48" s="211"/>
      <c r="AU48" s="86"/>
      <c r="AV48" s="86"/>
      <c r="AW48" s="86"/>
      <c r="AX48" s="211"/>
      <c r="AY48" s="86"/>
      <c r="AZ48" s="86"/>
      <c r="BA48" s="86"/>
      <c r="BB48" s="211"/>
      <c r="BC48" s="86"/>
      <c r="BD48" s="86"/>
      <c r="BE48" s="86"/>
      <c r="BF48" s="209"/>
      <c r="BG48" s="82"/>
      <c r="BH48" s="82"/>
      <c r="BI48" s="82"/>
      <c r="BJ48" s="210"/>
      <c r="BK48" s="82"/>
      <c r="BL48" s="82"/>
      <c r="BM48" s="82"/>
      <c r="BN48" s="210"/>
      <c r="BO48" s="82"/>
      <c r="BP48" s="82"/>
      <c r="BQ48" s="82"/>
      <c r="BR48" s="210"/>
      <c r="BS48" s="82"/>
      <c r="BT48" s="82"/>
      <c r="BU48" s="82"/>
      <c r="BV48" s="210"/>
      <c r="BW48" s="82"/>
      <c r="BX48" s="82"/>
      <c r="BY48" s="82"/>
      <c r="BZ48" s="210"/>
      <c r="CA48" s="82"/>
      <c r="CB48" s="82"/>
      <c r="CC48" s="82"/>
      <c r="CD48" s="210"/>
      <c r="CE48" s="82"/>
      <c r="CF48" s="82"/>
      <c r="CG48" s="82"/>
      <c r="CH48" s="210"/>
      <c r="CI48" s="82"/>
      <c r="CJ48" s="82"/>
      <c r="CK48" s="82"/>
      <c r="CL48" s="82"/>
      <c r="CM48" s="82"/>
      <c r="CN48" s="82"/>
      <c r="CO48" s="82"/>
      <c r="CP48" s="82"/>
      <c r="CQ48" s="82"/>
      <c r="CR48" s="82"/>
      <c r="CS48" s="82"/>
      <c r="CT48" s="82"/>
      <c r="CU48" s="82"/>
      <c r="CV48" s="82"/>
      <c r="CW48" s="82"/>
      <c r="CX48" s="82"/>
      <c r="CY48" s="82"/>
      <c r="CZ48" s="82"/>
      <c r="DA48" s="82"/>
      <c r="DB48" s="82"/>
    </row>
    <row r="49" spans="1:106">
      <c r="A49" s="82"/>
      <c r="B49" s="82"/>
      <c r="C49" s="171"/>
      <c r="D49" s="171"/>
      <c r="E49" s="171"/>
      <c r="F49" s="171"/>
      <c r="G49" s="82"/>
      <c r="H49" s="82"/>
      <c r="I49" s="82"/>
      <c r="J49" s="82"/>
      <c r="K49" s="82"/>
      <c r="L49" s="82"/>
      <c r="M49" s="184" t="s">
        <v>247</v>
      </c>
      <c r="N49" s="82"/>
      <c r="O49" s="82">
        <v>36.067999999999998</v>
      </c>
      <c r="P49" s="82">
        <v>41.147999999999996</v>
      </c>
      <c r="Q49" s="82">
        <v>46.227999999999994</v>
      </c>
      <c r="R49" s="82"/>
      <c r="S49" s="82"/>
      <c r="T49" s="82"/>
      <c r="U49" s="82"/>
      <c r="V49" s="82"/>
      <c r="W49" s="82"/>
      <c r="X49" s="82"/>
      <c r="Y49" s="82"/>
      <c r="Z49" s="82"/>
      <c r="AA49" s="226"/>
      <c r="AB49" s="226"/>
      <c r="AC49" s="226"/>
      <c r="AD49" s="82"/>
      <c r="AE49" s="82"/>
      <c r="AF49" s="82"/>
      <c r="AG49" s="82"/>
      <c r="AH49" s="211"/>
      <c r="AI49" s="86"/>
      <c r="AJ49" s="86"/>
      <c r="AK49" s="86"/>
      <c r="AL49" s="211"/>
      <c r="AM49" s="86"/>
      <c r="AN49" s="86"/>
      <c r="AO49" s="86"/>
      <c r="AP49" s="211"/>
      <c r="AQ49" s="86"/>
      <c r="AR49" s="86"/>
      <c r="AS49" s="86"/>
      <c r="AT49" s="211"/>
      <c r="AU49" s="86"/>
      <c r="AV49" s="86"/>
      <c r="AW49" s="86"/>
      <c r="AX49" s="211"/>
      <c r="AY49" s="86"/>
      <c r="AZ49" s="86"/>
      <c r="BA49" s="86"/>
      <c r="BB49" s="211"/>
      <c r="BC49" s="86"/>
      <c r="BD49" s="86"/>
      <c r="BE49" s="86"/>
      <c r="BF49" s="209"/>
      <c r="BG49" s="82"/>
      <c r="BH49" s="82"/>
      <c r="BI49" s="82"/>
      <c r="BJ49" s="210"/>
      <c r="BK49" s="82"/>
      <c r="BL49" s="82"/>
      <c r="BM49" s="82"/>
      <c r="BN49" s="210"/>
      <c r="BO49" s="82"/>
      <c r="BP49" s="82"/>
      <c r="BQ49" s="82"/>
      <c r="BR49" s="210"/>
      <c r="BS49" s="82"/>
      <c r="BT49" s="82"/>
      <c r="BU49" s="82"/>
      <c r="BV49" s="210"/>
      <c r="BW49" s="82"/>
      <c r="BX49" s="82"/>
      <c r="BY49" s="82"/>
      <c r="BZ49" s="210"/>
      <c r="CA49" s="82"/>
      <c r="CB49" s="82"/>
      <c r="CC49" s="82"/>
      <c r="CD49" s="210"/>
      <c r="CE49" s="82"/>
      <c r="CF49" s="82"/>
      <c r="CG49" s="82"/>
      <c r="CH49" s="210"/>
      <c r="CI49" s="82"/>
      <c r="CJ49" s="82"/>
      <c r="CK49" s="82"/>
      <c r="CL49" s="82"/>
      <c r="CM49" s="82"/>
      <c r="CN49" s="82"/>
      <c r="CO49" s="82"/>
      <c r="CP49" s="82"/>
      <c r="CQ49" s="82"/>
      <c r="CR49" s="82"/>
      <c r="CS49" s="82"/>
      <c r="CT49" s="82"/>
      <c r="CU49" s="82"/>
      <c r="CV49" s="82"/>
      <c r="CW49" s="82"/>
      <c r="CX49" s="82"/>
      <c r="CY49" s="82"/>
      <c r="CZ49" s="82"/>
      <c r="DA49" s="82"/>
      <c r="DB49" s="82"/>
    </row>
    <row r="50" spans="1:106">
      <c r="A50" s="82"/>
      <c r="B50" s="82"/>
      <c r="C50" s="171"/>
      <c r="D50" s="171"/>
      <c r="E50" s="171"/>
      <c r="F50" s="171"/>
      <c r="G50" s="82"/>
      <c r="H50" s="82"/>
      <c r="I50" s="82"/>
      <c r="J50" s="82"/>
      <c r="K50" s="82"/>
      <c r="L50" s="82"/>
      <c r="M50" s="184" t="s">
        <v>248</v>
      </c>
      <c r="N50" s="82"/>
      <c r="O50" s="82">
        <v>38.607999999999997</v>
      </c>
      <c r="P50" s="82">
        <v>43.18</v>
      </c>
      <c r="Q50" s="82">
        <v>47.752000000000002</v>
      </c>
      <c r="R50" s="82"/>
      <c r="S50" s="82"/>
      <c r="T50" s="82"/>
      <c r="U50" s="82"/>
      <c r="V50" s="82"/>
      <c r="W50" s="82"/>
      <c r="X50" s="82"/>
      <c r="Y50" s="82"/>
      <c r="Z50" s="82"/>
      <c r="AA50" s="226"/>
      <c r="AB50" s="226"/>
      <c r="AC50" s="226"/>
      <c r="AD50" s="82"/>
      <c r="AE50" s="82"/>
      <c r="AF50" s="82"/>
      <c r="AG50" s="82"/>
      <c r="AH50" s="211"/>
      <c r="AI50" s="86"/>
      <c r="AJ50" s="86"/>
      <c r="AK50" s="86"/>
      <c r="AL50" s="211"/>
      <c r="AM50" s="86"/>
      <c r="AN50" s="86"/>
      <c r="AO50" s="86"/>
      <c r="AP50" s="211"/>
      <c r="AQ50" s="86"/>
      <c r="AR50" s="86"/>
      <c r="AS50" s="86"/>
      <c r="AT50" s="211"/>
      <c r="AU50" s="86"/>
      <c r="AV50" s="86"/>
      <c r="AW50" s="86"/>
      <c r="AX50" s="211"/>
      <c r="AY50" s="86"/>
      <c r="AZ50" s="86"/>
      <c r="BA50" s="86"/>
      <c r="BB50" s="211"/>
      <c r="BC50" s="86"/>
      <c r="BD50" s="86"/>
      <c r="BE50" s="86"/>
      <c r="BF50" s="209"/>
      <c r="BG50" s="82"/>
      <c r="BH50" s="82"/>
      <c r="BI50" s="82"/>
      <c r="BJ50" s="210"/>
      <c r="BK50" s="82"/>
      <c r="BL50" s="82"/>
      <c r="BM50" s="82"/>
      <c r="BN50" s="210"/>
      <c r="BO50" s="82"/>
      <c r="BP50" s="82"/>
      <c r="BQ50" s="82"/>
      <c r="BR50" s="210"/>
      <c r="BS50" s="82"/>
      <c r="BT50" s="82"/>
      <c r="BU50" s="82"/>
      <c r="BV50" s="210"/>
      <c r="BW50" s="82"/>
      <c r="BX50" s="82"/>
      <c r="BY50" s="82"/>
      <c r="BZ50" s="210"/>
      <c r="CA50" s="82"/>
      <c r="CB50" s="82"/>
      <c r="CC50" s="82"/>
      <c r="CD50" s="210"/>
      <c r="CE50" s="82"/>
      <c r="CF50" s="82"/>
      <c r="CG50" s="82"/>
      <c r="CH50" s="210"/>
      <c r="CI50" s="82"/>
      <c r="CJ50" s="82"/>
      <c r="CK50" s="82"/>
      <c r="CL50" s="82"/>
      <c r="CM50" s="82"/>
      <c r="CN50" s="82"/>
      <c r="CO50" s="82"/>
      <c r="CP50" s="82"/>
      <c r="CQ50" s="82"/>
      <c r="CR50" s="82"/>
      <c r="CS50" s="82"/>
      <c r="CT50" s="82"/>
      <c r="CU50" s="82"/>
      <c r="CV50" s="82"/>
      <c r="CW50" s="82"/>
      <c r="CX50" s="82"/>
      <c r="CY50" s="82"/>
      <c r="CZ50" s="82"/>
      <c r="DA50" s="82"/>
      <c r="DB50" s="82"/>
    </row>
    <row r="51" spans="1:106">
      <c r="A51" s="82"/>
      <c r="B51" s="82"/>
      <c r="C51" s="171"/>
      <c r="D51" s="171"/>
      <c r="E51" s="171"/>
      <c r="F51" s="171"/>
      <c r="G51" s="82"/>
      <c r="H51" s="82"/>
      <c r="I51" s="82"/>
      <c r="J51" s="82"/>
      <c r="K51" s="82"/>
      <c r="L51" s="82"/>
      <c r="M51" s="184" t="s">
        <v>249</v>
      </c>
      <c r="N51" s="82"/>
      <c r="O51" s="82">
        <v>39.878</v>
      </c>
      <c r="P51" s="82">
        <v>44.957999999999998</v>
      </c>
      <c r="Q51" s="82">
        <v>50.037999999999997</v>
      </c>
      <c r="R51" s="82"/>
      <c r="S51" s="82"/>
      <c r="T51" s="82"/>
      <c r="U51" s="82"/>
      <c r="V51" s="82"/>
      <c r="W51" s="82"/>
      <c r="X51" s="82"/>
      <c r="Y51" s="82"/>
      <c r="Z51" s="82"/>
      <c r="AA51" s="86"/>
      <c r="AB51" s="86"/>
      <c r="AC51" s="86"/>
      <c r="AD51" s="82"/>
      <c r="AE51" s="82"/>
      <c r="AF51" s="82"/>
      <c r="AG51" s="82"/>
      <c r="AH51" s="211"/>
      <c r="AI51" s="86"/>
      <c r="AJ51" s="86"/>
      <c r="AK51" s="86"/>
      <c r="AL51" s="211"/>
      <c r="AM51" s="86"/>
      <c r="AN51" s="86"/>
      <c r="AO51" s="86"/>
      <c r="AP51" s="211"/>
      <c r="AQ51" s="86"/>
      <c r="AR51" s="86"/>
      <c r="AS51" s="86"/>
      <c r="AT51" s="211"/>
      <c r="AU51" s="86"/>
      <c r="AV51" s="86"/>
      <c r="AW51" s="86"/>
      <c r="AX51" s="211"/>
      <c r="AY51" s="86"/>
      <c r="AZ51" s="86"/>
      <c r="BA51" s="86"/>
      <c r="BB51" s="211"/>
      <c r="BC51" s="86"/>
      <c r="BD51" s="86"/>
      <c r="BE51" s="86"/>
      <c r="BF51" s="209"/>
      <c r="BG51" s="82"/>
      <c r="BH51" s="82"/>
      <c r="BI51" s="82"/>
      <c r="BJ51" s="210"/>
      <c r="BK51" s="82"/>
      <c r="BL51" s="82"/>
      <c r="BM51" s="82"/>
      <c r="BN51" s="210"/>
      <c r="BO51" s="82"/>
      <c r="BP51" s="82"/>
      <c r="BQ51" s="82"/>
      <c r="BR51" s="210"/>
      <c r="BS51" s="82"/>
      <c r="BT51" s="82"/>
      <c r="BU51" s="82"/>
      <c r="BV51" s="210"/>
      <c r="BW51" s="82"/>
      <c r="BX51" s="82"/>
      <c r="BY51" s="82"/>
      <c r="BZ51" s="210"/>
      <c r="CA51" s="82"/>
      <c r="CB51" s="82"/>
      <c r="CC51" s="82"/>
      <c r="CD51" s="210"/>
      <c r="CE51" s="82"/>
      <c r="CF51" s="82"/>
      <c r="CG51" s="82"/>
      <c r="CH51" s="210"/>
      <c r="CI51" s="82"/>
      <c r="CJ51" s="82"/>
      <c r="CK51" s="82"/>
      <c r="CL51" s="82"/>
      <c r="CM51" s="82"/>
      <c r="CN51" s="82"/>
      <c r="CO51" s="82"/>
      <c r="CP51" s="82"/>
      <c r="CQ51" s="82"/>
      <c r="CR51" s="82"/>
      <c r="CS51" s="82"/>
      <c r="CT51" s="82"/>
      <c r="CU51" s="82"/>
      <c r="CV51" s="82"/>
      <c r="CW51" s="82"/>
      <c r="CX51" s="82"/>
      <c r="CY51" s="82"/>
      <c r="CZ51" s="82"/>
      <c r="DA51" s="82"/>
      <c r="DB51" s="82"/>
    </row>
    <row r="52" spans="1:106">
      <c r="A52" s="82"/>
      <c r="B52" s="82"/>
      <c r="C52" s="171"/>
      <c r="D52" s="171"/>
      <c r="E52" s="171"/>
      <c r="F52" s="171"/>
      <c r="G52" s="82"/>
      <c r="H52" s="82"/>
      <c r="I52" s="82"/>
      <c r="J52" s="82"/>
      <c r="K52" s="82"/>
      <c r="L52" s="82"/>
      <c r="M52" s="184" t="s">
        <v>250</v>
      </c>
      <c r="N52" s="82"/>
      <c r="O52" s="82">
        <v>40.893999999999998</v>
      </c>
      <c r="P52" s="82">
        <v>46.481999999999999</v>
      </c>
      <c r="Q52" s="82">
        <v>52.07</v>
      </c>
      <c r="R52" s="82"/>
      <c r="S52" s="82"/>
      <c r="T52" s="82"/>
      <c r="U52" s="82"/>
      <c r="V52" s="82"/>
      <c r="W52" s="82"/>
      <c r="X52" s="82"/>
      <c r="Y52" s="82"/>
      <c r="Z52" s="82"/>
      <c r="AA52" s="86"/>
      <c r="AB52" s="86"/>
      <c r="AC52" s="86"/>
      <c r="AD52" s="82"/>
      <c r="AE52" s="82"/>
      <c r="AF52" s="82"/>
      <c r="AG52" s="82"/>
      <c r="AH52" s="211"/>
      <c r="AI52" s="86"/>
      <c r="AJ52" s="86"/>
      <c r="AK52" s="86"/>
      <c r="AL52" s="211"/>
      <c r="AM52" s="86"/>
      <c r="AN52" s="86"/>
      <c r="AO52" s="86"/>
      <c r="AP52" s="211"/>
      <c r="AQ52" s="86"/>
      <c r="AR52" s="86"/>
      <c r="AS52" s="86"/>
      <c r="AT52" s="211"/>
      <c r="AU52" s="86"/>
      <c r="AV52" s="86"/>
      <c r="AW52" s="86"/>
      <c r="AX52" s="211"/>
      <c r="AY52" s="86"/>
      <c r="AZ52" s="86"/>
      <c r="BA52" s="86"/>
      <c r="BB52" s="211"/>
      <c r="BC52" s="86"/>
      <c r="BD52" s="86"/>
      <c r="BE52" s="86"/>
      <c r="BF52" s="209"/>
      <c r="BG52" s="82"/>
      <c r="BH52" s="82"/>
      <c r="BI52" s="82"/>
      <c r="BJ52" s="210"/>
      <c r="BK52" s="82"/>
      <c r="BL52" s="82"/>
      <c r="BM52" s="82"/>
      <c r="BN52" s="210"/>
      <c r="BO52" s="82"/>
      <c r="BP52" s="82"/>
      <c r="BQ52" s="82"/>
      <c r="BR52" s="210"/>
      <c r="BS52" s="82"/>
      <c r="BT52" s="82"/>
      <c r="BU52" s="82"/>
      <c r="BV52" s="210"/>
      <c r="BW52" s="82"/>
      <c r="BX52" s="82"/>
      <c r="BY52" s="82"/>
      <c r="BZ52" s="210"/>
      <c r="CA52" s="82"/>
      <c r="CB52" s="82"/>
      <c r="CC52" s="82"/>
      <c r="CD52" s="210"/>
      <c r="CE52" s="82"/>
      <c r="CF52" s="82"/>
      <c r="CG52" s="82"/>
      <c r="CH52" s="210"/>
      <c r="CI52" s="82"/>
      <c r="CJ52" s="82"/>
      <c r="CK52" s="82"/>
      <c r="CL52" s="82"/>
      <c r="CM52" s="82"/>
      <c r="CN52" s="82"/>
      <c r="CO52" s="82"/>
      <c r="CP52" s="82"/>
      <c r="CQ52" s="82"/>
      <c r="CR52" s="82"/>
      <c r="CS52" s="82"/>
      <c r="CT52" s="82"/>
      <c r="CU52" s="82"/>
      <c r="CV52" s="82"/>
      <c r="CW52" s="82"/>
      <c r="CX52" s="82"/>
      <c r="CY52" s="82"/>
      <c r="CZ52" s="82"/>
      <c r="DA52" s="82"/>
      <c r="DB52" s="82"/>
    </row>
    <row r="53" spans="1:106">
      <c r="A53" s="82"/>
      <c r="B53" s="82"/>
      <c r="C53" s="171"/>
      <c r="D53" s="171"/>
      <c r="E53" s="171"/>
      <c r="F53" s="171"/>
      <c r="G53" s="82"/>
      <c r="H53" s="82"/>
      <c r="I53" s="82"/>
      <c r="J53" s="82"/>
      <c r="K53" s="82"/>
      <c r="L53" s="82"/>
      <c r="M53" s="82"/>
      <c r="N53" s="82"/>
      <c r="O53" s="82"/>
      <c r="P53" s="82"/>
      <c r="Q53" s="82"/>
      <c r="R53" s="82"/>
      <c r="S53" s="82"/>
      <c r="T53" s="82"/>
      <c r="U53" s="82"/>
      <c r="V53" s="82"/>
      <c r="W53" s="82"/>
      <c r="X53" s="82"/>
      <c r="Y53" s="82"/>
      <c r="Z53" s="82"/>
      <c r="AA53" s="86"/>
      <c r="AB53" s="86"/>
      <c r="AC53" s="86"/>
      <c r="AD53" s="82"/>
      <c r="AE53" s="82"/>
      <c r="AF53" s="82"/>
      <c r="AG53" s="82"/>
      <c r="AH53" s="211"/>
      <c r="AI53" s="86"/>
      <c r="AJ53" s="86"/>
      <c r="AK53" s="86"/>
      <c r="AL53" s="211"/>
      <c r="AM53" s="86"/>
      <c r="AN53" s="86"/>
      <c r="AO53" s="86"/>
      <c r="AP53" s="211"/>
      <c r="AQ53" s="86"/>
      <c r="AR53" s="86"/>
      <c r="AS53" s="86"/>
      <c r="AT53" s="211"/>
      <c r="AU53" s="86"/>
      <c r="AV53" s="86"/>
      <c r="AW53" s="86"/>
      <c r="AX53" s="211"/>
      <c r="AY53" s="86"/>
      <c r="AZ53" s="86"/>
      <c r="BA53" s="86"/>
      <c r="BB53" s="211"/>
      <c r="BC53" s="86"/>
      <c r="BD53" s="86"/>
      <c r="BE53" s="86"/>
      <c r="BF53" s="209"/>
      <c r="BG53" s="82"/>
      <c r="BH53" s="82"/>
      <c r="BI53" s="82"/>
      <c r="BJ53" s="210"/>
      <c r="BK53" s="82"/>
      <c r="BL53" s="82"/>
      <c r="BM53" s="82"/>
      <c r="BN53" s="210"/>
      <c r="BO53" s="82"/>
      <c r="BP53" s="82"/>
      <c r="BQ53" s="82"/>
      <c r="BR53" s="210"/>
      <c r="BS53" s="82"/>
      <c r="BT53" s="82"/>
      <c r="BU53" s="82"/>
      <c r="BV53" s="210"/>
      <c r="BW53" s="82"/>
      <c r="BX53" s="82"/>
      <c r="BY53" s="82"/>
      <c r="BZ53" s="210"/>
      <c r="CA53" s="82"/>
      <c r="CB53" s="82"/>
      <c r="CC53" s="82"/>
      <c r="CD53" s="210"/>
      <c r="CE53" s="82"/>
      <c r="CF53" s="82"/>
      <c r="CG53" s="82"/>
      <c r="CH53" s="210"/>
      <c r="CI53" s="82"/>
      <c r="CJ53" s="82"/>
      <c r="CK53" s="82"/>
      <c r="CL53" s="82"/>
      <c r="CM53" s="82"/>
      <c r="CN53" s="82"/>
      <c r="CO53" s="82"/>
      <c r="CP53" s="82"/>
      <c r="CQ53" s="82"/>
      <c r="CR53" s="82"/>
      <c r="CS53" s="82"/>
      <c r="CT53" s="82"/>
      <c r="CU53" s="82"/>
      <c r="CV53" s="82"/>
      <c r="CW53" s="82"/>
      <c r="CX53" s="82"/>
      <c r="CY53" s="82"/>
      <c r="CZ53" s="82"/>
      <c r="DA53" s="82"/>
      <c r="DB53" s="82"/>
    </row>
    <row r="54" spans="1:106">
      <c r="A54" s="82"/>
      <c r="B54" s="82"/>
      <c r="C54" s="171"/>
      <c r="D54" s="171"/>
      <c r="E54" s="171"/>
      <c r="F54" s="171"/>
      <c r="G54" s="82"/>
      <c r="H54" s="82"/>
      <c r="I54" s="82"/>
      <c r="J54" s="82"/>
      <c r="K54" s="82"/>
      <c r="L54" s="82"/>
      <c r="M54" s="82"/>
      <c r="N54" s="82"/>
      <c r="O54" s="82"/>
      <c r="P54" s="82"/>
      <c r="Q54" s="82"/>
      <c r="R54" s="82"/>
      <c r="S54" s="82"/>
      <c r="T54" s="82"/>
      <c r="U54" s="82"/>
      <c r="V54" s="82"/>
      <c r="W54" s="82"/>
      <c r="X54" s="82"/>
      <c r="Y54" s="82"/>
      <c r="Z54" s="82"/>
      <c r="AA54" s="86"/>
      <c r="AB54" s="86"/>
      <c r="AC54" s="86"/>
      <c r="AD54" s="82"/>
      <c r="AE54" s="82"/>
      <c r="AF54" s="82"/>
      <c r="AG54" s="82"/>
      <c r="AH54" s="211"/>
      <c r="AI54" s="86"/>
      <c r="AJ54" s="86"/>
      <c r="AK54" s="86"/>
      <c r="AL54" s="211"/>
      <c r="AM54" s="86"/>
      <c r="AN54" s="86"/>
      <c r="AO54" s="86"/>
      <c r="AP54" s="211"/>
      <c r="AQ54" s="86"/>
      <c r="AR54" s="86"/>
      <c r="AS54" s="86"/>
      <c r="AT54" s="211"/>
      <c r="AU54" s="86"/>
      <c r="AV54" s="86"/>
      <c r="AW54" s="86"/>
      <c r="AX54" s="211"/>
      <c r="AY54" s="86"/>
      <c r="AZ54" s="86"/>
      <c r="BA54" s="86"/>
      <c r="BB54" s="211"/>
      <c r="BC54" s="86"/>
      <c r="BD54" s="86"/>
      <c r="BE54" s="86"/>
      <c r="BF54" s="209"/>
      <c r="BG54" s="82"/>
      <c r="BH54" s="82"/>
      <c r="BI54" s="82"/>
      <c r="BJ54" s="210"/>
      <c r="BK54" s="82"/>
      <c r="BL54" s="82"/>
      <c r="BM54" s="82"/>
      <c r="BN54" s="210"/>
      <c r="BO54" s="82"/>
      <c r="BP54" s="82"/>
      <c r="BQ54" s="82"/>
      <c r="BR54" s="210"/>
      <c r="BS54" s="82"/>
      <c r="BT54" s="82"/>
      <c r="BU54" s="82"/>
      <c r="BV54" s="210"/>
      <c r="BW54" s="82"/>
      <c r="BX54" s="82"/>
      <c r="BY54" s="82"/>
      <c r="BZ54" s="210"/>
      <c r="CA54" s="82"/>
      <c r="CB54" s="82"/>
      <c r="CC54" s="82"/>
      <c r="CD54" s="210"/>
      <c r="CE54" s="82"/>
      <c r="CF54" s="82"/>
      <c r="CG54" s="82"/>
      <c r="CH54" s="210"/>
      <c r="CI54" s="82"/>
      <c r="CJ54" s="82"/>
      <c r="CK54" s="82"/>
      <c r="CL54" s="82"/>
      <c r="CM54" s="82"/>
      <c r="CN54" s="82"/>
      <c r="CO54" s="82"/>
      <c r="CP54" s="82"/>
      <c r="CQ54" s="82"/>
      <c r="CR54" s="82"/>
      <c r="CS54" s="82"/>
      <c r="CT54" s="82"/>
      <c r="CU54" s="82"/>
      <c r="CV54" s="82"/>
      <c r="CW54" s="82"/>
      <c r="CX54" s="82"/>
      <c r="CY54" s="82"/>
      <c r="CZ54" s="82"/>
      <c r="DA54" s="82"/>
      <c r="DB54" s="82"/>
    </row>
    <row r="55" spans="1:106">
      <c r="A55" s="82"/>
      <c r="B55" s="82"/>
      <c r="C55" s="171"/>
      <c r="D55" s="171"/>
      <c r="E55" s="171"/>
      <c r="F55" s="171"/>
      <c r="G55" s="82"/>
      <c r="H55" s="82"/>
      <c r="I55" s="82"/>
      <c r="J55" s="82"/>
      <c r="K55" s="82"/>
      <c r="L55" s="82"/>
      <c r="M55" s="82"/>
      <c r="N55" s="82"/>
      <c r="O55" s="82"/>
      <c r="P55" s="82"/>
      <c r="Q55" s="82"/>
      <c r="R55" s="82"/>
      <c r="S55" s="82"/>
      <c r="T55" s="82"/>
      <c r="U55" s="82"/>
      <c r="V55" s="82"/>
      <c r="W55" s="82"/>
      <c r="X55" s="82"/>
      <c r="Y55" s="82"/>
      <c r="Z55" s="82"/>
      <c r="AA55" s="86"/>
      <c r="AB55" s="86"/>
      <c r="AC55" s="86"/>
      <c r="AD55" s="82"/>
      <c r="AE55" s="82"/>
      <c r="AF55" s="82"/>
      <c r="AG55" s="82"/>
      <c r="AH55" s="211"/>
      <c r="AI55" s="86"/>
      <c r="AJ55" s="86"/>
      <c r="AK55" s="86"/>
      <c r="AL55" s="211"/>
      <c r="AM55" s="86"/>
      <c r="AN55" s="86"/>
      <c r="AO55" s="86"/>
      <c r="AP55" s="211"/>
      <c r="AQ55" s="86"/>
      <c r="AR55" s="86"/>
      <c r="AS55" s="86"/>
      <c r="AT55" s="211"/>
      <c r="AU55" s="86"/>
      <c r="AV55" s="86"/>
      <c r="AW55" s="86"/>
      <c r="AX55" s="211"/>
      <c r="AY55" s="86"/>
      <c r="AZ55" s="86"/>
      <c r="BA55" s="86"/>
      <c r="BB55" s="211"/>
      <c r="BC55" s="86"/>
      <c r="BD55" s="86"/>
      <c r="BE55" s="86"/>
      <c r="BF55" s="209"/>
      <c r="BG55" s="82"/>
      <c r="BH55" s="82"/>
      <c r="BI55" s="82"/>
      <c r="BJ55" s="210"/>
      <c r="BK55" s="82"/>
      <c r="BL55" s="82"/>
      <c r="BM55" s="82"/>
      <c r="BN55" s="210"/>
      <c r="BO55" s="82"/>
      <c r="BP55" s="82"/>
      <c r="BQ55" s="82"/>
      <c r="BR55" s="210"/>
      <c r="BS55" s="82"/>
      <c r="BT55" s="82"/>
      <c r="BU55" s="82"/>
      <c r="BV55" s="210"/>
      <c r="BW55" s="82"/>
      <c r="BX55" s="82"/>
      <c r="BY55" s="82"/>
      <c r="BZ55" s="210"/>
      <c r="CA55" s="82"/>
      <c r="CB55" s="82"/>
      <c r="CC55" s="82"/>
      <c r="CD55" s="210"/>
      <c r="CE55" s="82"/>
      <c r="CF55" s="82"/>
      <c r="CG55" s="82"/>
      <c r="CH55" s="210"/>
      <c r="CI55" s="82"/>
      <c r="CJ55" s="82"/>
      <c r="CK55" s="82"/>
      <c r="CL55" s="82"/>
      <c r="CM55" s="82"/>
      <c r="CN55" s="82"/>
      <c r="CO55" s="82"/>
      <c r="CP55" s="82"/>
      <c r="CQ55" s="82"/>
      <c r="CR55" s="82"/>
      <c r="CS55" s="82"/>
      <c r="CT55" s="82"/>
      <c r="CU55" s="82"/>
      <c r="CV55" s="82"/>
      <c r="CW55" s="82"/>
      <c r="CX55" s="82"/>
      <c r="CY55" s="82"/>
      <c r="CZ55" s="82"/>
      <c r="DA55" s="82"/>
      <c r="DB55" s="82"/>
    </row>
    <row r="56" spans="1:106">
      <c r="A56" s="82"/>
      <c r="B56" s="82"/>
      <c r="C56" s="171"/>
      <c r="D56" s="171"/>
      <c r="E56" s="171"/>
      <c r="F56" s="171"/>
      <c r="G56" s="82"/>
      <c r="H56" s="82"/>
      <c r="I56" s="82"/>
      <c r="J56" s="82"/>
      <c r="K56" s="82"/>
      <c r="L56" s="82"/>
      <c r="M56" s="82"/>
      <c r="N56" s="82"/>
      <c r="O56" s="82"/>
      <c r="P56" s="82"/>
      <c r="Q56" s="82"/>
      <c r="R56" s="82"/>
      <c r="S56" s="82"/>
      <c r="T56" s="82"/>
      <c r="U56" s="82"/>
      <c r="V56" s="82"/>
      <c r="W56" s="82"/>
      <c r="X56" s="82"/>
      <c r="Y56" s="82"/>
      <c r="Z56" s="82"/>
      <c r="AA56" s="86"/>
      <c r="AB56" s="86"/>
      <c r="AC56" s="86"/>
      <c r="AD56" s="82"/>
      <c r="AE56" s="82"/>
      <c r="AF56" s="82"/>
      <c r="AG56" s="82"/>
      <c r="AH56" s="211"/>
      <c r="AI56" s="86"/>
      <c r="AJ56" s="86"/>
      <c r="AK56" s="86"/>
      <c r="AL56" s="211"/>
      <c r="AM56" s="86"/>
      <c r="AN56" s="86"/>
      <c r="AO56" s="86"/>
      <c r="AP56" s="211"/>
      <c r="AQ56" s="86"/>
      <c r="AR56" s="86"/>
      <c r="AS56" s="86"/>
      <c r="AT56" s="211"/>
      <c r="AU56" s="86"/>
      <c r="AV56" s="86"/>
      <c r="AW56" s="86"/>
      <c r="AX56" s="211"/>
      <c r="AY56" s="86"/>
      <c r="AZ56" s="86"/>
      <c r="BA56" s="86"/>
      <c r="BB56" s="211"/>
      <c r="BC56" s="86"/>
      <c r="BD56" s="86"/>
      <c r="BE56" s="86"/>
      <c r="BF56" s="209"/>
      <c r="BG56" s="82"/>
      <c r="BH56" s="82"/>
      <c r="BI56" s="82"/>
      <c r="BJ56" s="210"/>
      <c r="BK56" s="82"/>
      <c r="BL56" s="82"/>
      <c r="BM56" s="82"/>
      <c r="BN56" s="210"/>
      <c r="BO56" s="82"/>
      <c r="BP56" s="82"/>
      <c r="BQ56" s="82"/>
      <c r="BR56" s="210"/>
      <c r="BS56" s="82"/>
      <c r="BT56" s="82"/>
      <c r="BU56" s="82"/>
      <c r="BV56" s="210"/>
      <c r="BW56" s="82"/>
      <c r="BX56" s="82"/>
      <c r="BY56" s="82"/>
      <c r="BZ56" s="210"/>
      <c r="CA56" s="82"/>
      <c r="CB56" s="82"/>
      <c r="CC56" s="82"/>
      <c r="CD56" s="210"/>
      <c r="CE56" s="82"/>
      <c r="CF56" s="82"/>
      <c r="CG56" s="82"/>
      <c r="CH56" s="210"/>
      <c r="CI56" s="82"/>
      <c r="CJ56" s="82"/>
      <c r="CK56" s="82"/>
      <c r="CL56" s="82"/>
      <c r="CM56" s="82"/>
      <c r="CN56" s="82"/>
      <c r="CO56" s="82"/>
      <c r="CP56" s="82"/>
      <c r="CQ56" s="82"/>
      <c r="CR56" s="82"/>
      <c r="CS56" s="82"/>
      <c r="CT56" s="82"/>
      <c r="CU56" s="82"/>
      <c r="CV56" s="82"/>
      <c r="CW56" s="82"/>
      <c r="CX56" s="82"/>
      <c r="CY56" s="82"/>
      <c r="CZ56" s="82"/>
      <c r="DA56" s="82"/>
      <c r="DB56" s="82"/>
    </row>
    <row r="57" spans="1:106">
      <c r="A57" s="82"/>
      <c r="B57" s="82"/>
      <c r="C57" s="171"/>
      <c r="D57" s="171"/>
      <c r="E57" s="171"/>
      <c r="F57" s="171"/>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206"/>
      <c r="AI57" s="82"/>
      <c r="AJ57" s="82"/>
      <c r="AK57" s="82"/>
      <c r="AL57" s="206"/>
      <c r="AM57" s="82"/>
      <c r="AN57" s="82"/>
      <c r="AO57" s="82"/>
      <c r="AP57" s="206"/>
      <c r="AQ57" s="82"/>
      <c r="AR57" s="82"/>
      <c r="AS57" s="82"/>
      <c r="AT57" s="206"/>
      <c r="AU57" s="82"/>
      <c r="AV57" s="82"/>
      <c r="AW57" s="82"/>
      <c r="AX57" s="206"/>
      <c r="AY57" s="82"/>
      <c r="AZ57" s="82"/>
      <c r="BA57" s="82"/>
      <c r="BB57" s="206"/>
      <c r="BC57" s="82"/>
      <c r="BD57" s="82"/>
      <c r="BE57" s="82"/>
      <c r="BF57" s="209"/>
      <c r="BG57" s="82"/>
      <c r="BH57" s="82"/>
      <c r="BI57" s="82"/>
      <c r="BJ57" s="210"/>
      <c r="BK57" s="82"/>
      <c r="BL57" s="82"/>
      <c r="BM57" s="82"/>
      <c r="BN57" s="210"/>
      <c r="BO57" s="82"/>
      <c r="BP57" s="82"/>
      <c r="BQ57" s="82"/>
      <c r="BR57" s="210"/>
      <c r="BS57" s="82"/>
      <c r="BT57" s="82"/>
      <c r="BU57" s="82"/>
      <c r="BV57" s="210"/>
      <c r="BW57" s="82"/>
      <c r="BX57" s="82"/>
      <c r="BY57" s="82"/>
      <c r="BZ57" s="210"/>
      <c r="CA57" s="82"/>
      <c r="CB57" s="82"/>
      <c r="CC57" s="82"/>
      <c r="CD57" s="210"/>
      <c r="CE57" s="82"/>
      <c r="CF57" s="82"/>
      <c r="CG57" s="82"/>
      <c r="CH57" s="210"/>
      <c r="CI57" s="82"/>
      <c r="CJ57" s="82"/>
      <c r="CK57" s="82"/>
      <c r="CL57" s="82"/>
      <c r="CM57" s="82"/>
      <c r="CN57" s="82"/>
      <c r="CO57" s="82"/>
      <c r="CP57" s="82"/>
      <c r="CQ57" s="82"/>
      <c r="CR57" s="82"/>
      <c r="CS57" s="82"/>
      <c r="CT57" s="82"/>
      <c r="CU57" s="82"/>
      <c r="CV57" s="82"/>
      <c r="CW57" s="82"/>
      <c r="CX57" s="82"/>
      <c r="CY57" s="82"/>
      <c r="CZ57" s="82"/>
      <c r="DA57" s="82"/>
      <c r="DB57" s="82"/>
    </row>
    <row r="58" spans="1:106">
      <c r="A58" s="82"/>
      <c r="B58" s="82"/>
      <c r="C58" s="171"/>
      <c r="D58" s="171"/>
      <c r="E58" s="171"/>
      <c r="F58" s="171"/>
      <c r="G58" s="82"/>
      <c r="H58" s="82"/>
      <c r="I58" s="82"/>
      <c r="J58" s="82"/>
      <c r="K58" s="82"/>
      <c r="L58" s="82"/>
      <c r="M58" s="82"/>
      <c r="N58" s="82"/>
      <c r="O58" s="82"/>
      <c r="P58" s="82"/>
      <c r="Q58" s="82"/>
      <c r="R58" s="82"/>
      <c r="S58" s="82"/>
      <c r="T58" s="82"/>
      <c r="U58" s="82"/>
      <c r="V58" s="82"/>
      <c r="W58" s="82"/>
      <c r="X58" s="82"/>
      <c r="Y58" s="82"/>
      <c r="Z58" s="82"/>
      <c r="AA58" s="82">
        <f t="shared" ref="AA58:AA66" si="21">AB58-(2*AE58)</f>
        <v>11.1252</v>
      </c>
      <c r="AB58" s="82">
        <f>2.54*5.2</f>
        <v>13.208</v>
      </c>
      <c r="AC58" s="82">
        <f t="shared" ref="AC58:AC66" si="22">AB58+(2*AE58)</f>
        <v>15.290800000000001</v>
      </c>
      <c r="AD58" s="82"/>
      <c r="AE58" s="82">
        <f>2.54*0.41</f>
        <v>1.0413999999999999</v>
      </c>
      <c r="AF58" s="82"/>
      <c r="AG58" s="82"/>
      <c r="AH58" s="206"/>
      <c r="AI58" s="82"/>
      <c r="AJ58" s="82"/>
      <c r="AK58" s="82"/>
      <c r="AL58" s="206"/>
      <c r="AM58" s="82"/>
      <c r="AN58" s="82"/>
      <c r="AO58" s="82"/>
      <c r="AP58" s="206"/>
      <c r="AQ58" s="82"/>
      <c r="AR58" s="82"/>
      <c r="AS58" s="82"/>
      <c r="AT58" s="206"/>
      <c r="AU58" s="82"/>
      <c r="AV58" s="82"/>
      <c r="AW58" s="82"/>
      <c r="AX58" s="206"/>
      <c r="AY58" s="82"/>
      <c r="AZ58" s="82"/>
      <c r="BA58" s="82"/>
      <c r="BB58" s="206"/>
      <c r="BC58" s="82"/>
      <c r="BD58" s="82"/>
      <c r="BE58" s="82"/>
      <c r="BF58" s="209"/>
      <c r="BG58" s="82"/>
      <c r="BH58" s="82"/>
      <c r="BI58" s="82"/>
      <c r="BJ58" s="210"/>
      <c r="BK58" s="82"/>
      <c r="BL58" s="82"/>
      <c r="BM58" s="82"/>
      <c r="BN58" s="210"/>
      <c r="BO58" s="82"/>
      <c r="BP58" s="82"/>
      <c r="BQ58" s="82"/>
      <c r="BR58" s="210"/>
      <c r="BS58" s="82"/>
      <c r="BT58" s="82"/>
      <c r="BU58" s="82"/>
      <c r="BV58" s="210"/>
      <c r="BW58" s="82"/>
      <c r="BX58" s="82"/>
      <c r="BY58" s="82"/>
      <c r="BZ58" s="210"/>
      <c r="CA58" s="82"/>
      <c r="CB58" s="82"/>
      <c r="CC58" s="82"/>
      <c r="CD58" s="210"/>
      <c r="CE58" s="82"/>
      <c r="CF58" s="82"/>
      <c r="CG58" s="82"/>
      <c r="CH58" s="210"/>
      <c r="CI58" s="82"/>
      <c r="CJ58" s="82"/>
      <c r="CK58" s="82"/>
      <c r="CL58" s="82"/>
      <c r="CM58" s="82"/>
      <c r="CN58" s="82"/>
      <c r="CO58" s="82"/>
      <c r="CP58" s="82"/>
      <c r="CQ58" s="82"/>
      <c r="CR58" s="82"/>
      <c r="CS58" s="82"/>
      <c r="CT58" s="82"/>
      <c r="CU58" s="82"/>
      <c r="CV58" s="82"/>
      <c r="CW58" s="82"/>
      <c r="CX58" s="82"/>
      <c r="CY58" s="82"/>
      <c r="CZ58" s="82"/>
      <c r="DA58" s="82"/>
      <c r="DB58" s="82"/>
    </row>
    <row r="59" spans="1:106">
      <c r="A59" s="82"/>
      <c r="B59" s="82"/>
      <c r="C59" s="275"/>
      <c r="D59" s="171"/>
      <c r="E59" s="171"/>
      <c r="F59" s="171"/>
      <c r="G59" s="82"/>
      <c r="H59" s="82"/>
      <c r="I59" s="82"/>
      <c r="J59" s="82"/>
      <c r="K59" s="82"/>
      <c r="L59" s="82"/>
      <c r="M59" s="82"/>
      <c r="N59" s="82"/>
      <c r="O59" s="82"/>
      <c r="P59" s="82"/>
      <c r="Q59" s="82"/>
      <c r="R59" s="82"/>
      <c r="S59" s="82"/>
      <c r="T59" s="82"/>
      <c r="U59" s="82"/>
      <c r="V59" s="82"/>
      <c r="W59" s="82"/>
      <c r="X59" s="82"/>
      <c r="Y59" s="82"/>
      <c r="Z59" s="82"/>
      <c r="AA59" s="82">
        <f t="shared" si="21"/>
        <v>12.191999999999998</v>
      </c>
      <c r="AB59" s="82">
        <f>2.54*5.6</f>
        <v>14.223999999999998</v>
      </c>
      <c r="AC59" s="82">
        <f t="shared" si="22"/>
        <v>16.256</v>
      </c>
      <c r="AD59" s="82"/>
      <c r="AE59" s="82">
        <f>2.54*0.4</f>
        <v>1.016</v>
      </c>
      <c r="AF59" s="82"/>
      <c r="AG59" s="82"/>
      <c r="AH59" s="206"/>
      <c r="AI59" s="82"/>
      <c r="AJ59" s="82"/>
      <c r="AK59" s="82"/>
      <c r="AL59" s="206"/>
      <c r="AM59" s="82"/>
      <c r="AN59" s="82"/>
      <c r="AO59" s="82"/>
      <c r="AP59" s="206"/>
      <c r="AQ59" s="82"/>
      <c r="AR59" s="82"/>
      <c r="AS59" s="82"/>
      <c r="AT59" s="206"/>
      <c r="AU59" s="82"/>
      <c r="AV59" s="82"/>
      <c r="AW59" s="82"/>
      <c r="AX59" s="206"/>
      <c r="AY59" s="82"/>
      <c r="AZ59" s="82"/>
      <c r="BA59" s="82"/>
      <c r="BB59" s="206"/>
      <c r="BC59" s="82"/>
      <c r="BD59" s="82"/>
      <c r="BE59" s="82"/>
      <c r="BF59" s="209"/>
      <c r="BG59" s="82"/>
      <c r="BH59" s="82"/>
      <c r="BI59" s="82"/>
      <c r="BJ59" s="210"/>
      <c r="BK59" s="82"/>
      <c r="BL59" s="82"/>
      <c r="BM59" s="82"/>
      <c r="BN59" s="210"/>
      <c r="BO59" s="82"/>
      <c r="BP59" s="82"/>
      <c r="BQ59" s="82"/>
      <c r="BR59" s="210"/>
      <c r="BS59" s="82"/>
      <c r="BT59" s="82"/>
      <c r="BU59" s="82"/>
      <c r="BV59" s="210"/>
      <c r="BW59" s="82"/>
      <c r="BX59" s="82"/>
      <c r="BY59" s="82"/>
      <c r="BZ59" s="210"/>
      <c r="CA59" s="82"/>
      <c r="CB59" s="82"/>
      <c r="CC59" s="82"/>
      <c r="CD59" s="210"/>
      <c r="CE59" s="82"/>
      <c r="CF59" s="82"/>
      <c r="CG59" s="82"/>
      <c r="CH59" s="210"/>
      <c r="CI59" s="82"/>
      <c r="CJ59" s="82"/>
      <c r="CK59" s="82"/>
      <c r="CL59" s="82"/>
      <c r="CM59" s="82"/>
      <c r="CN59" s="82"/>
      <c r="CO59" s="82"/>
      <c r="CP59" s="82"/>
      <c r="CQ59" s="82"/>
      <c r="CR59" s="82"/>
      <c r="CS59" s="82"/>
      <c r="CT59" s="82"/>
      <c r="CU59" s="82"/>
      <c r="CV59" s="82"/>
      <c r="CW59" s="82"/>
      <c r="CX59" s="82"/>
      <c r="CY59" s="82"/>
      <c r="CZ59" s="82"/>
      <c r="DA59" s="82"/>
      <c r="DB59" s="82"/>
    </row>
    <row r="60" spans="1:106">
      <c r="A60" s="82"/>
      <c r="B60" s="82"/>
      <c r="C60" s="171"/>
      <c r="D60" s="171"/>
      <c r="E60" s="171"/>
      <c r="F60" s="171"/>
      <c r="G60" s="82"/>
      <c r="H60" s="82"/>
      <c r="I60" s="82"/>
      <c r="J60" s="82"/>
      <c r="K60" s="82"/>
      <c r="L60" s="82"/>
      <c r="M60" s="82"/>
      <c r="N60" s="82"/>
      <c r="O60" s="82"/>
      <c r="P60" s="82"/>
      <c r="Q60" s="82"/>
      <c r="R60" s="82"/>
      <c r="S60" s="82"/>
      <c r="T60" s="82"/>
      <c r="U60" s="82"/>
      <c r="V60" s="82"/>
      <c r="W60" s="82"/>
      <c r="X60" s="82"/>
      <c r="Y60" s="82"/>
      <c r="Z60" s="82"/>
      <c r="AA60" s="82">
        <f t="shared" si="21"/>
        <v>12.903200000000002</v>
      </c>
      <c r="AB60" s="82">
        <f>2.54*5.9</f>
        <v>14.986000000000001</v>
      </c>
      <c r="AC60" s="82">
        <f t="shared" si="22"/>
        <v>17.0688</v>
      </c>
      <c r="AD60" s="82"/>
      <c r="AE60" s="82">
        <f>2.54*0.41</f>
        <v>1.0413999999999999</v>
      </c>
      <c r="AF60" s="82"/>
      <c r="AG60" s="82"/>
      <c r="AH60" s="206"/>
      <c r="AI60" s="82"/>
      <c r="AJ60" s="82"/>
      <c r="AK60" s="82"/>
      <c r="AL60" s="206"/>
      <c r="AM60" s="82"/>
      <c r="AN60" s="82"/>
      <c r="AO60" s="82"/>
      <c r="AP60" s="206"/>
      <c r="AQ60" s="82"/>
      <c r="AR60" s="82"/>
      <c r="AS60" s="82"/>
      <c r="AT60" s="206"/>
      <c r="AU60" s="82"/>
      <c r="AV60" s="82"/>
      <c r="AW60" s="82"/>
      <c r="AX60" s="206"/>
      <c r="AY60" s="82"/>
      <c r="AZ60" s="82"/>
      <c r="BA60" s="82"/>
      <c r="BB60" s="206"/>
      <c r="BC60" s="82"/>
      <c r="BD60" s="82"/>
      <c r="BE60" s="82"/>
      <c r="BF60" s="209"/>
      <c r="BG60" s="82"/>
      <c r="BH60" s="82"/>
      <c r="BI60" s="82"/>
      <c r="BJ60" s="210"/>
      <c r="BK60" s="82"/>
      <c r="BL60" s="82"/>
      <c r="BM60" s="82"/>
      <c r="BN60" s="210"/>
      <c r="BO60" s="82"/>
      <c r="BP60" s="82"/>
      <c r="BQ60" s="82"/>
      <c r="BR60" s="210"/>
      <c r="BS60" s="82"/>
      <c r="BT60" s="82"/>
      <c r="BU60" s="82"/>
      <c r="BV60" s="210"/>
      <c r="BW60" s="82"/>
      <c r="BX60" s="82"/>
      <c r="BY60" s="82"/>
      <c r="BZ60" s="210"/>
      <c r="CA60" s="82"/>
      <c r="CB60" s="82"/>
      <c r="CC60" s="82"/>
      <c r="CD60" s="210"/>
      <c r="CE60" s="82"/>
      <c r="CF60" s="82"/>
      <c r="CG60" s="82"/>
      <c r="CH60" s="210"/>
      <c r="CI60" s="82"/>
      <c r="CJ60" s="82"/>
      <c r="CK60" s="82"/>
      <c r="CL60" s="82"/>
      <c r="CM60" s="82"/>
      <c r="CN60" s="82"/>
      <c r="CO60" s="82"/>
      <c r="CP60" s="82"/>
      <c r="CQ60" s="82"/>
      <c r="CR60" s="82"/>
      <c r="CS60" s="82"/>
      <c r="CT60" s="82"/>
      <c r="CU60" s="82"/>
      <c r="CV60" s="82"/>
      <c r="CW60" s="82"/>
      <c r="CX60" s="82"/>
      <c r="CY60" s="82"/>
      <c r="CZ60" s="82"/>
      <c r="DA60" s="82"/>
      <c r="DB60" s="82"/>
    </row>
    <row r="61" spans="1:106">
      <c r="A61" s="82"/>
      <c r="B61" s="82"/>
      <c r="C61" s="171"/>
      <c r="D61" s="171"/>
      <c r="E61" s="171"/>
      <c r="F61" s="171"/>
      <c r="G61" s="82"/>
      <c r="H61" s="82"/>
      <c r="I61" s="82"/>
      <c r="J61" s="82"/>
      <c r="K61" s="82"/>
      <c r="L61" s="82"/>
      <c r="M61" s="82"/>
      <c r="N61" s="82"/>
      <c r="O61" s="82"/>
      <c r="P61" s="82"/>
      <c r="Q61" s="82"/>
      <c r="R61" s="82"/>
      <c r="S61" s="82"/>
      <c r="T61" s="82"/>
      <c r="U61" s="82"/>
      <c r="V61" s="82"/>
      <c r="W61" s="82"/>
      <c r="X61" s="82"/>
      <c r="Y61" s="82"/>
      <c r="Z61" s="82"/>
      <c r="AA61" s="82">
        <f t="shared" si="21"/>
        <v>13.004800000000001</v>
      </c>
      <c r="AB61" s="82">
        <f>2.54*5.9</f>
        <v>14.986000000000001</v>
      </c>
      <c r="AC61" s="82">
        <f t="shared" si="22"/>
        <v>16.967200000000002</v>
      </c>
      <c r="AD61" s="82"/>
      <c r="AE61" s="82">
        <f>2.54*0.39</f>
        <v>0.99060000000000004</v>
      </c>
      <c r="AF61" s="82"/>
      <c r="AG61" s="82"/>
      <c r="AH61" s="206"/>
      <c r="AI61" s="82"/>
      <c r="AJ61" s="82"/>
      <c r="AK61" s="82"/>
      <c r="AL61" s="206"/>
      <c r="AM61" s="82"/>
      <c r="AN61" s="82"/>
      <c r="AO61" s="82"/>
      <c r="AP61" s="206"/>
      <c r="AQ61" s="82"/>
      <c r="AR61" s="82"/>
      <c r="AS61" s="82"/>
      <c r="AT61" s="206"/>
      <c r="AU61" s="82"/>
      <c r="AV61" s="82"/>
      <c r="AW61" s="82"/>
      <c r="AX61" s="206"/>
      <c r="AY61" s="82"/>
      <c r="AZ61" s="82"/>
      <c r="BA61" s="82"/>
      <c r="BB61" s="206"/>
      <c r="BC61" s="82"/>
      <c r="BD61" s="82"/>
      <c r="BE61" s="82"/>
      <c r="BF61" s="209"/>
      <c r="BG61" s="82"/>
      <c r="BH61" s="82"/>
      <c r="BI61" s="82"/>
      <c r="BJ61" s="210"/>
      <c r="BK61" s="82"/>
      <c r="BL61" s="82"/>
      <c r="BM61" s="82"/>
      <c r="BN61" s="210"/>
      <c r="BO61" s="82"/>
      <c r="BP61" s="82"/>
      <c r="BQ61" s="82"/>
      <c r="BR61" s="210"/>
      <c r="BS61" s="82"/>
      <c r="BT61" s="82"/>
      <c r="BU61" s="82"/>
      <c r="BV61" s="210"/>
      <c r="BW61" s="82"/>
      <c r="BX61" s="82"/>
      <c r="BY61" s="82"/>
      <c r="BZ61" s="210"/>
      <c r="CA61" s="82"/>
      <c r="CB61" s="82"/>
      <c r="CC61" s="82"/>
      <c r="CD61" s="210"/>
      <c r="CE61" s="82"/>
      <c r="CF61" s="82"/>
      <c r="CG61" s="82"/>
      <c r="CH61" s="210"/>
      <c r="CI61" s="82"/>
      <c r="CJ61" s="82"/>
      <c r="CK61" s="82"/>
      <c r="CL61" s="82"/>
      <c r="CM61" s="82"/>
      <c r="CN61" s="82"/>
      <c r="CO61" s="82"/>
      <c r="CP61" s="82"/>
      <c r="CQ61" s="82"/>
      <c r="CR61" s="82"/>
      <c r="CS61" s="82"/>
      <c r="CT61" s="82"/>
      <c r="CU61" s="82"/>
      <c r="CV61" s="82"/>
      <c r="CW61" s="82"/>
      <c r="CX61" s="82"/>
      <c r="CY61" s="82"/>
      <c r="CZ61" s="82"/>
      <c r="DA61" s="82"/>
      <c r="DB61" s="82"/>
    </row>
    <row r="62" spans="1:106">
      <c r="A62" s="82"/>
      <c r="B62" s="82"/>
      <c r="C62" s="171"/>
      <c r="D62" s="171"/>
      <c r="E62" s="171"/>
      <c r="F62" s="171"/>
      <c r="G62" s="82"/>
      <c r="H62" s="82"/>
      <c r="I62" s="82"/>
      <c r="J62" s="82"/>
      <c r="K62" s="82"/>
      <c r="L62" s="82"/>
      <c r="M62" s="82"/>
      <c r="N62" s="82"/>
      <c r="O62" s="82"/>
      <c r="P62" s="82"/>
      <c r="Q62" s="82"/>
      <c r="R62" s="82"/>
      <c r="S62" s="82"/>
      <c r="T62" s="82"/>
      <c r="U62" s="82"/>
      <c r="V62" s="82"/>
      <c r="W62" s="82"/>
      <c r="X62" s="82"/>
      <c r="Y62" s="82"/>
      <c r="Z62" s="82"/>
      <c r="AA62" s="82">
        <f t="shared" si="21"/>
        <v>12.903200000000002</v>
      </c>
      <c r="AB62" s="82">
        <f>2.54*5.9</f>
        <v>14.986000000000001</v>
      </c>
      <c r="AC62" s="82">
        <f t="shared" si="22"/>
        <v>17.0688</v>
      </c>
      <c r="AD62" s="82"/>
      <c r="AE62" s="82">
        <f>2.54*0.41</f>
        <v>1.0413999999999999</v>
      </c>
      <c r="AF62" s="82"/>
      <c r="AG62" s="82"/>
      <c r="AH62" s="206"/>
      <c r="AI62" s="82"/>
      <c r="AJ62" s="82"/>
      <c r="AK62" s="82"/>
      <c r="AL62" s="206"/>
      <c r="AM62" s="82"/>
      <c r="AN62" s="82"/>
      <c r="AO62" s="82"/>
      <c r="AP62" s="206"/>
      <c r="AQ62" s="82"/>
      <c r="AR62" s="82"/>
      <c r="AS62" s="82"/>
      <c r="AT62" s="206"/>
      <c r="AU62" s="82"/>
      <c r="AV62" s="82"/>
      <c r="AW62" s="82"/>
      <c r="AX62" s="206"/>
      <c r="AY62" s="82"/>
      <c r="AZ62" s="82"/>
      <c r="BA62" s="82"/>
      <c r="BB62" s="206"/>
      <c r="BC62" s="82"/>
      <c r="BD62" s="82"/>
      <c r="BE62" s="82"/>
      <c r="BF62" s="209"/>
      <c r="BG62" s="82"/>
      <c r="BH62" s="82"/>
      <c r="BI62" s="82"/>
      <c r="BJ62" s="210"/>
      <c r="BK62" s="82"/>
      <c r="BL62" s="82"/>
      <c r="BM62" s="82"/>
      <c r="BN62" s="210"/>
      <c r="BO62" s="82"/>
      <c r="BP62" s="82"/>
      <c r="BQ62" s="82"/>
      <c r="BR62" s="210"/>
      <c r="BS62" s="82"/>
      <c r="BT62" s="82"/>
      <c r="BU62" s="82"/>
      <c r="BV62" s="210"/>
      <c r="BW62" s="82"/>
      <c r="BX62" s="82"/>
      <c r="BY62" s="82"/>
      <c r="BZ62" s="210"/>
      <c r="CA62" s="82"/>
      <c r="CB62" s="82"/>
      <c r="CC62" s="82"/>
      <c r="CD62" s="210"/>
      <c r="CE62" s="82"/>
      <c r="CF62" s="82"/>
      <c r="CG62" s="82"/>
      <c r="CH62" s="210"/>
      <c r="CI62" s="82"/>
      <c r="CJ62" s="82"/>
      <c r="CK62" s="82"/>
      <c r="CL62" s="82"/>
      <c r="CM62" s="82"/>
      <c r="CN62" s="82"/>
      <c r="CO62" s="82"/>
      <c r="CP62" s="82"/>
      <c r="CQ62" s="82"/>
      <c r="CR62" s="82"/>
      <c r="CS62" s="82"/>
      <c r="CT62" s="82"/>
      <c r="CU62" s="82"/>
      <c r="CV62" s="82"/>
      <c r="CW62" s="82"/>
      <c r="CX62" s="82"/>
      <c r="CY62" s="82"/>
      <c r="CZ62" s="82"/>
      <c r="DA62" s="82"/>
      <c r="DB62" s="82"/>
    </row>
    <row r="63" spans="1:106">
      <c r="A63" s="82"/>
      <c r="B63" s="82"/>
      <c r="C63" s="171"/>
      <c r="D63" s="171"/>
      <c r="E63" s="171"/>
      <c r="F63" s="171"/>
      <c r="G63" s="82"/>
      <c r="H63" s="82"/>
      <c r="I63" s="82"/>
      <c r="J63" s="82"/>
      <c r="K63" s="82"/>
      <c r="L63" s="82"/>
      <c r="M63" s="82"/>
      <c r="N63" s="82"/>
      <c r="O63" s="82"/>
      <c r="P63" s="82"/>
      <c r="Q63" s="82"/>
      <c r="R63" s="82"/>
      <c r="S63" s="82"/>
      <c r="T63" s="82"/>
      <c r="U63" s="82"/>
      <c r="V63" s="82"/>
      <c r="W63" s="82"/>
      <c r="X63" s="82"/>
      <c r="Y63" s="82"/>
      <c r="Z63" s="82"/>
      <c r="AA63" s="82">
        <f t="shared" si="21"/>
        <v>12.598400000000002</v>
      </c>
      <c r="AB63" s="82">
        <f>2.54*5.9</f>
        <v>14.986000000000001</v>
      </c>
      <c r="AC63" s="82">
        <f t="shared" si="22"/>
        <v>17.3736</v>
      </c>
      <c r="AD63" s="82"/>
      <c r="AE63" s="82">
        <f>2.54*0.47</f>
        <v>1.1938</v>
      </c>
      <c r="AF63" s="82"/>
      <c r="AG63" s="82"/>
      <c r="AH63" s="206"/>
      <c r="AI63" s="82"/>
      <c r="AJ63" s="82"/>
      <c r="AK63" s="82"/>
      <c r="AL63" s="206"/>
      <c r="AM63" s="82"/>
      <c r="AN63" s="82"/>
      <c r="AO63" s="82"/>
      <c r="AP63" s="206"/>
      <c r="AQ63" s="82"/>
      <c r="AR63" s="82"/>
      <c r="AS63" s="82"/>
      <c r="AT63" s="206"/>
      <c r="AU63" s="82"/>
      <c r="AV63" s="82"/>
      <c r="AW63" s="82"/>
      <c r="AX63" s="206"/>
      <c r="AY63" s="82"/>
      <c r="AZ63" s="82"/>
      <c r="BA63" s="82"/>
      <c r="BB63" s="206"/>
      <c r="BC63" s="82"/>
      <c r="BD63" s="82"/>
      <c r="BE63" s="82"/>
      <c r="BF63" s="209"/>
      <c r="BG63" s="82"/>
      <c r="BH63" s="82"/>
      <c r="BI63" s="82"/>
      <c r="BJ63" s="210"/>
      <c r="BK63" s="82"/>
      <c r="BL63" s="82"/>
      <c r="BM63" s="82"/>
      <c r="BN63" s="210"/>
      <c r="BO63" s="82"/>
      <c r="BP63" s="82"/>
      <c r="BQ63" s="82"/>
      <c r="BR63" s="210"/>
      <c r="BS63" s="82"/>
      <c r="BT63" s="82"/>
      <c r="BU63" s="82"/>
      <c r="BV63" s="210"/>
      <c r="BW63" s="82"/>
      <c r="BX63" s="82"/>
      <c r="BY63" s="82"/>
      <c r="BZ63" s="210"/>
      <c r="CA63" s="82"/>
      <c r="CB63" s="82"/>
      <c r="CC63" s="82"/>
      <c r="CD63" s="210"/>
      <c r="CE63" s="82"/>
      <c r="CF63" s="82"/>
      <c r="CG63" s="82"/>
      <c r="CH63" s="210"/>
      <c r="CI63" s="82"/>
      <c r="CJ63" s="82"/>
      <c r="CK63" s="82"/>
      <c r="CL63" s="82"/>
      <c r="CM63" s="82"/>
      <c r="CN63" s="82"/>
      <c r="CO63" s="82"/>
      <c r="CP63" s="82"/>
      <c r="CQ63" s="82"/>
      <c r="CR63" s="82"/>
      <c r="CS63" s="82"/>
      <c r="CT63" s="82"/>
      <c r="CU63" s="82"/>
      <c r="CV63" s="82"/>
      <c r="CW63" s="82"/>
      <c r="CX63" s="82"/>
      <c r="CY63" s="82"/>
      <c r="CZ63" s="82"/>
      <c r="DA63" s="82"/>
      <c r="DB63" s="82"/>
    </row>
    <row r="64" spans="1:106">
      <c r="A64" s="82"/>
      <c r="B64" s="82"/>
      <c r="C64" s="171"/>
      <c r="D64" s="171"/>
      <c r="E64" s="171"/>
      <c r="F64" s="171"/>
      <c r="G64" s="82"/>
      <c r="H64" s="82"/>
      <c r="I64" s="82"/>
      <c r="J64" s="82"/>
      <c r="K64" s="82"/>
      <c r="L64" s="82"/>
      <c r="M64" s="82"/>
      <c r="N64" s="82"/>
      <c r="O64" s="82"/>
      <c r="P64" s="82"/>
      <c r="Q64" s="82"/>
      <c r="R64" s="82"/>
      <c r="S64" s="82"/>
      <c r="T64" s="82"/>
      <c r="U64" s="82"/>
      <c r="V64" s="82"/>
      <c r="W64" s="82"/>
      <c r="X64" s="82"/>
      <c r="Y64" s="82"/>
      <c r="Z64" s="82"/>
      <c r="AA64" s="82">
        <f t="shared" si="21"/>
        <v>12.3444</v>
      </c>
      <c r="AB64" s="82">
        <f>2.54*6.1</f>
        <v>15.494</v>
      </c>
      <c r="AC64" s="82">
        <f t="shared" si="22"/>
        <v>18.643599999999999</v>
      </c>
      <c r="AD64" s="82"/>
      <c r="AE64" s="82">
        <f>2.54*0.62</f>
        <v>1.5748</v>
      </c>
      <c r="AF64" s="82"/>
      <c r="AG64" s="82"/>
      <c r="AH64" s="206"/>
      <c r="AI64" s="82"/>
      <c r="AJ64" s="82"/>
      <c r="AK64" s="82"/>
      <c r="AL64" s="206"/>
      <c r="AM64" s="82"/>
      <c r="AN64" s="82"/>
      <c r="AO64" s="82"/>
      <c r="AP64" s="206"/>
      <c r="AQ64" s="82"/>
      <c r="AR64" s="82"/>
      <c r="AS64" s="82"/>
      <c r="AT64" s="206"/>
      <c r="AU64" s="82"/>
      <c r="AV64" s="82"/>
      <c r="AW64" s="82"/>
      <c r="AX64" s="206"/>
      <c r="AY64" s="82"/>
      <c r="AZ64" s="82"/>
      <c r="BA64" s="82"/>
      <c r="BB64" s="206"/>
      <c r="BC64" s="82"/>
      <c r="BD64" s="82"/>
      <c r="BE64" s="82"/>
      <c r="BF64" s="209"/>
      <c r="BG64" s="82"/>
      <c r="BH64" s="82"/>
      <c r="BI64" s="82"/>
      <c r="BJ64" s="210"/>
      <c r="BK64" s="82"/>
      <c r="BL64" s="82"/>
      <c r="BM64" s="82"/>
      <c r="BN64" s="210"/>
      <c r="BO64" s="82"/>
      <c r="BP64" s="82"/>
      <c r="BQ64" s="82"/>
      <c r="BR64" s="210"/>
      <c r="BS64" s="82"/>
      <c r="BT64" s="82"/>
      <c r="BU64" s="82"/>
      <c r="BV64" s="210"/>
      <c r="BW64" s="82"/>
      <c r="BX64" s="82"/>
      <c r="BY64" s="82"/>
      <c r="BZ64" s="210"/>
      <c r="CA64" s="82"/>
      <c r="CB64" s="82"/>
      <c r="CC64" s="82"/>
      <c r="CD64" s="210"/>
      <c r="CE64" s="82"/>
      <c r="CF64" s="82"/>
      <c r="CG64" s="82"/>
      <c r="CH64" s="210"/>
      <c r="CI64" s="82"/>
      <c r="CJ64" s="82"/>
      <c r="CK64" s="82"/>
      <c r="CL64" s="82"/>
      <c r="CM64" s="82"/>
      <c r="CN64" s="82"/>
      <c r="CO64" s="82"/>
      <c r="CP64" s="82"/>
      <c r="CQ64" s="82"/>
      <c r="CR64" s="82"/>
      <c r="CS64" s="82"/>
      <c r="CT64" s="82"/>
      <c r="CU64" s="82"/>
      <c r="CV64" s="82"/>
      <c r="CW64" s="82"/>
      <c r="CX64" s="82"/>
      <c r="CY64" s="82"/>
      <c r="CZ64" s="82"/>
      <c r="DA64" s="82"/>
      <c r="DB64" s="82"/>
    </row>
    <row r="65" spans="1:106">
      <c r="A65" s="82"/>
      <c r="B65" s="82"/>
      <c r="C65" s="171"/>
      <c r="D65" s="171"/>
      <c r="E65" s="171"/>
      <c r="F65" s="171"/>
      <c r="G65" s="82"/>
      <c r="H65" s="82"/>
      <c r="I65" s="82"/>
      <c r="J65" s="82"/>
      <c r="K65" s="82"/>
      <c r="L65" s="82"/>
      <c r="M65" s="82"/>
      <c r="N65" s="82"/>
      <c r="O65" s="82"/>
      <c r="P65" s="82"/>
      <c r="Q65" s="82"/>
      <c r="R65" s="82"/>
      <c r="S65" s="82"/>
      <c r="T65" s="82"/>
      <c r="U65" s="82"/>
      <c r="V65" s="82"/>
      <c r="W65" s="82"/>
      <c r="X65" s="82"/>
      <c r="Y65" s="82"/>
      <c r="Z65" s="82"/>
      <c r="AA65" s="82">
        <f t="shared" si="21"/>
        <v>12.954000000000001</v>
      </c>
      <c r="AB65" s="82">
        <f>2.54*6</f>
        <v>15.24</v>
      </c>
      <c r="AC65" s="82">
        <f t="shared" si="22"/>
        <v>17.526</v>
      </c>
      <c r="AD65" s="82"/>
      <c r="AE65" s="82">
        <f>2.54*0.45</f>
        <v>1.143</v>
      </c>
      <c r="AF65" s="82"/>
      <c r="AG65" s="82"/>
      <c r="AH65" s="206"/>
      <c r="AI65" s="82"/>
      <c r="AJ65" s="82"/>
      <c r="AK65" s="82"/>
      <c r="AL65" s="206"/>
      <c r="AM65" s="82"/>
      <c r="AN65" s="82"/>
      <c r="AO65" s="82"/>
      <c r="AP65" s="206"/>
      <c r="AQ65" s="82"/>
      <c r="AR65" s="82"/>
      <c r="AS65" s="82"/>
      <c r="AT65" s="206"/>
      <c r="AU65" s="82"/>
      <c r="AV65" s="82"/>
      <c r="AW65" s="82"/>
      <c r="AX65" s="206"/>
      <c r="AY65" s="82"/>
      <c r="AZ65" s="82"/>
      <c r="BA65" s="82"/>
      <c r="BB65" s="206"/>
      <c r="BC65" s="82"/>
      <c r="BD65" s="82"/>
      <c r="BE65" s="82"/>
      <c r="BF65" s="209"/>
      <c r="BG65" s="82"/>
      <c r="BH65" s="82"/>
      <c r="BI65" s="82"/>
      <c r="BJ65" s="210"/>
      <c r="BK65" s="82"/>
      <c r="BL65" s="82"/>
      <c r="BM65" s="82"/>
      <c r="BN65" s="210"/>
      <c r="BO65" s="82"/>
      <c r="BP65" s="82"/>
      <c r="BQ65" s="82"/>
      <c r="BR65" s="210"/>
      <c r="BS65" s="82"/>
      <c r="BT65" s="82"/>
      <c r="BU65" s="82"/>
      <c r="BV65" s="210"/>
      <c r="BW65" s="82"/>
      <c r="BX65" s="82"/>
      <c r="BY65" s="82"/>
      <c r="BZ65" s="210"/>
      <c r="CA65" s="82"/>
      <c r="CB65" s="82"/>
      <c r="CC65" s="82"/>
      <c r="CD65" s="210"/>
      <c r="CE65" s="82"/>
      <c r="CF65" s="82"/>
      <c r="CG65" s="82"/>
      <c r="CH65" s="210"/>
      <c r="CI65" s="82"/>
      <c r="CJ65" s="82"/>
      <c r="CK65" s="82"/>
      <c r="CL65" s="82"/>
      <c r="CM65" s="82"/>
      <c r="CN65" s="82"/>
      <c r="CO65" s="82"/>
      <c r="CP65" s="82"/>
      <c r="CQ65" s="82"/>
      <c r="CR65" s="82"/>
      <c r="CS65" s="82"/>
      <c r="CT65" s="82"/>
      <c r="CU65" s="82"/>
      <c r="CV65" s="82"/>
      <c r="CW65" s="82"/>
      <c r="CX65" s="82"/>
      <c r="CY65" s="82"/>
      <c r="CZ65" s="82"/>
      <c r="DA65" s="82"/>
      <c r="DB65" s="82"/>
    </row>
    <row r="66" spans="1:106">
      <c r="A66" s="82"/>
      <c r="B66" s="82"/>
      <c r="C66" s="171"/>
      <c r="D66" s="171"/>
      <c r="E66" s="171"/>
      <c r="F66" s="171"/>
      <c r="G66" s="82"/>
      <c r="H66" s="82"/>
      <c r="I66" s="82"/>
      <c r="J66" s="82"/>
      <c r="K66" s="82"/>
      <c r="L66" s="82"/>
      <c r="M66" s="82"/>
      <c r="N66" s="82"/>
      <c r="O66" s="82"/>
      <c r="P66" s="82"/>
      <c r="Q66" s="82"/>
      <c r="R66" s="82"/>
      <c r="S66" s="82"/>
      <c r="T66" s="82"/>
      <c r="U66" s="82"/>
      <c r="V66" s="82"/>
      <c r="W66" s="82"/>
      <c r="X66" s="82"/>
      <c r="Y66" s="82"/>
      <c r="Z66" s="82"/>
      <c r="AA66" s="82">
        <f t="shared" si="21"/>
        <v>13.157200000000001</v>
      </c>
      <c r="AB66" s="82">
        <f>2.54*6.2</f>
        <v>15.748000000000001</v>
      </c>
      <c r="AC66" s="82">
        <f t="shared" si="22"/>
        <v>18.338800000000003</v>
      </c>
      <c r="AD66" s="82"/>
      <c r="AE66" s="82">
        <f>2.54*0.51</f>
        <v>1.2954000000000001</v>
      </c>
      <c r="AF66" s="82"/>
      <c r="AG66" s="82"/>
      <c r="AH66" s="206"/>
      <c r="AI66" s="82"/>
      <c r="AJ66" s="82"/>
      <c r="AK66" s="82"/>
      <c r="AL66" s="206"/>
      <c r="AM66" s="82"/>
      <c r="AN66" s="82"/>
      <c r="AO66" s="82"/>
      <c r="AP66" s="206"/>
      <c r="AQ66" s="82"/>
      <c r="AR66" s="82"/>
      <c r="AS66" s="82"/>
      <c r="AT66" s="206"/>
      <c r="AU66" s="82"/>
      <c r="AV66" s="82"/>
      <c r="AW66" s="82"/>
      <c r="AX66" s="206"/>
      <c r="AY66" s="82"/>
      <c r="AZ66" s="82"/>
      <c r="BA66" s="82"/>
      <c r="BB66" s="206"/>
      <c r="BC66" s="82"/>
      <c r="BD66" s="82"/>
      <c r="BE66" s="82"/>
      <c r="BF66" s="209"/>
      <c r="BG66" s="82"/>
      <c r="BH66" s="82"/>
      <c r="BI66" s="82"/>
      <c r="BJ66" s="210"/>
      <c r="BK66" s="82"/>
      <c r="BL66" s="82"/>
      <c r="BM66" s="82"/>
      <c r="BN66" s="210"/>
      <c r="BO66" s="82"/>
      <c r="BP66" s="82"/>
      <c r="BQ66" s="82"/>
      <c r="BR66" s="210"/>
      <c r="BS66" s="82"/>
      <c r="BT66" s="82"/>
      <c r="BU66" s="82"/>
      <c r="BV66" s="210"/>
      <c r="BW66" s="82"/>
      <c r="BX66" s="82"/>
      <c r="BY66" s="82"/>
      <c r="BZ66" s="210"/>
      <c r="CA66" s="82"/>
      <c r="CB66" s="82"/>
      <c r="CC66" s="82"/>
      <c r="CD66" s="210"/>
      <c r="CE66" s="82"/>
      <c r="CF66" s="82"/>
      <c r="CG66" s="82"/>
      <c r="CH66" s="210"/>
      <c r="CI66" s="82"/>
      <c r="CJ66" s="82"/>
      <c r="CK66" s="82"/>
      <c r="CL66" s="82"/>
      <c r="CM66" s="82"/>
      <c r="CN66" s="82"/>
      <c r="CO66" s="82"/>
      <c r="CP66" s="82"/>
      <c r="CQ66" s="82"/>
      <c r="CR66" s="82"/>
      <c r="CS66" s="82"/>
      <c r="CT66" s="82"/>
      <c r="CU66" s="82"/>
      <c r="CV66" s="82"/>
      <c r="CW66" s="82"/>
      <c r="CX66" s="82"/>
      <c r="CY66" s="82"/>
      <c r="CZ66" s="82"/>
      <c r="DA66" s="82"/>
      <c r="DB66" s="82"/>
    </row>
    <row r="67" spans="1:106">
      <c r="A67" s="82"/>
      <c r="B67" s="82"/>
      <c r="C67" s="171"/>
      <c r="D67" s="171"/>
      <c r="E67" s="171"/>
      <c r="F67" s="171"/>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206"/>
      <c r="AI67" s="82"/>
      <c r="AJ67" s="82"/>
      <c r="AK67" s="82"/>
      <c r="AL67" s="206"/>
      <c r="AM67" s="82"/>
      <c r="AN67" s="82"/>
      <c r="AO67" s="82"/>
      <c r="AP67" s="206"/>
      <c r="AQ67" s="82"/>
      <c r="AR67" s="82"/>
      <c r="AS67" s="82"/>
      <c r="AT67" s="206"/>
      <c r="AU67" s="82"/>
      <c r="AV67" s="82"/>
      <c r="AW67" s="82"/>
      <c r="AX67" s="206"/>
      <c r="AY67" s="82"/>
      <c r="AZ67" s="82"/>
      <c r="BA67" s="82"/>
      <c r="BB67" s="206"/>
      <c r="BC67" s="82"/>
      <c r="BD67" s="82"/>
      <c r="BE67" s="82"/>
      <c r="BF67" s="209"/>
      <c r="BG67" s="82"/>
      <c r="BH67" s="82"/>
      <c r="BI67" s="82"/>
      <c r="BJ67" s="210"/>
      <c r="BK67" s="82"/>
      <c r="BL67" s="82"/>
      <c r="BM67" s="82"/>
      <c r="BN67" s="210"/>
      <c r="BO67" s="82"/>
      <c r="BP67" s="82"/>
      <c r="BQ67" s="82"/>
      <c r="BR67" s="210"/>
      <c r="BS67" s="82"/>
      <c r="BT67" s="82"/>
      <c r="BU67" s="82"/>
      <c r="BV67" s="210"/>
      <c r="BW67" s="82"/>
      <c r="BX67" s="82"/>
      <c r="BY67" s="82"/>
      <c r="BZ67" s="210"/>
      <c r="CA67" s="82"/>
      <c r="CB67" s="82"/>
      <c r="CC67" s="82"/>
      <c r="CD67" s="210"/>
      <c r="CE67" s="82"/>
      <c r="CF67" s="82"/>
      <c r="CG67" s="82"/>
      <c r="CH67" s="210"/>
      <c r="CI67" s="82"/>
      <c r="CJ67" s="82"/>
      <c r="CK67" s="82"/>
      <c r="CL67" s="82"/>
      <c r="CM67" s="82"/>
      <c r="CN67" s="82"/>
      <c r="CO67" s="82"/>
      <c r="CP67" s="82"/>
      <c r="CQ67" s="82"/>
      <c r="CR67" s="82"/>
      <c r="CS67" s="82"/>
      <c r="CT67" s="82"/>
      <c r="CU67" s="82"/>
      <c r="CV67" s="82"/>
      <c r="CW67" s="82"/>
      <c r="CX67" s="82"/>
      <c r="CY67" s="82"/>
      <c r="CZ67" s="82"/>
      <c r="DA67" s="82"/>
      <c r="DB67" s="82"/>
    </row>
    <row r="68" spans="1:106">
      <c r="A68" s="82"/>
      <c r="B68" s="82"/>
      <c r="C68" s="171"/>
      <c r="D68" s="171"/>
      <c r="E68" s="171"/>
      <c r="F68" s="171"/>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206"/>
      <c r="AI68" s="82"/>
      <c r="AJ68" s="82"/>
      <c r="AK68" s="82"/>
      <c r="AL68" s="206"/>
      <c r="AM68" s="82"/>
      <c r="AN68" s="82"/>
      <c r="AO68" s="82"/>
      <c r="AP68" s="206"/>
      <c r="AQ68" s="82"/>
      <c r="AR68" s="82"/>
      <c r="AS68" s="82"/>
      <c r="AT68" s="206"/>
      <c r="AU68" s="82"/>
      <c r="AV68" s="82"/>
      <c r="AW68" s="82"/>
      <c r="AX68" s="206"/>
      <c r="AY68" s="82"/>
      <c r="AZ68" s="82"/>
      <c r="BA68" s="82"/>
      <c r="BB68" s="206"/>
      <c r="BC68" s="82"/>
      <c r="BD68" s="82"/>
      <c r="BE68" s="82"/>
      <c r="BF68" s="209"/>
      <c r="BG68" s="82"/>
      <c r="BH68" s="82"/>
      <c r="BI68" s="82"/>
      <c r="BJ68" s="210"/>
      <c r="BK68" s="82"/>
      <c r="BL68" s="82"/>
      <c r="BM68" s="82"/>
      <c r="BN68" s="210"/>
      <c r="BO68" s="82"/>
      <c r="BP68" s="82"/>
      <c r="BQ68" s="82"/>
      <c r="BR68" s="210"/>
      <c r="BS68" s="82"/>
      <c r="BT68" s="82"/>
      <c r="BU68" s="82"/>
      <c r="BV68" s="210"/>
      <c r="BW68" s="82"/>
      <c r="BX68" s="82"/>
      <c r="BY68" s="82"/>
      <c r="BZ68" s="210"/>
      <c r="CA68" s="82"/>
      <c r="CB68" s="82"/>
      <c r="CC68" s="82"/>
      <c r="CD68" s="210"/>
      <c r="CE68" s="82"/>
      <c r="CF68" s="82"/>
      <c r="CG68" s="82"/>
      <c r="CH68" s="210"/>
      <c r="CI68" s="82"/>
      <c r="CJ68" s="82"/>
      <c r="CK68" s="82"/>
      <c r="CL68" s="82"/>
      <c r="CM68" s="82"/>
      <c r="CN68" s="82"/>
      <c r="CO68" s="82"/>
      <c r="CP68" s="82"/>
      <c r="CQ68" s="82"/>
      <c r="CR68" s="82"/>
      <c r="CS68" s="82"/>
      <c r="CT68" s="82"/>
      <c r="CU68" s="82"/>
      <c r="CV68" s="82"/>
      <c r="CW68" s="82"/>
      <c r="CX68" s="82"/>
      <c r="CY68" s="82"/>
      <c r="CZ68" s="82"/>
      <c r="DA68" s="82"/>
      <c r="DB68" s="82"/>
    </row>
    <row r="69" spans="1:106">
      <c r="A69" s="82"/>
      <c r="B69" s="82"/>
      <c r="C69" s="171"/>
      <c r="D69" s="171"/>
      <c r="E69" s="171"/>
      <c r="F69" s="171"/>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206"/>
      <c r="AI69" s="82"/>
      <c r="AJ69" s="82"/>
      <c r="AK69" s="82"/>
      <c r="AL69" s="206"/>
      <c r="AM69" s="82"/>
      <c r="AN69" s="82"/>
      <c r="AO69" s="82"/>
      <c r="AP69" s="206"/>
      <c r="AQ69" s="82"/>
      <c r="AR69" s="82"/>
      <c r="AS69" s="82"/>
      <c r="AT69" s="206"/>
      <c r="AU69" s="82"/>
      <c r="AV69" s="82"/>
      <c r="AW69" s="82"/>
      <c r="AX69" s="206"/>
      <c r="AY69" s="82"/>
      <c r="AZ69" s="82"/>
      <c r="BA69" s="82"/>
      <c r="BB69" s="206"/>
      <c r="BC69" s="82"/>
      <c r="BD69" s="82"/>
      <c r="BE69" s="82"/>
      <c r="BF69" s="209"/>
      <c r="BG69" s="82"/>
      <c r="BH69" s="82"/>
      <c r="BI69" s="82"/>
      <c r="BJ69" s="210"/>
      <c r="BK69" s="82"/>
      <c r="BL69" s="82"/>
      <c r="BM69" s="82"/>
      <c r="BN69" s="210"/>
      <c r="BO69" s="82"/>
      <c r="BP69" s="82"/>
      <c r="BQ69" s="82"/>
      <c r="BR69" s="210"/>
      <c r="BS69" s="82"/>
      <c r="BT69" s="82"/>
      <c r="BU69" s="82"/>
      <c r="BV69" s="210"/>
      <c r="BW69" s="82"/>
      <c r="BX69" s="82"/>
      <c r="BY69" s="82"/>
      <c r="BZ69" s="210"/>
      <c r="CA69" s="82"/>
      <c r="CB69" s="82"/>
      <c r="CC69" s="82"/>
      <c r="CD69" s="210"/>
      <c r="CE69" s="82"/>
      <c r="CF69" s="82"/>
      <c r="CG69" s="82"/>
      <c r="CH69" s="210"/>
      <c r="CI69" s="82"/>
      <c r="CJ69" s="82"/>
      <c r="CK69" s="82"/>
      <c r="CL69" s="82"/>
      <c r="CM69" s="82"/>
      <c r="CN69" s="82"/>
      <c r="CO69" s="82"/>
      <c r="CP69" s="82"/>
      <c r="CQ69" s="82"/>
      <c r="CR69" s="82"/>
      <c r="CS69" s="82"/>
      <c r="CT69" s="82"/>
      <c r="CU69" s="82"/>
      <c r="CV69" s="82"/>
      <c r="CW69" s="82"/>
      <c r="CX69" s="82"/>
      <c r="CY69" s="82"/>
      <c r="CZ69" s="82"/>
      <c r="DA69" s="82"/>
      <c r="DB69" s="82"/>
    </row>
    <row r="70" spans="1:106">
      <c r="A70" s="82"/>
      <c r="B70" s="82"/>
      <c r="C70" s="171"/>
      <c r="D70" s="171"/>
      <c r="E70" s="171"/>
      <c r="F70" s="171"/>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206"/>
      <c r="AI70" s="82"/>
      <c r="AJ70" s="82"/>
      <c r="AK70" s="82"/>
      <c r="AL70" s="206"/>
      <c r="AM70" s="82"/>
      <c r="AN70" s="82"/>
      <c r="AO70" s="82"/>
      <c r="AP70" s="206"/>
      <c r="AQ70" s="82"/>
      <c r="AR70" s="82"/>
      <c r="AS70" s="82"/>
      <c r="AT70" s="206"/>
      <c r="AU70" s="82"/>
      <c r="AV70" s="82"/>
      <c r="AW70" s="82"/>
      <c r="AX70" s="206"/>
      <c r="AY70" s="82"/>
      <c r="AZ70" s="82"/>
      <c r="BA70" s="82"/>
      <c r="BB70" s="206"/>
      <c r="BC70" s="82"/>
      <c r="BD70" s="82"/>
      <c r="BE70" s="82"/>
      <c r="BF70" s="209"/>
      <c r="BG70" s="82"/>
      <c r="BH70" s="82"/>
      <c r="BI70" s="82"/>
      <c r="BJ70" s="210"/>
      <c r="BK70" s="82"/>
      <c r="BL70" s="82"/>
      <c r="BM70" s="82"/>
      <c r="BN70" s="210"/>
      <c r="BO70" s="82"/>
      <c r="BP70" s="82"/>
      <c r="BQ70" s="82"/>
      <c r="BR70" s="210"/>
      <c r="BS70" s="82"/>
      <c r="BT70" s="82"/>
      <c r="BU70" s="82"/>
      <c r="BV70" s="210"/>
      <c r="BW70" s="82"/>
      <c r="BX70" s="82"/>
      <c r="BY70" s="82"/>
      <c r="BZ70" s="210"/>
      <c r="CA70" s="82"/>
      <c r="CB70" s="82"/>
      <c r="CC70" s="82"/>
      <c r="CD70" s="210"/>
      <c r="CE70" s="82"/>
      <c r="CF70" s="82"/>
      <c r="CG70" s="82"/>
      <c r="CH70" s="210"/>
      <c r="CI70" s="82"/>
      <c r="CJ70" s="82"/>
      <c r="CK70" s="82"/>
      <c r="CL70" s="82"/>
      <c r="CM70" s="82"/>
      <c r="CN70" s="82"/>
      <c r="CO70" s="82"/>
      <c r="CP70" s="82"/>
      <c r="CQ70" s="82"/>
      <c r="CR70" s="82"/>
      <c r="CS70" s="82"/>
      <c r="CT70" s="82"/>
      <c r="CU70" s="82"/>
      <c r="CV70" s="82"/>
      <c r="CW70" s="82"/>
      <c r="CX70" s="82"/>
      <c r="CY70" s="82"/>
      <c r="CZ70" s="82"/>
      <c r="DA70" s="82"/>
      <c r="DB70" s="82"/>
    </row>
    <row r="71" spans="1:106">
      <c r="A71" s="82"/>
      <c r="B71" s="82"/>
      <c r="C71" s="171"/>
      <c r="D71" s="171"/>
      <c r="E71" s="171"/>
      <c r="F71" s="171"/>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206"/>
      <c r="AI71" s="82"/>
      <c r="AJ71" s="82"/>
      <c r="AK71" s="82"/>
      <c r="AL71" s="206"/>
      <c r="AM71" s="82"/>
      <c r="AN71" s="82"/>
      <c r="AO71" s="82"/>
      <c r="AP71" s="206"/>
      <c r="AQ71" s="82"/>
      <c r="AR71" s="82"/>
      <c r="AS71" s="82"/>
      <c r="AT71" s="206"/>
      <c r="AU71" s="82"/>
      <c r="AV71" s="82"/>
      <c r="AW71" s="82"/>
      <c r="AX71" s="206"/>
      <c r="AY71" s="82"/>
      <c r="AZ71" s="82"/>
      <c r="BA71" s="82"/>
      <c r="BB71" s="206"/>
      <c r="BC71" s="82"/>
      <c r="BD71" s="82"/>
      <c r="BE71" s="82"/>
      <c r="BF71" s="209"/>
      <c r="BG71" s="82"/>
      <c r="BH71" s="82"/>
      <c r="BI71" s="82"/>
      <c r="BJ71" s="210"/>
      <c r="BK71" s="82"/>
      <c r="BL71" s="82"/>
      <c r="BM71" s="82"/>
      <c r="BN71" s="210"/>
      <c r="BO71" s="82"/>
      <c r="BP71" s="82"/>
      <c r="BQ71" s="82"/>
      <c r="BR71" s="210"/>
      <c r="BS71" s="82"/>
      <c r="BT71" s="82"/>
      <c r="BU71" s="82"/>
      <c r="BV71" s="210"/>
      <c r="BW71" s="82"/>
      <c r="BX71" s="82"/>
      <c r="BY71" s="82"/>
      <c r="BZ71" s="210"/>
      <c r="CA71" s="82"/>
      <c r="CB71" s="82"/>
      <c r="CC71" s="82"/>
      <c r="CD71" s="210"/>
      <c r="CE71" s="82"/>
      <c r="CF71" s="82"/>
      <c r="CG71" s="82"/>
      <c r="CH71" s="210"/>
      <c r="CI71" s="82"/>
      <c r="CJ71" s="82"/>
      <c r="CK71" s="82"/>
      <c r="CL71" s="82"/>
      <c r="CM71" s="82"/>
      <c r="CN71" s="82"/>
      <c r="CO71" s="82"/>
      <c r="CP71" s="82"/>
      <c r="CQ71" s="82"/>
      <c r="CR71" s="82"/>
      <c r="CS71" s="82"/>
      <c r="CT71" s="82"/>
      <c r="CU71" s="82"/>
      <c r="CV71" s="82"/>
      <c r="CW71" s="82"/>
      <c r="CX71" s="82"/>
      <c r="CY71" s="82"/>
      <c r="CZ71" s="82"/>
      <c r="DA71" s="82"/>
      <c r="DB71" s="82"/>
    </row>
    <row r="72" spans="1:106">
      <c r="A72" s="82"/>
      <c r="B72" s="82"/>
      <c r="C72" s="171"/>
      <c r="D72" s="171"/>
      <c r="E72" s="171"/>
      <c r="F72" s="171"/>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206"/>
      <c r="AI72" s="82"/>
      <c r="AJ72" s="82"/>
      <c r="AK72" s="82"/>
      <c r="AL72" s="206"/>
      <c r="AM72" s="82"/>
      <c r="AN72" s="82"/>
      <c r="AO72" s="82"/>
      <c r="AP72" s="206"/>
      <c r="AQ72" s="82"/>
      <c r="AR72" s="82"/>
      <c r="AS72" s="82"/>
      <c r="AT72" s="206"/>
      <c r="AU72" s="82"/>
      <c r="AV72" s="82"/>
      <c r="AW72" s="82"/>
      <c r="AX72" s="206"/>
      <c r="AY72" s="82"/>
      <c r="AZ72" s="82"/>
      <c r="BA72" s="82"/>
      <c r="BB72" s="206"/>
      <c r="BC72" s="82"/>
      <c r="BD72" s="82"/>
      <c r="BE72" s="82"/>
      <c r="BF72" s="209"/>
      <c r="BG72" s="82"/>
      <c r="BH72" s="82"/>
      <c r="BI72" s="82"/>
      <c r="BJ72" s="210"/>
      <c r="BK72" s="82"/>
      <c r="BL72" s="82"/>
      <c r="BM72" s="82"/>
      <c r="BN72" s="210"/>
      <c r="BO72" s="82"/>
      <c r="BP72" s="82"/>
      <c r="BQ72" s="82"/>
      <c r="BR72" s="210"/>
      <c r="BS72" s="82"/>
      <c r="BT72" s="82"/>
      <c r="BU72" s="82"/>
      <c r="BV72" s="210"/>
      <c r="BW72" s="82"/>
      <c r="BX72" s="82"/>
      <c r="BY72" s="82"/>
      <c r="BZ72" s="210"/>
      <c r="CA72" s="82"/>
      <c r="CB72" s="82"/>
      <c r="CC72" s="82"/>
      <c r="CD72" s="210"/>
      <c r="CE72" s="82"/>
      <c r="CF72" s="82"/>
      <c r="CG72" s="82"/>
      <c r="CH72" s="210"/>
      <c r="CI72" s="82"/>
      <c r="CJ72" s="82"/>
      <c r="CK72" s="82"/>
      <c r="CL72" s="82"/>
      <c r="CM72" s="82"/>
      <c r="CN72" s="82"/>
      <c r="CO72" s="82"/>
      <c r="CP72" s="82"/>
      <c r="CQ72" s="82"/>
      <c r="CR72" s="82"/>
      <c r="CS72" s="82"/>
      <c r="CT72" s="82"/>
      <c r="CU72" s="82"/>
      <c r="CV72" s="82"/>
      <c r="CW72" s="82"/>
      <c r="CX72" s="82"/>
      <c r="CY72" s="82"/>
      <c r="CZ72" s="82"/>
      <c r="DA72" s="82"/>
      <c r="DB72" s="82"/>
    </row>
    <row r="73" spans="1:106">
      <c r="A73" s="82"/>
      <c r="B73" s="82"/>
      <c r="C73" s="171"/>
      <c r="D73" s="171"/>
      <c r="E73" s="171"/>
      <c r="F73" s="171"/>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206"/>
      <c r="AI73" s="82"/>
      <c r="AJ73" s="82"/>
      <c r="AK73" s="82"/>
      <c r="AL73" s="206"/>
      <c r="AM73" s="82"/>
      <c r="AN73" s="82"/>
      <c r="AO73" s="82"/>
      <c r="AP73" s="206"/>
      <c r="AQ73" s="82"/>
      <c r="AR73" s="82"/>
      <c r="AS73" s="82"/>
      <c r="AT73" s="206"/>
      <c r="AU73" s="82"/>
      <c r="AV73" s="82"/>
      <c r="AW73" s="82"/>
      <c r="AX73" s="206"/>
      <c r="AY73" s="82"/>
      <c r="AZ73" s="82"/>
      <c r="BA73" s="82"/>
      <c r="BB73" s="206"/>
      <c r="BC73" s="82"/>
      <c r="BD73" s="82"/>
      <c r="BE73" s="82"/>
      <c r="BF73" s="209"/>
      <c r="BG73" s="82"/>
      <c r="BH73" s="82"/>
      <c r="BI73" s="82"/>
      <c r="BJ73" s="210"/>
      <c r="BK73" s="82"/>
      <c r="BL73" s="82"/>
      <c r="BM73" s="82"/>
      <c r="BN73" s="210"/>
      <c r="BO73" s="82"/>
      <c r="BP73" s="82"/>
      <c r="BQ73" s="82"/>
      <c r="BR73" s="210"/>
      <c r="BS73" s="82"/>
      <c r="BT73" s="82"/>
      <c r="BU73" s="82"/>
      <c r="BV73" s="210"/>
      <c r="BW73" s="82"/>
      <c r="BX73" s="82"/>
      <c r="BY73" s="82"/>
      <c r="BZ73" s="210"/>
      <c r="CA73" s="82"/>
      <c r="CB73" s="82"/>
      <c r="CC73" s="82"/>
      <c r="CD73" s="210"/>
      <c r="CE73" s="82"/>
      <c r="CF73" s="82"/>
      <c r="CG73" s="82"/>
      <c r="CH73" s="210"/>
      <c r="CI73" s="82"/>
      <c r="CJ73" s="82"/>
      <c r="CK73" s="82"/>
      <c r="CL73" s="82"/>
      <c r="CM73" s="82"/>
      <c r="CN73" s="82"/>
      <c r="CO73" s="82"/>
      <c r="CP73" s="82"/>
      <c r="CQ73" s="82"/>
      <c r="CR73" s="82"/>
      <c r="CS73" s="82"/>
      <c r="CT73" s="82"/>
      <c r="CU73" s="82"/>
      <c r="CV73" s="82"/>
      <c r="CW73" s="82"/>
      <c r="CX73" s="82"/>
      <c r="CY73" s="82"/>
      <c r="CZ73" s="82"/>
      <c r="DA73" s="82"/>
      <c r="DB73" s="82"/>
    </row>
    <row r="74" spans="1:106">
      <c r="A74" s="82"/>
      <c r="B74" s="82"/>
      <c r="C74" s="171"/>
      <c r="D74" s="171"/>
      <c r="E74" s="171"/>
      <c r="F74" s="171"/>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206"/>
      <c r="AI74" s="82"/>
      <c r="AJ74" s="82"/>
      <c r="AK74" s="82"/>
      <c r="AL74" s="206"/>
      <c r="AM74" s="82"/>
      <c r="AN74" s="82"/>
      <c r="AO74" s="82"/>
      <c r="AP74" s="206"/>
      <c r="AQ74" s="82"/>
      <c r="AR74" s="82"/>
      <c r="AS74" s="82"/>
      <c r="AT74" s="206"/>
      <c r="AU74" s="82"/>
      <c r="AV74" s="82"/>
      <c r="AW74" s="82"/>
      <c r="AX74" s="206"/>
      <c r="AY74" s="82"/>
      <c r="AZ74" s="82"/>
      <c r="BA74" s="82"/>
      <c r="BB74" s="206"/>
      <c r="BC74" s="82"/>
      <c r="BD74" s="82"/>
      <c r="BE74" s="82"/>
      <c r="BF74" s="209"/>
      <c r="BG74" s="82"/>
      <c r="BH74" s="82"/>
      <c r="BI74" s="82"/>
      <c r="BJ74" s="210"/>
      <c r="BK74" s="82"/>
      <c r="BL74" s="82"/>
      <c r="BM74" s="82"/>
      <c r="BN74" s="210"/>
      <c r="BO74" s="82"/>
      <c r="BP74" s="82"/>
      <c r="BQ74" s="82"/>
      <c r="BR74" s="210"/>
      <c r="BS74" s="82"/>
      <c r="BT74" s="82"/>
      <c r="BU74" s="82"/>
      <c r="BV74" s="210"/>
      <c r="BW74" s="82"/>
      <c r="BX74" s="82"/>
      <c r="BY74" s="82"/>
      <c r="BZ74" s="210"/>
      <c r="CA74" s="82"/>
      <c r="CB74" s="82"/>
      <c r="CC74" s="82"/>
      <c r="CD74" s="210"/>
      <c r="CE74" s="82"/>
      <c r="CF74" s="82"/>
      <c r="CG74" s="82"/>
      <c r="CH74" s="210"/>
      <c r="CI74" s="82"/>
      <c r="CJ74" s="82"/>
      <c r="CK74" s="82"/>
      <c r="CL74" s="82"/>
      <c r="CM74" s="82"/>
      <c r="CN74" s="82"/>
      <c r="CO74" s="82"/>
      <c r="CP74" s="82"/>
      <c r="CQ74" s="82"/>
      <c r="CR74" s="82"/>
      <c r="CS74" s="82"/>
      <c r="CT74" s="82"/>
      <c r="CU74" s="82"/>
      <c r="CV74" s="82"/>
      <c r="CW74" s="82"/>
      <c r="CX74" s="82"/>
      <c r="CY74" s="82"/>
      <c r="CZ74" s="82"/>
      <c r="DA74" s="82"/>
      <c r="DB74" s="82"/>
    </row>
    <row r="75" spans="1:106">
      <c r="A75" s="82"/>
      <c r="B75" s="82"/>
      <c r="C75" s="171"/>
      <c r="D75" s="171"/>
      <c r="E75" s="171"/>
      <c r="F75" s="171"/>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206"/>
      <c r="AI75" s="82"/>
      <c r="AJ75" s="82"/>
      <c r="AK75" s="82"/>
      <c r="AL75" s="206"/>
      <c r="AM75" s="82"/>
      <c r="AN75" s="82"/>
      <c r="AO75" s="82"/>
      <c r="AP75" s="206"/>
      <c r="AQ75" s="82"/>
      <c r="AR75" s="82"/>
      <c r="AS75" s="82"/>
      <c r="AT75" s="206"/>
      <c r="AU75" s="82"/>
      <c r="AV75" s="82"/>
      <c r="AW75" s="82"/>
      <c r="AX75" s="206"/>
      <c r="AY75" s="82"/>
      <c r="AZ75" s="82"/>
      <c r="BA75" s="82"/>
      <c r="BB75" s="206"/>
      <c r="BC75" s="82"/>
      <c r="BD75" s="82"/>
      <c r="BE75" s="82"/>
      <c r="BF75" s="209"/>
      <c r="BG75" s="82"/>
      <c r="BH75" s="82"/>
      <c r="BI75" s="82"/>
      <c r="BJ75" s="210"/>
      <c r="BK75" s="82"/>
      <c r="BL75" s="82"/>
      <c r="BM75" s="82"/>
      <c r="BN75" s="210"/>
      <c r="BO75" s="82"/>
      <c r="BP75" s="82"/>
      <c r="BQ75" s="82"/>
      <c r="BR75" s="210"/>
      <c r="BS75" s="82"/>
      <c r="BT75" s="82"/>
      <c r="BU75" s="82"/>
      <c r="BV75" s="210"/>
      <c r="BW75" s="82"/>
      <c r="BX75" s="82"/>
      <c r="BY75" s="82"/>
      <c r="BZ75" s="210"/>
      <c r="CA75" s="82"/>
      <c r="CB75" s="82"/>
      <c r="CC75" s="82"/>
      <c r="CD75" s="210"/>
      <c r="CE75" s="82"/>
      <c r="CF75" s="82"/>
      <c r="CG75" s="82"/>
      <c r="CH75" s="210"/>
      <c r="CI75" s="82"/>
      <c r="CJ75" s="82"/>
      <c r="CK75" s="82"/>
      <c r="CL75" s="82"/>
      <c r="CM75" s="82"/>
      <c r="CN75" s="82"/>
      <c r="CO75" s="82"/>
      <c r="CP75" s="82"/>
      <c r="CQ75" s="82"/>
      <c r="CR75" s="82"/>
      <c r="CS75" s="82"/>
      <c r="CT75" s="82"/>
      <c r="CU75" s="82"/>
      <c r="CV75" s="82"/>
      <c r="CW75" s="82"/>
      <c r="CX75" s="82"/>
      <c r="CY75" s="82"/>
      <c r="CZ75" s="82"/>
      <c r="DA75" s="82"/>
      <c r="DB75" s="82"/>
    </row>
    <row r="76" spans="1:106">
      <c r="A76" s="82"/>
      <c r="B76" s="82"/>
      <c r="C76" s="171"/>
      <c r="D76" s="171"/>
      <c r="E76" s="171"/>
      <c r="F76" s="171"/>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206"/>
      <c r="AI76" s="82"/>
      <c r="AJ76" s="82"/>
      <c r="AK76" s="82"/>
      <c r="AL76" s="206"/>
      <c r="AM76" s="82"/>
      <c r="AN76" s="82"/>
      <c r="AO76" s="82"/>
      <c r="AP76" s="206"/>
      <c r="AQ76" s="82"/>
      <c r="AR76" s="82"/>
      <c r="AS76" s="82"/>
      <c r="AT76" s="206"/>
      <c r="AU76" s="82"/>
      <c r="AV76" s="82"/>
      <c r="AW76" s="82"/>
      <c r="AX76" s="206"/>
      <c r="AY76" s="82"/>
      <c r="AZ76" s="82"/>
      <c r="BA76" s="82"/>
      <c r="BB76" s="206"/>
      <c r="BC76" s="82"/>
      <c r="BD76" s="82"/>
      <c r="BE76" s="82"/>
      <c r="BF76" s="209"/>
      <c r="BG76" s="82"/>
      <c r="BH76" s="82"/>
      <c r="BI76" s="82"/>
      <c r="BJ76" s="210"/>
      <c r="BK76" s="82"/>
      <c r="BL76" s="82"/>
      <c r="BM76" s="82"/>
      <c r="BN76" s="210"/>
      <c r="BO76" s="82"/>
      <c r="BP76" s="82"/>
      <c r="BQ76" s="82"/>
      <c r="BR76" s="210"/>
      <c r="BS76" s="82"/>
      <c r="BT76" s="82"/>
      <c r="BU76" s="82"/>
      <c r="BV76" s="210"/>
      <c r="BW76" s="82"/>
      <c r="BX76" s="82"/>
      <c r="BY76" s="82"/>
      <c r="BZ76" s="210"/>
      <c r="CA76" s="82"/>
      <c r="CB76" s="82"/>
      <c r="CC76" s="82"/>
      <c r="CD76" s="210"/>
      <c r="CE76" s="82"/>
      <c r="CF76" s="82"/>
      <c r="CG76" s="82"/>
      <c r="CH76" s="210"/>
      <c r="CI76" s="82"/>
      <c r="CJ76" s="82"/>
      <c r="CK76" s="82"/>
      <c r="CL76" s="82"/>
      <c r="CM76" s="82"/>
      <c r="CN76" s="82"/>
      <c r="CO76" s="82"/>
      <c r="CP76" s="82"/>
      <c r="CQ76" s="82"/>
      <c r="CR76" s="82"/>
      <c r="CS76" s="82"/>
      <c r="CT76" s="82"/>
      <c r="CU76" s="82"/>
      <c r="CV76" s="82"/>
      <c r="CW76" s="82"/>
      <c r="CX76" s="82"/>
      <c r="CY76" s="82"/>
      <c r="CZ76" s="82"/>
      <c r="DA76" s="82"/>
      <c r="DB76" s="82"/>
    </row>
    <row r="77" spans="1:106">
      <c r="A77" s="82"/>
      <c r="B77" s="82"/>
      <c r="C77" s="171"/>
      <c r="D77" s="171"/>
      <c r="E77" s="171"/>
      <c r="F77" s="171"/>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206"/>
      <c r="AI77" s="82"/>
      <c r="AJ77" s="82"/>
      <c r="AK77" s="82"/>
      <c r="AL77" s="206"/>
      <c r="AM77" s="82"/>
      <c r="AN77" s="82"/>
      <c r="AO77" s="82"/>
      <c r="AP77" s="206"/>
      <c r="AQ77" s="82"/>
      <c r="AR77" s="82"/>
      <c r="AS77" s="82"/>
      <c r="AT77" s="206"/>
      <c r="AU77" s="82"/>
      <c r="AV77" s="82"/>
      <c r="AW77" s="82"/>
      <c r="AX77" s="206"/>
      <c r="AY77" s="82"/>
      <c r="AZ77" s="82"/>
      <c r="BA77" s="82"/>
      <c r="BB77" s="206"/>
      <c r="BC77" s="82"/>
      <c r="BD77" s="82"/>
      <c r="BE77" s="82"/>
      <c r="BF77" s="209"/>
      <c r="BG77" s="82"/>
      <c r="BH77" s="82"/>
      <c r="BI77" s="82"/>
      <c r="BJ77" s="210"/>
      <c r="BK77" s="82"/>
      <c r="BL77" s="82"/>
      <c r="BM77" s="82"/>
      <c r="BN77" s="210"/>
      <c r="BO77" s="82"/>
      <c r="BP77" s="82"/>
      <c r="BQ77" s="82"/>
      <c r="BR77" s="210"/>
      <c r="BS77" s="82"/>
      <c r="BT77" s="82"/>
      <c r="BU77" s="82"/>
      <c r="BV77" s="210"/>
      <c r="BW77" s="82"/>
      <c r="BX77" s="82"/>
      <c r="BY77" s="82"/>
      <c r="BZ77" s="210"/>
      <c r="CA77" s="82"/>
      <c r="CB77" s="82"/>
      <c r="CC77" s="82"/>
      <c r="CD77" s="210"/>
      <c r="CE77" s="82"/>
      <c r="CF77" s="82"/>
      <c r="CG77" s="82"/>
      <c r="CH77" s="210"/>
      <c r="CI77" s="82"/>
      <c r="CJ77" s="82"/>
      <c r="CK77" s="82"/>
      <c r="CL77" s="82"/>
      <c r="CM77" s="82"/>
      <c r="CN77" s="82"/>
      <c r="CO77" s="82"/>
      <c r="CP77" s="82"/>
      <c r="CQ77" s="82"/>
      <c r="CR77" s="82"/>
      <c r="CS77" s="82"/>
      <c r="CT77" s="82"/>
      <c r="CU77" s="82"/>
      <c r="CV77" s="82"/>
      <c r="CW77" s="82"/>
      <c r="CX77" s="82"/>
      <c r="CY77" s="82"/>
      <c r="CZ77" s="82"/>
      <c r="DA77" s="82"/>
      <c r="DB77" s="82"/>
    </row>
    <row r="78" spans="1:106">
      <c r="A78" s="82"/>
      <c r="B78" s="82"/>
      <c r="C78" s="171"/>
      <c r="D78" s="171"/>
      <c r="E78" s="171"/>
      <c r="F78" s="171"/>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206"/>
      <c r="AI78" s="82"/>
      <c r="AJ78" s="82"/>
      <c r="AK78" s="82"/>
      <c r="AL78" s="206"/>
      <c r="AM78" s="82"/>
      <c r="AN78" s="82"/>
      <c r="AO78" s="82"/>
      <c r="AP78" s="206"/>
      <c r="AQ78" s="82"/>
      <c r="AR78" s="82"/>
      <c r="AS78" s="82"/>
      <c r="AT78" s="206"/>
      <c r="AU78" s="82"/>
      <c r="AV78" s="82"/>
      <c r="AW78" s="82"/>
      <c r="AX78" s="206"/>
      <c r="AY78" s="82"/>
      <c r="AZ78" s="82"/>
      <c r="BA78" s="82"/>
      <c r="BB78" s="206"/>
      <c r="BC78" s="82"/>
      <c r="BD78" s="82"/>
      <c r="BE78" s="82"/>
      <c r="BF78" s="209"/>
      <c r="BG78" s="82"/>
      <c r="BH78" s="82"/>
      <c r="BI78" s="82"/>
      <c r="BJ78" s="210"/>
      <c r="BK78" s="82"/>
      <c r="BL78" s="82"/>
      <c r="BM78" s="82"/>
      <c r="BN78" s="210"/>
      <c r="BO78" s="82"/>
      <c r="BP78" s="82"/>
      <c r="BQ78" s="82"/>
      <c r="BR78" s="210"/>
      <c r="BS78" s="82"/>
      <c r="BT78" s="82"/>
      <c r="BU78" s="82"/>
      <c r="BV78" s="210"/>
      <c r="BW78" s="82"/>
      <c r="BX78" s="82"/>
      <c r="BY78" s="82"/>
      <c r="BZ78" s="210"/>
      <c r="CA78" s="82"/>
      <c r="CB78" s="82"/>
      <c r="CC78" s="82"/>
      <c r="CD78" s="210"/>
      <c r="CE78" s="82"/>
      <c r="CF78" s="82"/>
      <c r="CG78" s="82"/>
      <c r="CH78" s="210"/>
      <c r="CI78" s="82"/>
      <c r="CJ78" s="82"/>
      <c r="CK78" s="82"/>
      <c r="CL78" s="82"/>
      <c r="CM78" s="82"/>
      <c r="CN78" s="82"/>
      <c r="CO78" s="82"/>
      <c r="CP78" s="82"/>
      <c r="CQ78" s="82"/>
      <c r="CR78" s="82"/>
      <c r="CS78" s="82"/>
      <c r="CT78" s="82"/>
      <c r="CU78" s="82"/>
      <c r="CV78" s="82"/>
      <c r="CW78" s="82"/>
      <c r="CX78" s="82"/>
      <c r="CY78" s="82"/>
      <c r="CZ78" s="82"/>
      <c r="DA78" s="82"/>
      <c r="DB78" s="82"/>
    </row>
    <row r="79" spans="1:106">
      <c r="A79" s="82"/>
      <c r="B79" s="82"/>
      <c r="C79" s="171"/>
      <c r="D79" s="171"/>
      <c r="E79" s="171"/>
      <c r="F79" s="171"/>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206"/>
      <c r="AI79" s="82"/>
      <c r="AJ79" s="82"/>
      <c r="AK79" s="82"/>
      <c r="AL79" s="206"/>
      <c r="AM79" s="82"/>
      <c r="AN79" s="82"/>
      <c r="AO79" s="82"/>
      <c r="AP79" s="206"/>
      <c r="AQ79" s="82"/>
      <c r="AR79" s="82"/>
      <c r="AS79" s="82"/>
      <c r="AT79" s="206"/>
      <c r="AU79" s="82"/>
      <c r="AV79" s="82"/>
      <c r="AW79" s="82"/>
      <c r="AX79" s="206"/>
      <c r="AY79" s="82"/>
      <c r="AZ79" s="82"/>
      <c r="BA79" s="82"/>
      <c r="BB79" s="206"/>
      <c r="BC79" s="82"/>
      <c r="BD79" s="82"/>
      <c r="BE79" s="82"/>
      <c r="BF79" s="209"/>
      <c r="BG79" s="82"/>
      <c r="BH79" s="82"/>
      <c r="BI79" s="82"/>
      <c r="BJ79" s="210"/>
      <c r="BK79" s="82"/>
      <c r="BL79" s="82"/>
      <c r="BM79" s="82"/>
      <c r="BN79" s="210"/>
      <c r="BO79" s="82"/>
      <c r="BP79" s="82"/>
      <c r="BQ79" s="82"/>
      <c r="BR79" s="210"/>
      <c r="BS79" s="82"/>
      <c r="BT79" s="82"/>
      <c r="BU79" s="82"/>
      <c r="BV79" s="210"/>
      <c r="BW79" s="82"/>
      <c r="BX79" s="82"/>
      <c r="BY79" s="82"/>
      <c r="BZ79" s="210"/>
      <c r="CA79" s="82"/>
      <c r="CB79" s="82"/>
      <c r="CC79" s="82"/>
      <c r="CD79" s="210"/>
      <c r="CE79" s="82"/>
      <c r="CF79" s="82"/>
      <c r="CG79" s="82"/>
      <c r="CH79" s="210"/>
      <c r="CI79" s="82"/>
      <c r="CJ79" s="82"/>
      <c r="CK79" s="82"/>
      <c r="CL79" s="82"/>
      <c r="CM79" s="82"/>
      <c r="CN79" s="82"/>
      <c r="CO79" s="82"/>
      <c r="CP79" s="82"/>
      <c r="CQ79" s="82"/>
      <c r="CR79" s="82"/>
      <c r="CS79" s="82"/>
      <c r="CT79" s="82"/>
      <c r="CU79" s="82"/>
      <c r="CV79" s="82"/>
      <c r="CW79" s="82"/>
      <c r="CX79" s="82"/>
      <c r="CY79" s="82"/>
      <c r="CZ79" s="82"/>
      <c r="DA79" s="82"/>
      <c r="DB79" s="82"/>
    </row>
    <row r="80" spans="1:106">
      <c r="A80" s="82"/>
      <c r="B80" s="82"/>
      <c r="C80" s="171"/>
      <c r="D80" s="171"/>
      <c r="E80" s="171"/>
      <c r="F80" s="171"/>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206"/>
      <c r="AI80" s="82"/>
      <c r="AJ80" s="82"/>
      <c r="AK80" s="82"/>
      <c r="AL80" s="206"/>
      <c r="AM80" s="82"/>
      <c r="AN80" s="82"/>
      <c r="AO80" s="82"/>
      <c r="AP80" s="206"/>
      <c r="AQ80" s="82"/>
      <c r="AR80" s="82"/>
      <c r="AS80" s="82"/>
      <c r="AT80" s="206"/>
      <c r="AU80" s="82"/>
      <c r="AV80" s="82"/>
      <c r="AW80" s="82"/>
      <c r="AX80" s="206"/>
      <c r="AY80" s="82"/>
      <c r="AZ80" s="82"/>
      <c r="BA80" s="82"/>
      <c r="BB80" s="206"/>
      <c r="BC80" s="82"/>
      <c r="BD80" s="82"/>
      <c r="BE80" s="82"/>
      <c r="BF80" s="209"/>
      <c r="BG80" s="82"/>
      <c r="BH80" s="82"/>
      <c r="BI80" s="82"/>
      <c r="BJ80" s="210"/>
      <c r="BK80" s="82"/>
      <c r="BL80" s="82"/>
      <c r="BM80" s="82"/>
      <c r="BN80" s="210"/>
      <c r="BO80" s="82"/>
      <c r="BP80" s="82"/>
      <c r="BQ80" s="82"/>
      <c r="BR80" s="210"/>
      <c r="BS80" s="82"/>
      <c r="BT80" s="82"/>
      <c r="BU80" s="82"/>
      <c r="BV80" s="210"/>
      <c r="BW80" s="82"/>
      <c r="BX80" s="82"/>
      <c r="BY80" s="82"/>
      <c r="BZ80" s="210"/>
      <c r="CA80" s="82"/>
      <c r="CB80" s="82"/>
      <c r="CC80" s="82"/>
      <c r="CD80" s="210"/>
      <c r="CE80" s="82"/>
      <c r="CF80" s="82"/>
      <c r="CG80" s="82"/>
      <c r="CH80" s="210"/>
      <c r="CI80" s="82"/>
      <c r="CJ80" s="82"/>
      <c r="CK80" s="82"/>
      <c r="CL80" s="82"/>
      <c r="CM80" s="82"/>
      <c r="CN80" s="82"/>
      <c r="CO80" s="82"/>
      <c r="CP80" s="82"/>
      <c r="CQ80" s="82"/>
      <c r="CR80" s="82"/>
      <c r="CS80" s="82"/>
      <c r="CT80" s="82"/>
      <c r="CU80" s="82"/>
      <c r="CV80" s="82"/>
      <c r="CW80" s="82"/>
      <c r="CX80" s="82"/>
      <c r="CY80" s="82"/>
      <c r="CZ80" s="82"/>
      <c r="DA80" s="82"/>
      <c r="DB80" s="82"/>
    </row>
    <row r="81" spans="1:106">
      <c r="A81" s="82"/>
      <c r="B81" s="82"/>
      <c r="C81" s="171"/>
      <c r="D81" s="171"/>
      <c r="E81" s="171"/>
      <c r="F81" s="171"/>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206"/>
      <c r="AI81" s="82"/>
      <c r="AJ81" s="82"/>
      <c r="AK81" s="82"/>
      <c r="AL81" s="206"/>
      <c r="AM81" s="82"/>
      <c r="AN81" s="82"/>
      <c r="AO81" s="82"/>
      <c r="AP81" s="206"/>
      <c r="AQ81" s="82"/>
      <c r="AR81" s="82"/>
      <c r="AS81" s="82"/>
      <c r="AT81" s="206"/>
      <c r="AU81" s="82"/>
      <c r="AV81" s="82"/>
      <c r="AW81" s="82"/>
      <c r="AX81" s="206"/>
      <c r="AY81" s="82"/>
      <c r="AZ81" s="82"/>
      <c r="BA81" s="82"/>
      <c r="BB81" s="206"/>
      <c r="BC81" s="82"/>
      <c r="BD81" s="82"/>
      <c r="BE81" s="82"/>
      <c r="BF81" s="209"/>
      <c r="BG81" s="82"/>
      <c r="BH81" s="82"/>
      <c r="BI81" s="82"/>
      <c r="BJ81" s="210"/>
      <c r="BK81" s="82"/>
      <c r="BL81" s="82"/>
      <c r="BM81" s="82"/>
      <c r="BN81" s="210"/>
      <c r="BO81" s="82"/>
      <c r="BP81" s="82"/>
      <c r="BQ81" s="82"/>
      <c r="BR81" s="210"/>
      <c r="BS81" s="82"/>
      <c r="BT81" s="82"/>
      <c r="BU81" s="82"/>
      <c r="BV81" s="210"/>
      <c r="BW81" s="82"/>
      <c r="BX81" s="82"/>
      <c r="BY81" s="82"/>
      <c r="BZ81" s="210"/>
      <c r="CA81" s="82"/>
      <c r="CB81" s="82"/>
      <c r="CC81" s="82"/>
      <c r="CD81" s="210"/>
      <c r="CE81" s="82"/>
      <c r="CF81" s="82"/>
      <c r="CG81" s="82"/>
      <c r="CH81" s="210"/>
      <c r="CI81" s="82"/>
      <c r="CJ81" s="82"/>
      <c r="CK81" s="82"/>
      <c r="CL81" s="82"/>
      <c r="CM81" s="82"/>
      <c r="CN81" s="82"/>
      <c r="CO81" s="82"/>
      <c r="CP81" s="82"/>
      <c r="CQ81" s="82"/>
      <c r="CR81" s="82"/>
      <c r="CS81" s="82"/>
      <c r="CT81" s="82"/>
      <c r="CU81" s="82"/>
      <c r="CV81" s="82"/>
      <c r="CW81" s="82"/>
      <c r="CX81" s="82"/>
      <c r="CY81" s="82"/>
      <c r="CZ81" s="82"/>
      <c r="DA81" s="82"/>
      <c r="DB81" s="82"/>
    </row>
    <row r="82" spans="1:106">
      <c r="A82" s="82"/>
      <c r="B82" s="82"/>
      <c r="C82" s="171"/>
      <c r="D82" s="171"/>
      <c r="E82" s="171"/>
      <c r="F82" s="171"/>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206"/>
      <c r="AI82" s="82"/>
      <c r="AJ82" s="82"/>
      <c r="AK82" s="82"/>
      <c r="AL82" s="206"/>
      <c r="AM82" s="82"/>
      <c r="AN82" s="82"/>
      <c r="AO82" s="82"/>
      <c r="AP82" s="206"/>
      <c r="AQ82" s="82"/>
      <c r="AR82" s="82"/>
      <c r="AS82" s="82"/>
      <c r="AT82" s="206"/>
      <c r="AU82" s="82"/>
      <c r="AV82" s="82"/>
      <c r="AW82" s="82"/>
      <c r="AX82" s="206"/>
      <c r="AY82" s="82"/>
      <c r="AZ82" s="82"/>
      <c r="BA82" s="82"/>
      <c r="BB82" s="206"/>
      <c r="BC82" s="82"/>
      <c r="BD82" s="82"/>
      <c r="BE82" s="82"/>
      <c r="BF82" s="209"/>
      <c r="BG82" s="82"/>
      <c r="BH82" s="82"/>
      <c r="BI82" s="82"/>
      <c r="BJ82" s="210"/>
      <c r="BK82" s="82"/>
      <c r="BL82" s="82"/>
      <c r="BM82" s="82"/>
      <c r="BN82" s="210"/>
      <c r="BO82" s="82"/>
      <c r="BP82" s="82"/>
      <c r="BQ82" s="82"/>
      <c r="BR82" s="210"/>
      <c r="BS82" s="82"/>
      <c r="BT82" s="82"/>
      <c r="BU82" s="82"/>
      <c r="BV82" s="210"/>
      <c r="BW82" s="82"/>
      <c r="BX82" s="82"/>
      <c r="BY82" s="82"/>
      <c r="BZ82" s="210"/>
      <c r="CA82" s="82"/>
      <c r="CB82" s="82"/>
      <c r="CC82" s="82"/>
      <c r="CD82" s="210"/>
      <c r="CE82" s="82"/>
      <c r="CF82" s="82"/>
      <c r="CG82" s="82"/>
      <c r="CH82" s="210"/>
      <c r="CI82" s="82"/>
      <c r="CJ82" s="82"/>
      <c r="CK82" s="82"/>
      <c r="CL82" s="82"/>
      <c r="CM82" s="82"/>
      <c r="CN82" s="82"/>
      <c r="CO82" s="82"/>
      <c r="CP82" s="82"/>
      <c r="CQ82" s="82"/>
      <c r="CR82" s="82"/>
      <c r="CS82" s="82"/>
      <c r="CT82" s="82"/>
      <c r="CU82" s="82"/>
      <c r="CV82" s="82"/>
      <c r="CW82" s="82"/>
      <c r="CX82" s="82"/>
      <c r="CY82" s="82"/>
      <c r="CZ82" s="82"/>
      <c r="DA82" s="82"/>
      <c r="DB82" s="82"/>
    </row>
    <row r="83" spans="1:106">
      <c r="A83" s="82"/>
      <c r="B83" s="82"/>
      <c r="C83" s="171"/>
      <c r="D83" s="171"/>
      <c r="E83" s="171"/>
      <c r="F83" s="171"/>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206"/>
      <c r="AI83" s="82"/>
      <c r="AJ83" s="82"/>
      <c r="AK83" s="82"/>
      <c r="AL83" s="206"/>
      <c r="AM83" s="82"/>
      <c r="AN83" s="82"/>
      <c r="AO83" s="82"/>
      <c r="AP83" s="206"/>
      <c r="AQ83" s="82"/>
      <c r="AR83" s="82"/>
      <c r="AS83" s="82"/>
      <c r="AT83" s="206"/>
      <c r="AU83" s="82"/>
      <c r="AV83" s="82"/>
      <c r="AW83" s="82"/>
      <c r="AX83" s="206"/>
      <c r="AY83" s="82"/>
      <c r="AZ83" s="82"/>
      <c r="BA83" s="82"/>
      <c r="BB83" s="206"/>
      <c r="BC83" s="82"/>
      <c r="BD83" s="82"/>
      <c r="BE83" s="82"/>
      <c r="BF83" s="209"/>
      <c r="BG83" s="82"/>
      <c r="BH83" s="82"/>
      <c r="BI83" s="82"/>
      <c r="BJ83" s="210"/>
      <c r="BK83" s="82"/>
      <c r="BL83" s="82"/>
      <c r="BM83" s="82"/>
      <c r="BN83" s="210"/>
      <c r="BO83" s="82"/>
      <c r="BP83" s="82"/>
      <c r="BQ83" s="82"/>
      <c r="BR83" s="210"/>
      <c r="BS83" s="82"/>
      <c r="BT83" s="82"/>
      <c r="BU83" s="82"/>
      <c r="BV83" s="210"/>
      <c r="BW83" s="82"/>
      <c r="BX83" s="82"/>
      <c r="BY83" s="82"/>
      <c r="BZ83" s="210"/>
      <c r="CA83" s="82"/>
      <c r="CB83" s="82"/>
      <c r="CC83" s="82"/>
      <c r="CD83" s="210"/>
      <c r="CE83" s="82"/>
      <c r="CF83" s="82"/>
      <c r="CG83" s="82"/>
      <c r="CH83" s="210"/>
      <c r="CI83" s="82"/>
      <c r="CJ83" s="82"/>
      <c r="CK83" s="82"/>
      <c r="CL83" s="82"/>
      <c r="CM83" s="82"/>
      <c r="CN83" s="82"/>
      <c r="CO83" s="82"/>
      <c r="CP83" s="82"/>
      <c r="CQ83" s="82"/>
      <c r="CR83" s="82"/>
      <c r="CS83" s="82"/>
      <c r="CT83" s="82"/>
      <c r="CU83" s="82"/>
      <c r="CV83" s="82"/>
      <c r="CW83" s="82"/>
      <c r="CX83" s="82"/>
      <c r="CY83" s="82"/>
      <c r="CZ83" s="82"/>
      <c r="DA83" s="82"/>
      <c r="DB83" s="82"/>
    </row>
    <row r="84" spans="1:106">
      <c r="A84" s="82"/>
      <c r="B84" s="82"/>
      <c r="C84" s="171"/>
      <c r="D84" s="171"/>
      <c r="E84" s="171"/>
      <c r="F84" s="171"/>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206"/>
      <c r="AI84" s="82"/>
      <c r="AJ84" s="82"/>
      <c r="AK84" s="82"/>
      <c r="AL84" s="206"/>
      <c r="AM84" s="82"/>
      <c r="AN84" s="82"/>
      <c r="AO84" s="82"/>
      <c r="AP84" s="206"/>
      <c r="AQ84" s="82"/>
      <c r="AR84" s="82"/>
      <c r="AS84" s="82"/>
      <c r="AT84" s="206"/>
      <c r="AU84" s="82"/>
      <c r="AV84" s="82"/>
      <c r="AW84" s="82"/>
      <c r="AX84" s="206"/>
      <c r="AY84" s="82"/>
      <c r="AZ84" s="82"/>
      <c r="BA84" s="82"/>
      <c r="BB84" s="206"/>
      <c r="BC84" s="82"/>
      <c r="BD84" s="82"/>
      <c r="BE84" s="82"/>
      <c r="BF84" s="209"/>
      <c r="BG84" s="82"/>
      <c r="BH84" s="82"/>
      <c r="BI84" s="82"/>
      <c r="BJ84" s="210"/>
      <c r="BK84" s="82"/>
      <c r="BL84" s="82"/>
      <c r="BM84" s="82"/>
      <c r="BN84" s="210"/>
      <c r="BO84" s="82"/>
      <c r="BP84" s="82"/>
      <c r="BQ84" s="82"/>
      <c r="BR84" s="210"/>
      <c r="BS84" s="82"/>
      <c r="BT84" s="82"/>
      <c r="BU84" s="82"/>
      <c r="BV84" s="210"/>
      <c r="BW84" s="82"/>
      <c r="BX84" s="82"/>
      <c r="BY84" s="82"/>
      <c r="BZ84" s="210"/>
      <c r="CA84" s="82"/>
      <c r="CB84" s="82"/>
      <c r="CC84" s="82"/>
      <c r="CD84" s="210"/>
      <c r="CE84" s="82"/>
      <c r="CF84" s="82"/>
      <c r="CG84" s="82"/>
      <c r="CH84" s="210"/>
      <c r="CI84" s="82"/>
      <c r="CJ84" s="82"/>
      <c r="CK84" s="82"/>
      <c r="CL84" s="82"/>
      <c r="CM84" s="82"/>
      <c r="CN84" s="82"/>
      <c r="CO84" s="82"/>
      <c r="CP84" s="82"/>
      <c r="CQ84" s="82"/>
      <c r="CR84" s="82"/>
      <c r="CS84" s="82"/>
      <c r="CT84" s="82"/>
      <c r="CU84" s="82"/>
      <c r="CV84" s="82"/>
      <c r="CW84" s="82"/>
      <c r="CX84" s="82"/>
      <c r="CY84" s="82"/>
      <c r="CZ84" s="82"/>
      <c r="DA84" s="82"/>
      <c r="DB84" s="82"/>
    </row>
    <row r="85" spans="1:106">
      <c r="A85" s="82"/>
      <c r="B85" s="82"/>
      <c r="C85" s="171"/>
      <c r="D85" s="171"/>
      <c r="E85" s="171"/>
      <c r="F85" s="171"/>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206"/>
      <c r="AI85" s="82"/>
      <c r="AJ85" s="82"/>
      <c r="AK85" s="82"/>
      <c r="AL85" s="206"/>
      <c r="AM85" s="82"/>
      <c r="AN85" s="82"/>
      <c r="AO85" s="82"/>
      <c r="AP85" s="206"/>
      <c r="AQ85" s="82"/>
      <c r="AR85" s="82"/>
      <c r="AS85" s="82"/>
      <c r="AT85" s="206"/>
      <c r="AU85" s="82"/>
      <c r="AV85" s="82"/>
      <c r="AW85" s="82"/>
      <c r="AX85" s="206"/>
      <c r="AY85" s="82"/>
      <c r="AZ85" s="82"/>
      <c r="BA85" s="82"/>
      <c r="BB85" s="206"/>
      <c r="BC85" s="82"/>
      <c r="BD85" s="82"/>
      <c r="BE85" s="82"/>
      <c r="BF85" s="209"/>
      <c r="BG85" s="82"/>
      <c r="BH85" s="82"/>
      <c r="BI85" s="82"/>
      <c r="BJ85" s="210"/>
      <c r="BK85" s="82"/>
      <c r="BL85" s="82"/>
      <c r="BM85" s="82"/>
      <c r="BN85" s="210"/>
      <c r="BO85" s="82"/>
      <c r="BP85" s="82"/>
      <c r="BQ85" s="82"/>
      <c r="BR85" s="210"/>
      <c r="BS85" s="82"/>
      <c r="BT85" s="82"/>
      <c r="BU85" s="82"/>
      <c r="BV85" s="210"/>
      <c r="BW85" s="82"/>
      <c r="BX85" s="82"/>
      <c r="BY85" s="82"/>
      <c r="BZ85" s="210"/>
      <c r="CA85" s="82"/>
      <c r="CB85" s="82"/>
      <c r="CC85" s="82"/>
      <c r="CD85" s="210"/>
      <c r="CE85" s="82"/>
      <c r="CF85" s="82"/>
      <c r="CG85" s="82"/>
      <c r="CH85" s="210"/>
      <c r="CI85" s="82"/>
      <c r="CJ85" s="82"/>
      <c r="CK85" s="82"/>
      <c r="CL85" s="82"/>
      <c r="CM85" s="82"/>
      <c r="CN85" s="82"/>
      <c r="CO85" s="82"/>
      <c r="CP85" s="82"/>
      <c r="CQ85" s="82"/>
      <c r="CR85" s="82"/>
      <c r="CS85" s="82"/>
      <c r="CT85" s="82"/>
      <c r="CU85" s="82"/>
      <c r="CV85" s="82"/>
      <c r="CW85" s="82"/>
      <c r="CX85" s="82"/>
      <c r="CY85" s="82"/>
      <c r="CZ85" s="82"/>
      <c r="DA85" s="82"/>
      <c r="DB85" s="82"/>
    </row>
    <row r="86" spans="1:106">
      <c r="A86" s="82"/>
      <c r="B86" s="82"/>
      <c r="C86" s="171"/>
      <c r="D86" s="171"/>
      <c r="E86" s="171"/>
      <c r="F86" s="171"/>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206"/>
      <c r="AI86" s="82"/>
      <c r="AJ86" s="82"/>
      <c r="AK86" s="82"/>
      <c r="AL86" s="206"/>
      <c r="AM86" s="82"/>
      <c r="AN86" s="82"/>
      <c r="AO86" s="82"/>
      <c r="AP86" s="206"/>
      <c r="AQ86" s="82"/>
      <c r="AR86" s="82"/>
      <c r="AS86" s="82"/>
      <c r="AT86" s="206"/>
      <c r="AU86" s="82"/>
      <c r="AV86" s="82"/>
      <c r="AW86" s="82"/>
      <c r="AX86" s="206"/>
      <c r="AY86" s="82"/>
      <c r="AZ86" s="82"/>
      <c r="BA86" s="82"/>
      <c r="BB86" s="206"/>
      <c r="BC86" s="82"/>
      <c r="BD86" s="82"/>
      <c r="BE86" s="82"/>
      <c r="BF86" s="209"/>
      <c r="BG86" s="82"/>
      <c r="BH86" s="82"/>
      <c r="BI86" s="82"/>
      <c r="BJ86" s="210"/>
      <c r="BK86" s="82"/>
      <c r="BL86" s="82"/>
      <c r="BM86" s="82"/>
      <c r="BN86" s="210"/>
      <c r="BO86" s="82"/>
      <c r="BP86" s="82"/>
      <c r="BQ86" s="82"/>
      <c r="BR86" s="210"/>
      <c r="BS86" s="82"/>
      <c r="BT86" s="82"/>
      <c r="BU86" s="82"/>
      <c r="BV86" s="210"/>
      <c r="BW86" s="82"/>
      <c r="BX86" s="82"/>
      <c r="BY86" s="82"/>
      <c r="BZ86" s="210"/>
      <c r="CA86" s="82"/>
      <c r="CB86" s="82"/>
      <c r="CC86" s="82"/>
      <c r="CD86" s="210"/>
      <c r="CE86" s="82"/>
      <c r="CF86" s="82"/>
      <c r="CG86" s="82"/>
      <c r="CH86" s="210"/>
      <c r="CI86" s="82"/>
      <c r="CJ86" s="82"/>
      <c r="CK86" s="82"/>
      <c r="CL86" s="82"/>
      <c r="CM86" s="82"/>
      <c r="CN86" s="82"/>
      <c r="CO86" s="82"/>
      <c r="CP86" s="82"/>
      <c r="CQ86" s="82"/>
      <c r="CR86" s="82"/>
      <c r="CS86" s="82"/>
      <c r="CT86" s="82"/>
      <c r="CU86" s="82"/>
      <c r="CV86" s="82"/>
      <c r="CW86" s="82"/>
      <c r="CX86" s="82"/>
      <c r="CY86" s="82"/>
      <c r="CZ86" s="82"/>
      <c r="DA86" s="82"/>
      <c r="DB86" s="82"/>
    </row>
    <row r="87" spans="1:106">
      <c r="A87" s="82"/>
      <c r="B87" s="82"/>
      <c r="C87" s="171"/>
      <c r="D87" s="171"/>
      <c r="E87" s="171"/>
      <c r="F87" s="171"/>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206"/>
      <c r="AI87" s="82"/>
      <c r="AJ87" s="82"/>
      <c r="AK87" s="82"/>
      <c r="AL87" s="206"/>
      <c r="AM87" s="82"/>
      <c r="AN87" s="82"/>
      <c r="AO87" s="82"/>
      <c r="AP87" s="206"/>
      <c r="AQ87" s="82"/>
      <c r="AR87" s="82"/>
      <c r="AS87" s="82"/>
      <c r="AT87" s="206"/>
      <c r="AU87" s="82"/>
      <c r="AV87" s="82"/>
      <c r="AW87" s="82"/>
      <c r="AX87" s="206"/>
      <c r="AY87" s="82"/>
      <c r="AZ87" s="82"/>
      <c r="BA87" s="82"/>
      <c r="BB87" s="206"/>
      <c r="BC87" s="82"/>
      <c r="BD87" s="82"/>
      <c r="BE87" s="82"/>
      <c r="BF87" s="209"/>
      <c r="BG87" s="82"/>
      <c r="BH87" s="82"/>
      <c r="BI87" s="82"/>
      <c r="BJ87" s="210"/>
      <c r="BK87" s="82"/>
      <c r="BL87" s="82"/>
      <c r="BM87" s="82"/>
      <c r="BN87" s="210"/>
      <c r="BO87" s="82"/>
      <c r="BP87" s="82"/>
      <c r="BQ87" s="82"/>
      <c r="BR87" s="210"/>
      <c r="BS87" s="82"/>
      <c r="BT87" s="82"/>
      <c r="BU87" s="82"/>
      <c r="BV87" s="210"/>
      <c r="BW87" s="82"/>
      <c r="BX87" s="82"/>
      <c r="BY87" s="82"/>
      <c r="BZ87" s="210"/>
      <c r="CA87" s="82"/>
      <c r="CB87" s="82"/>
      <c r="CC87" s="82"/>
      <c r="CD87" s="210"/>
      <c r="CE87" s="82"/>
      <c r="CF87" s="82"/>
      <c r="CG87" s="82"/>
      <c r="CH87" s="210"/>
      <c r="CI87" s="82"/>
      <c r="CJ87" s="82"/>
      <c r="CK87" s="82"/>
      <c r="CL87" s="82"/>
      <c r="CM87" s="82"/>
      <c r="CN87" s="82"/>
      <c r="CO87" s="82"/>
      <c r="CP87" s="82"/>
      <c r="CQ87" s="82"/>
      <c r="CR87" s="82"/>
      <c r="CS87" s="82"/>
      <c r="CT87" s="82"/>
      <c r="CU87" s="82"/>
      <c r="CV87" s="82"/>
      <c r="CW87" s="82"/>
      <c r="CX87" s="82"/>
      <c r="CY87" s="82"/>
      <c r="CZ87" s="82"/>
      <c r="DA87" s="82"/>
      <c r="DB87" s="82"/>
    </row>
    <row r="88" spans="1:106">
      <c r="A88" s="82"/>
      <c r="B88" s="82"/>
      <c r="C88" s="171"/>
      <c r="D88" s="171"/>
      <c r="E88" s="171"/>
      <c r="F88" s="171"/>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206"/>
      <c r="AI88" s="82"/>
      <c r="AJ88" s="82"/>
      <c r="AK88" s="82"/>
      <c r="AL88" s="206"/>
      <c r="AM88" s="82"/>
      <c r="AN88" s="82"/>
      <c r="AO88" s="82"/>
      <c r="AP88" s="206"/>
      <c r="AQ88" s="82"/>
      <c r="AR88" s="82"/>
      <c r="AS88" s="82"/>
      <c r="AT88" s="206"/>
      <c r="AU88" s="82"/>
      <c r="AV88" s="82"/>
      <c r="AW88" s="82"/>
      <c r="AX88" s="206"/>
      <c r="AY88" s="82"/>
      <c r="AZ88" s="82"/>
      <c r="BA88" s="82"/>
      <c r="BB88" s="206"/>
      <c r="BC88" s="82"/>
      <c r="BD88" s="82"/>
      <c r="BE88" s="82"/>
      <c r="BF88" s="209"/>
      <c r="BG88" s="82"/>
      <c r="BH88" s="82"/>
      <c r="BI88" s="82"/>
      <c r="BJ88" s="210"/>
      <c r="BK88" s="82"/>
      <c r="BL88" s="82"/>
      <c r="BM88" s="82"/>
      <c r="BN88" s="210"/>
      <c r="BO88" s="82"/>
      <c r="BP88" s="82"/>
      <c r="BQ88" s="82"/>
      <c r="BR88" s="210"/>
      <c r="BS88" s="82"/>
      <c r="BT88" s="82"/>
      <c r="BU88" s="82"/>
      <c r="BV88" s="210"/>
      <c r="BW88" s="82"/>
      <c r="BX88" s="82"/>
      <c r="BY88" s="82"/>
      <c r="BZ88" s="210"/>
      <c r="CA88" s="82"/>
      <c r="CB88" s="82"/>
      <c r="CC88" s="82"/>
      <c r="CD88" s="210"/>
      <c r="CE88" s="82"/>
      <c r="CF88" s="82"/>
      <c r="CG88" s="82"/>
      <c r="CH88" s="210"/>
      <c r="CI88" s="82"/>
      <c r="CJ88" s="82"/>
      <c r="CK88" s="82"/>
      <c r="CL88" s="82"/>
      <c r="CM88" s="82"/>
      <c r="CN88" s="82"/>
      <c r="CO88" s="82"/>
      <c r="CP88" s="82"/>
      <c r="CQ88" s="82"/>
      <c r="CR88" s="82"/>
      <c r="CS88" s="82"/>
      <c r="CT88" s="82"/>
      <c r="CU88" s="82"/>
      <c r="CV88" s="82"/>
      <c r="CW88" s="82"/>
      <c r="CX88" s="82"/>
      <c r="CY88" s="82"/>
      <c r="CZ88" s="82"/>
      <c r="DA88" s="82"/>
      <c r="DB88" s="82"/>
    </row>
    <row r="89" spans="1:106">
      <c r="A89" s="82"/>
      <c r="B89" s="82"/>
      <c r="C89" s="171"/>
      <c r="D89" s="171"/>
      <c r="E89" s="171"/>
      <c r="F89" s="171"/>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206"/>
      <c r="AI89" s="82"/>
      <c r="AJ89" s="82"/>
      <c r="AK89" s="82"/>
      <c r="AL89" s="206"/>
      <c r="AM89" s="82"/>
      <c r="AN89" s="82"/>
      <c r="AO89" s="82"/>
      <c r="AP89" s="206"/>
      <c r="AQ89" s="82"/>
      <c r="AR89" s="82"/>
      <c r="AS89" s="82"/>
      <c r="AT89" s="206"/>
      <c r="AU89" s="82"/>
      <c r="AV89" s="82"/>
      <c r="AW89" s="82"/>
      <c r="AX89" s="206"/>
      <c r="AY89" s="82"/>
      <c r="AZ89" s="82"/>
      <c r="BA89" s="82"/>
      <c r="BB89" s="206"/>
      <c r="BC89" s="82"/>
      <c r="BD89" s="82"/>
      <c r="BE89" s="82"/>
      <c r="BF89" s="209"/>
      <c r="BG89" s="82"/>
      <c r="BH89" s="82"/>
      <c r="BI89" s="82"/>
      <c r="BJ89" s="210"/>
      <c r="BK89" s="82"/>
      <c r="BL89" s="82"/>
      <c r="BM89" s="82"/>
      <c r="BN89" s="210"/>
      <c r="BO89" s="82"/>
      <c r="BP89" s="82"/>
      <c r="BQ89" s="82"/>
      <c r="BR89" s="210"/>
      <c r="BS89" s="82"/>
      <c r="BT89" s="82"/>
      <c r="BU89" s="82"/>
      <c r="BV89" s="210"/>
      <c r="BW89" s="82"/>
      <c r="BX89" s="82"/>
      <c r="BY89" s="82"/>
      <c r="BZ89" s="210"/>
      <c r="CA89" s="82"/>
      <c r="CB89" s="82"/>
      <c r="CC89" s="82"/>
      <c r="CD89" s="210"/>
      <c r="CE89" s="82"/>
      <c r="CF89" s="82"/>
      <c r="CG89" s="82"/>
      <c r="CH89" s="210"/>
      <c r="CI89" s="82"/>
      <c r="CJ89" s="82"/>
      <c r="CK89" s="82"/>
      <c r="CL89" s="82"/>
      <c r="CM89" s="82"/>
      <c r="CN89" s="82"/>
      <c r="CO89" s="82"/>
      <c r="CP89" s="82"/>
      <c r="CQ89" s="82"/>
      <c r="CR89" s="82"/>
      <c r="CS89" s="82"/>
      <c r="CT89" s="82"/>
      <c r="CU89" s="82"/>
      <c r="CV89" s="82"/>
      <c r="CW89" s="82"/>
      <c r="CX89" s="82"/>
      <c r="CY89" s="82"/>
      <c r="CZ89" s="82"/>
      <c r="DA89" s="82"/>
      <c r="DB89" s="82"/>
    </row>
    <row r="90" spans="1:106">
      <c r="A90" s="82"/>
      <c r="B90" s="82"/>
      <c r="C90" s="171"/>
      <c r="D90" s="171"/>
      <c r="E90" s="171"/>
      <c r="F90" s="171"/>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206"/>
      <c r="AI90" s="82"/>
      <c r="AJ90" s="82"/>
      <c r="AK90" s="82"/>
      <c r="AL90" s="206"/>
      <c r="AM90" s="82"/>
      <c r="AN90" s="82"/>
      <c r="AO90" s="82"/>
      <c r="AP90" s="206"/>
      <c r="AQ90" s="82"/>
      <c r="AR90" s="82"/>
      <c r="AS90" s="82"/>
      <c r="AT90" s="206"/>
      <c r="AU90" s="82"/>
      <c r="AV90" s="82"/>
      <c r="AW90" s="82"/>
      <c r="AX90" s="206"/>
      <c r="AY90" s="82"/>
      <c r="AZ90" s="82"/>
      <c r="BA90" s="82"/>
      <c r="BB90" s="206"/>
      <c r="BC90" s="82"/>
      <c r="BD90" s="82"/>
      <c r="BE90" s="82"/>
      <c r="BF90" s="209"/>
      <c r="BG90" s="82"/>
      <c r="BH90" s="82"/>
      <c r="BI90" s="82"/>
      <c r="BJ90" s="210"/>
      <c r="BK90" s="82"/>
      <c r="BL90" s="82"/>
      <c r="BM90" s="82"/>
      <c r="BN90" s="210"/>
      <c r="BO90" s="82"/>
      <c r="BP90" s="82"/>
      <c r="BQ90" s="82"/>
      <c r="BR90" s="210"/>
      <c r="BS90" s="82"/>
      <c r="BT90" s="82"/>
      <c r="BU90" s="82"/>
      <c r="BV90" s="210"/>
      <c r="BW90" s="82"/>
      <c r="BX90" s="82"/>
      <c r="BY90" s="82"/>
      <c r="BZ90" s="210"/>
      <c r="CA90" s="82"/>
      <c r="CB90" s="82"/>
      <c r="CC90" s="82"/>
      <c r="CD90" s="210"/>
      <c r="CE90" s="82"/>
      <c r="CF90" s="82"/>
      <c r="CG90" s="82"/>
      <c r="CH90" s="210"/>
      <c r="CI90" s="82"/>
      <c r="CJ90" s="82"/>
      <c r="CK90" s="82"/>
      <c r="CL90" s="82"/>
      <c r="CM90" s="82"/>
      <c r="CN90" s="82"/>
      <c r="CO90" s="82"/>
      <c r="CP90" s="82"/>
      <c r="CQ90" s="82"/>
      <c r="CR90" s="82"/>
      <c r="CS90" s="82"/>
      <c r="CT90" s="82"/>
      <c r="CU90" s="82"/>
      <c r="CV90" s="82"/>
      <c r="CW90" s="82"/>
      <c r="CX90" s="82"/>
      <c r="CY90" s="82"/>
      <c r="CZ90" s="82"/>
      <c r="DA90" s="82"/>
      <c r="DB90" s="82"/>
    </row>
    <row r="91" spans="1:106">
      <c r="A91" s="82"/>
      <c r="B91" s="82"/>
      <c r="C91" s="171"/>
      <c r="D91" s="171"/>
      <c r="E91" s="171"/>
      <c r="F91" s="171"/>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206"/>
      <c r="AI91" s="82"/>
      <c r="AJ91" s="82"/>
      <c r="AK91" s="82"/>
      <c r="AL91" s="206"/>
      <c r="AM91" s="82"/>
      <c r="AN91" s="82"/>
      <c r="AO91" s="82"/>
      <c r="AP91" s="206"/>
      <c r="AQ91" s="82"/>
      <c r="AR91" s="82"/>
      <c r="AS91" s="82"/>
      <c r="AT91" s="206"/>
      <c r="AU91" s="82"/>
      <c r="AV91" s="82"/>
      <c r="AW91" s="82"/>
      <c r="AX91" s="206"/>
      <c r="AY91" s="82"/>
      <c r="AZ91" s="82"/>
      <c r="BA91" s="82"/>
      <c r="BB91" s="206"/>
      <c r="BC91" s="82"/>
      <c r="BD91" s="82"/>
      <c r="BE91" s="82"/>
      <c r="BF91" s="209"/>
      <c r="BG91" s="82"/>
      <c r="BH91" s="82"/>
      <c r="BI91" s="82"/>
      <c r="BJ91" s="210"/>
      <c r="BK91" s="82"/>
      <c r="BL91" s="82"/>
      <c r="BM91" s="82"/>
      <c r="BN91" s="210"/>
      <c r="BO91" s="82"/>
      <c r="BP91" s="82"/>
      <c r="BQ91" s="82"/>
      <c r="BR91" s="210"/>
      <c r="BS91" s="82"/>
      <c r="BT91" s="82"/>
      <c r="BU91" s="82"/>
      <c r="BV91" s="210"/>
      <c r="BW91" s="82"/>
      <c r="BX91" s="82"/>
      <c r="BY91" s="82"/>
      <c r="BZ91" s="210"/>
      <c r="CA91" s="82"/>
      <c r="CB91" s="82"/>
      <c r="CC91" s="82"/>
      <c r="CD91" s="210"/>
      <c r="CE91" s="82"/>
      <c r="CF91" s="82"/>
      <c r="CG91" s="82"/>
      <c r="CH91" s="210"/>
      <c r="CI91" s="82"/>
      <c r="CJ91" s="82"/>
      <c r="CK91" s="82"/>
      <c r="CL91" s="82"/>
      <c r="CM91" s="82"/>
      <c r="CN91" s="82"/>
      <c r="CO91" s="82"/>
      <c r="CP91" s="82"/>
      <c r="CQ91" s="82"/>
      <c r="CR91" s="82"/>
      <c r="CS91" s="82"/>
      <c r="CT91" s="82"/>
      <c r="CU91" s="82"/>
      <c r="CV91" s="82"/>
      <c r="CW91" s="82"/>
      <c r="CX91" s="82"/>
      <c r="CY91" s="82"/>
      <c r="CZ91" s="82"/>
      <c r="DA91" s="82"/>
      <c r="DB91" s="82"/>
    </row>
    <row r="92" spans="1:106">
      <c r="A92" s="82"/>
      <c r="B92" s="82"/>
      <c r="C92" s="171"/>
      <c r="D92" s="171"/>
      <c r="E92" s="171"/>
      <c r="F92" s="171"/>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206"/>
      <c r="AI92" s="82"/>
      <c r="AJ92" s="82"/>
      <c r="AK92" s="82"/>
      <c r="AL92" s="206"/>
      <c r="AM92" s="82"/>
      <c r="AN92" s="82"/>
      <c r="AO92" s="82"/>
      <c r="AP92" s="206"/>
      <c r="AQ92" s="82"/>
      <c r="AR92" s="82"/>
      <c r="AS92" s="82"/>
      <c r="AT92" s="206"/>
      <c r="AU92" s="82"/>
      <c r="AV92" s="82"/>
      <c r="AW92" s="82"/>
      <c r="AX92" s="206"/>
      <c r="AY92" s="82"/>
      <c r="AZ92" s="82"/>
      <c r="BA92" s="82"/>
      <c r="BB92" s="206"/>
      <c r="BC92" s="82"/>
      <c r="BD92" s="82"/>
      <c r="BE92" s="82"/>
      <c r="BF92" s="209"/>
      <c r="BG92" s="82"/>
      <c r="BH92" s="82"/>
      <c r="BI92" s="82"/>
      <c r="BJ92" s="210"/>
      <c r="BK92" s="82"/>
      <c r="BL92" s="82"/>
      <c r="BM92" s="82"/>
      <c r="BN92" s="210"/>
      <c r="BO92" s="82"/>
      <c r="BP92" s="82"/>
      <c r="BQ92" s="82"/>
      <c r="BR92" s="210"/>
      <c r="BS92" s="82"/>
      <c r="BT92" s="82"/>
      <c r="BU92" s="82"/>
      <c r="BV92" s="210"/>
      <c r="BW92" s="82"/>
      <c r="BX92" s="82"/>
      <c r="BY92" s="82"/>
      <c r="BZ92" s="210"/>
      <c r="CA92" s="82"/>
      <c r="CB92" s="82"/>
      <c r="CC92" s="82"/>
      <c r="CD92" s="210"/>
      <c r="CE92" s="82"/>
      <c r="CF92" s="82"/>
      <c r="CG92" s="82"/>
      <c r="CH92" s="210"/>
      <c r="CI92" s="82"/>
      <c r="CJ92" s="82"/>
      <c r="CK92" s="82"/>
      <c r="CL92" s="82"/>
      <c r="CM92" s="82"/>
      <c r="CN92" s="82"/>
      <c r="CO92" s="82"/>
      <c r="CP92" s="82"/>
      <c r="CQ92" s="82"/>
      <c r="CR92" s="82"/>
      <c r="CS92" s="82"/>
      <c r="CT92" s="82"/>
      <c r="CU92" s="82"/>
      <c r="CV92" s="82"/>
      <c r="CW92" s="82"/>
      <c r="CX92" s="82"/>
      <c r="CY92" s="82"/>
      <c r="CZ92" s="82"/>
      <c r="DA92" s="82"/>
      <c r="DB92" s="82"/>
    </row>
    <row r="93" spans="1:106">
      <c r="A93" s="82"/>
      <c r="B93" s="82"/>
      <c r="C93" s="171"/>
      <c r="D93" s="171"/>
      <c r="E93" s="171"/>
      <c r="F93" s="171"/>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206"/>
      <c r="AI93" s="82"/>
      <c r="AJ93" s="82"/>
      <c r="AK93" s="82"/>
      <c r="AL93" s="206"/>
      <c r="AM93" s="82"/>
      <c r="AN93" s="82"/>
      <c r="AO93" s="82"/>
      <c r="AP93" s="206"/>
      <c r="AQ93" s="82"/>
      <c r="AR93" s="82"/>
      <c r="AS93" s="82"/>
      <c r="AT93" s="206"/>
      <c r="AU93" s="82"/>
      <c r="AV93" s="82"/>
      <c r="AW93" s="82"/>
      <c r="AX93" s="206"/>
      <c r="AY93" s="82"/>
      <c r="AZ93" s="82"/>
      <c r="BA93" s="82"/>
      <c r="BB93" s="206"/>
      <c r="BC93" s="82"/>
      <c r="BD93" s="82"/>
      <c r="BE93" s="82"/>
      <c r="BF93" s="209"/>
      <c r="BG93" s="82"/>
      <c r="BH93" s="82"/>
      <c r="BI93" s="82"/>
      <c r="BJ93" s="210"/>
      <c r="BK93" s="82"/>
      <c r="BL93" s="82"/>
      <c r="BM93" s="82"/>
      <c r="BN93" s="210"/>
      <c r="BO93" s="82"/>
      <c r="BP93" s="82"/>
      <c r="BQ93" s="82"/>
      <c r="BR93" s="210"/>
      <c r="BS93" s="82"/>
      <c r="BT93" s="82"/>
      <c r="BU93" s="82"/>
      <c r="BV93" s="210"/>
      <c r="BW93" s="82"/>
      <c r="BX93" s="82"/>
      <c r="BY93" s="82"/>
      <c r="BZ93" s="210"/>
      <c r="CA93" s="82"/>
      <c r="CB93" s="82"/>
      <c r="CC93" s="82"/>
      <c r="CD93" s="210"/>
      <c r="CE93" s="82"/>
      <c r="CF93" s="82"/>
      <c r="CG93" s="82"/>
      <c r="CH93" s="210"/>
      <c r="CI93" s="82"/>
      <c r="CJ93" s="82"/>
      <c r="CK93" s="82"/>
      <c r="CL93" s="82"/>
      <c r="CM93" s="82"/>
      <c r="CN93" s="82"/>
      <c r="CO93" s="82"/>
      <c r="CP93" s="82"/>
      <c r="CQ93" s="82"/>
      <c r="CR93" s="82"/>
      <c r="CS93" s="82"/>
      <c r="CT93" s="82"/>
      <c r="CU93" s="82"/>
      <c r="CV93" s="82"/>
      <c r="CW93" s="82"/>
      <c r="CX93" s="82"/>
      <c r="CY93" s="82"/>
      <c r="CZ93" s="82"/>
      <c r="DA93" s="82"/>
      <c r="DB93" s="82"/>
    </row>
    <row r="94" spans="1:106">
      <c r="A94" s="82"/>
      <c r="B94" s="82"/>
      <c r="C94" s="171"/>
      <c r="D94" s="171"/>
      <c r="E94" s="171"/>
      <c r="F94" s="171"/>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206"/>
      <c r="AI94" s="82"/>
      <c r="AJ94" s="82"/>
      <c r="AK94" s="82"/>
      <c r="AL94" s="206"/>
      <c r="AM94" s="82"/>
      <c r="AN94" s="82"/>
      <c r="AO94" s="82"/>
      <c r="AP94" s="206"/>
      <c r="AQ94" s="82"/>
      <c r="AR94" s="82"/>
      <c r="AS94" s="82"/>
      <c r="AT94" s="206"/>
      <c r="AU94" s="82"/>
      <c r="AV94" s="82"/>
      <c r="AW94" s="82"/>
      <c r="AX94" s="206"/>
      <c r="AY94" s="82"/>
      <c r="AZ94" s="82"/>
      <c r="BA94" s="82"/>
      <c r="BB94" s="206"/>
      <c r="BC94" s="82"/>
      <c r="BD94" s="82"/>
      <c r="BE94" s="82"/>
      <c r="BF94" s="209"/>
      <c r="BG94" s="82"/>
      <c r="BH94" s="82"/>
      <c r="BI94" s="82"/>
      <c r="BJ94" s="210"/>
      <c r="BK94" s="82"/>
      <c r="BL94" s="82"/>
      <c r="BM94" s="82"/>
      <c r="BN94" s="210"/>
      <c r="BO94" s="82"/>
      <c r="BP94" s="82"/>
      <c r="BQ94" s="82"/>
      <c r="BR94" s="210"/>
      <c r="BS94" s="82"/>
      <c r="BT94" s="82"/>
      <c r="BU94" s="82"/>
      <c r="BV94" s="210"/>
      <c r="BW94" s="82"/>
      <c r="BX94" s="82"/>
      <c r="BY94" s="82"/>
      <c r="BZ94" s="210"/>
      <c r="CA94" s="82"/>
      <c r="CB94" s="82"/>
      <c r="CC94" s="82"/>
      <c r="CD94" s="210"/>
      <c r="CE94" s="82"/>
      <c r="CF94" s="82"/>
      <c r="CG94" s="82"/>
      <c r="CH94" s="210"/>
      <c r="CI94" s="82"/>
      <c r="CJ94" s="82"/>
      <c r="CK94" s="82"/>
      <c r="CL94" s="82"/>
      <c r="CM94" s="82"/>
      <c r="CN94" s="82"/>
      <c r="CO94" s="82"/>
      <c r="CP94" s="82"/>
      <c r="CQ94" s="82"/>
      <c r="CR94" s="82"/>
      <c r="CS94" s="82"/>
      <c r="CT94" s="82"/>
      <c r="CU94" s="82"/>
      <c r="CV94" s="82"/>
      <c r="CW94" s="82"/>
      <c r="CX94" s="82"/>
      <c r="CY94" s="82"/>
      <c r="CZ94" s="82"/>
      <c r="DA94" s="82"/>
      <c r="DB94" s="82"/>
    </row>
  </sheetData>
  <mergeCells count="20">
    <mergeCell ref="AU1:AW1"/>
    <mergeCell ref="C1:E1"/>
    <mergeCell ref="G1:I1"/>
    <mergeCell ref="K1:M1"/>
    <mergeCell ref="O1:Q1"/>
    <mergeCell ref="S1:U1"/>
    <mergeCell ref="W1:Y1"/>
    <mergeCell ref="AA1:AC1"/>
    <mergeCell ref="AE1:AG1"/>
    <mergeCell ref="AI1:AK1"/>
    <mergeCell ref="AM1:AO1"/>
    <mergeCell ref="AQ1:AS1"/>
    <mergeCell ref="CA1:CC1"/>
    <mergeCell ref="CE1:CG1"/>
    <mergeCell ref="AY1:BA1"/>
    <mergeCell ref="BC1:BE1"/>
    <mergeCell ref="BG1:BI1"/>
    <mergeCell ref="BK1:BM1"/>
    <mergeCell ref="BO1:BQ1"/>
    <mergeCell ref="BS1:BU1"/>
  </mergeCells>
  <phoneticPr fontId="104" type="noConversion"/>
  <conditionalFormatting sqref="K3:M17">
    <cfRule type="colorScale" priority="31">
      <colorScale>
        <cfvo type="min"/>
        <cfvo type="max"/>
        <color rgb="FFFCFCFF"/>
        <color rgb="FF63BE7B"/>
      </colorScale>
    </cfRule>
  </conditionalFormatting>
  <conditionalFormatting sqref="G3:J17">
    <cfRule type="colorScale" priority="30">
      <colorScale>
        <cfvo type="min"/>
        <cfvo type="max"/>
        <color rgb="FFFCFCFF"/>
        <color rgb="FF63BE7B"/>
      </colorScale>
    </cfRule>
  </conditionalFormatting>
  <conditionalFormatting sqref="C3:E17">
    <cfRule type="colorScale" priority="29">
      <colorScale>
        <cfvo type="min"/>
        <cfvo type="max"/>
        <color rgb="FFFCFCFF"/>
        <color rgb="FF63BE7B"/>
      </colorScale>
    </cfRule>
  </conditionalFormatting>
  <conditionalFormatting sqref="AX3:AX11">
    <cfRule type="colorScale" priority="26">
      <colorScale>
        <cfvo type="min"/>
        <cfvo type="max"/>
        <color rgb="FFFCFCFF"/>
        <color rgb="FF63BE7B"/>
      </colorScale>
    </cfRule>
  </conditionalFormatting>
  <conditionalFormatting sqref="AT3:AT11">
    <cfRule type="colorScale" priority="24">
      <colorScale>
        <cfvo type="min"/>
        <cfvo type="max"/>
        <color rgb="FFFCFCFF"/>
        <color rgb="FF63BE7B"/>
      </colorScale>
    </cfRule>
  </conditionalFormatting>
  <conditionalFormatting sqref="AH3:AH11">
    <cfRule type="colorScale" priority="23">
      <colorScale>
        <cfvo type="min"/>
        <cfvo type="max"/>
        <color rgb="FFFCFCFF"/>
        <color rgb="FF63BE7B"/>
      </colorScale>
    </cfRule>
  </conditionalFormatting>
  <conditionalFormatting sqref="BB3:BB11">
    <cfRule type="colorScale" priority="22">
      <colorScale>
        <cfvo type="min"/>
        <cfvo type="max"/>
        <color rgb="FFFCFCFF"/>
        <color rgb="FF63BE7B"/>
      </colorScale>
    </cfRule>
  </conditionalFormatting>
  <conditionalFormatting sqref="AL3:AL11">
    <cfRule type="colorScale" priority="15">
      <colorScale>
        <cfvo type="min"/>
        <cfvo type="max"/>
        <color rgb="FFFCFCFF"/>
        <color rgb="FF63BE7B"/>
      </colorScale>
    </cfRule>
  </conditionalFormatting>
  <conditionalFormatting sqref="AP3:AP11">
    <cfRule type="colorScale" priority="13">
      <colorScale>
        <cfvo type="min"/>
        <cfvo type="max"/>
        <color rgb="FFFCFCFF"/>
        <color rgb="FF63BE7B"/>
      </colorScale>
    </cfRule>
  </conditionalFormatting>
  <conditionalFormatting sqref="S71">
    <cfRule type="cellIs" dxfId="7" priority="12" operator="greaterThan">
      <formula>1</formula>
    </cfRule>
  </conditionalFormatting>
  <conditionalFormatting sqref="O3:Q17">
    <cfRule type="colorScale" priority="11">
      <colorScale>
        <cfvo type="min"/>
        <cfvo type="max"/>
        <color rgb="FFFCFCFF"/>
        <color rgb="FF63BE7B"/>
      </colorScale>
    </cfRule>
  </conditionalFormatting>
  <conditionalFormatting sqref="S3:U17">
    <cfRule type="colorScale" priority="10">
      <colorScale>
        <cfvo type="min"/>
        <cfvo type="max"/>
        <color rgb="FFFCFCFF"/>
        <color rgb="FF63BE7B"/>
      </colorScale>
    </cfRule>
  </conditionalFormatting>
  <conditionalFormatting sqref="W3:Y17">
    <cfRule type="colorScale" priority="9">
      <colorScale>
        <cfvo type="min"/>
        <cfvo type="max"/>
        <color rgb="FFFCFCFF"/>
        <color rgb="FF63BE7B"/>
      </colorScale>
    </cfRule>
  </conditionalFormatting>
  <conditionalFormatting sqref="AA3:AC17">
    <cfRule type="colorScale" priority="8">
      <colorScale>
        <cfvo type="min"/>
        <cfvo type="max"/>
        <color rgb="FFFCFCFF"/>
        <color rgb="FF63BE7B"/>
      </colorScale>
    </cfRule>
  </conditionalFormatting>
  <conditionalFormatting sqref="AE3:AG17">
    <cfRule type="colorScale" priority="7">
      <colorScale>
        <cfvo type="min"/>
        <cfvo type="max"/>
        <color rgb="FFFCFCFF"/>
        <color rgb="FF63BE7B"/>
      </colorScale>
    </cfRule>
  </conditionalFormatting>
  <conditionalFormatting sqref="AI3:AK17">
    <cfRule type="colorScale" priority="6">
      <colorScale>
        <cfvo type="min"/>
        <cfvo type="max"/>
        <color rgb="FFFCFCFF"/>
        <color rgb="FF63BE7B"/>
      </colorScale>
    </cfRule>
  </conditionalFormatting>
  <conditionalFormatting sqref="AM3:AO17">
    <cfRule type="colorScale" priority="5">
      <colorScale>
        <cfvo type="min"/>
        <cfvo type="max"/>
        <color rgb="FFFCFCFF"/>
        <color rgb="FF63BE7B"/>
      </colorScale>
    </cfRule>
  </conditionalFormatting>
  <conditionalFormatting sqref="AQ3:AS17">
    <cfRule type="colorScale" priority="4">
      <colorScale>
        <cfvo type="min"/>
        <cfvo type="max"/>
        <color rgb="FFFCFCFF"/>
        <color rgb="FF63BE7B"/>
      </colorScale>
    </cfRule>
  </conditionalFormatting>
  <conditionalFormatting sqref="AU3:AW17">
    <cfRule type="colorScale" priority="3">
      <colorScale>
        <cfvo type="min"/>
        <cfvo type="max"/>
        <color rgb="FFFCFCFF"/>
        <color rgb="FF63BE7B"/>
      </colorScale>
    </cfRule>
  </conditionalFormatting>
  <conditionalFormatting sqref="AY3:BA17">
    <cfRule type="colorScale" priority="2">
      <colorScale>
        <cfvo type="min"/>
        <cfvo type="max"/>
        <color rgb="FFFCFCFF"/>
        <color rgb="FF63BE7B"/>
      </colorScale>
    </cfRule>
  </conditionalFormatting>
  <conditionalFormatting sqref="BC3:BE17">
    <cfRule type="colorScale" priority="1">
      <colorScale>
        <cfvo type="min"/>
        <cfvo type="max"/>
        <color rgb="FFFCFCFF"/>
        <color rgb="FF63BE7B"/>
      </colorScale>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F38"/>
  <sheetViews>
    <sheetView workbookViewId="0">
      <selection activeCell="N38" sqref="N38"/>
    </sheetView>
  </sheetViews>
  <sheetFormatPr defaultRowHeight="12.75"/>
  <cols>
    <col min="5" max="5" width="2.7109375" customWidth="1"/>
    <col min="6" max="8" width="8.85546875" style="42"/>
    <col min="9" max="9" width="2.7109375" style="42" customWidth="1"/>
    <col min="10" max="12" width="8.85546875" style="42"/>
    <col min="13" max="13" width="2.7109375" style="42" customWidth="1"/>
    <col min="14" max="16" width="8.85546875" style="42" customWidth="1"/>
    <col min="17" max="17" width="2.7109375" style="42" customWidth="1"/>
    <col min="18" max="20" width="8.85546875" style="42"/>
    <col min="21" max="21" width="2.7109375" style="42" customWidth="1"/>
    <col min="22" max="24" width="8.85546875" style="42"/>
    <col min="25" max="25" width="2.7109375" style="42" customWidth="1"/>
    <col min="26" max="28" width="8.85546875" style="42"/>
    <col min="29" max="29" width="2.7109375" customWidth="1"/>
  </cols>
  <sheetData>
    <row r="1" spans="1:28" ht="65.099999999999994" customHeight="1">
      <c r="B1" s="126" t="s">
        <v>251</v>
      </c>
      <c r="C1" s="126" t="s">
        <v>252</v>
      </c>
      <c r="D1" s="126" t="s">
        <v>253</v>
      </c>
      <c r="F1" s="120" t="s">
        <v>361</v>
      </c>
      <c r="G1" s="120" t="s">
        <v>362</v>
      </c>
      <c r="H1" s="120" t="s">
        <v>363</v>
      </c>
      <c r="J1" s="122" t="s">
        <v>320</v>
      </c>
      <c r="K1" s="122" t="s">
        <v>321</v>
      </c>
      <c r="L1" s="122" t="s">
        <v>322</v>
      </c>
      <c r="N1" s="119" t="s">
        <v>329</v>
      </c>
      <c r="O1" s="119" t="s">
        <v>330</v>
      </c>
      <c r="P1" s="119" t="s">
        <v>331</v>
      </c>
      <c r="R1" s="121" t="s">
        <v>323</v>
      </c>
      <c r="S1" s="121" t="s">
        <v>324</v>
      </c>
      <c r="T1" s="121" t="s">
        <v>325</v>
      </c>
      <c r="U1" s="34"/>
      <c r="V1" s="124" t="s">
        <v>326</v>
      </c>
      <c r="W1" s="124" t="s">
        <v>327</v>
      </c>
      <c r="X1" s="124" t="s">
        <v>328</v>
      </c>
      <c r="Z1" s="126" t="s">
        <v>251</v>
      </c>
      <c r="AA1" s="126" t="s">
        <v>252</v>
      </c>
      <c r="AB1" s="126" t="s">
        <v>253</v>
      </c>
    </row>
    <row r="2" spans="1:28">
      <c r="A2" t="s">
        <v>236</v>
      </c>
      <c r="B2" s="127">
        <f>'US Child Data'!G3</f>
        <v>48.006</v>
      </c>
      <c r="C2" s="127">
        <f>'US Child Data'!H3</f>
        <v>56.134</v>
      </c>
      <c r="D2" s="127">
        <f>'US Child Data'!I3</f>
        <v>64.262</v>
      </c>
      <c r="F2" s="136">
        <v>10.518750000000001</v>
      </c>
      <c r="G2" s="136">
        <v>11.739285714285716</v>
      </c>
      <c r="H2" s="136">
        <v>11.598863636363639</v>
      </c>
      <c r="I2" s="106"/>
      <c r="J2" s="137">
        <v>9.1666666666666661</v>
      </c>
      <c r="K2" s="137">
        <v>9.5</v>
      </c>
      <c r="L2" s="137">
        <v>9.8333333333333339</v>
      </c>
      <c r="N2" s="130">
        <f t="shared" ref="N2:P5" si="0">(J2/J3)*N3</f>
        <v>5.0187500000000007</v>
      </c>
      <c r="O2" s="130">
        <f t="shared" si="0"/>
        <v>5.496428571428571</v>
      </c>
      <c r="P2" s="130">
        <f t="shared" si="0"/>
        <v>5.9670454545454561</v>
      </c>
      <c r="R2" s="131">
        <v>6.3937500000000007</v>
      </c>
      <c r="S2" s="131">
        <v>7.0571428571428569</v>
      </c>
      <c r="T2" s="131">
        <v>7.3749999999999991</v>
      </c>
      <c r="U2" s="132"/>
      <c r="V2" s="133">
        <f>R2*0.222</f>
        <v>1.4194125000000002</v>
      </c>
      <c r="W2" s="133">
        <f t="shared" ref="W2:X16" si="1">S2*0.222</f>
        <v>1.5666857142857142</v>
      </c>
      <c r="X2" s="133">
        <f t="shared" si="1"/>
        <v>1.6372499999999999</v>
      </c>
      <c r="Z2" s="127">
        <v>31.75</v>
      </c>
      <c r="AA2" s="127">
        <v>37.845999999999997</v>
      </c>
      <c r="AB2" s="127">
        <v>43.942</v>
      </c>
    </row>
    <row r="3" spans="1:28">
      <c r="A3" t="s">
        <v>237</v>
      </c>
      <c r="B3" s="127">
        <f>'US Child Data'!G4</f>
        <v>57.404000000000003</v>
      </c>
      <c r="C3" s="127">
        <f>'US Child Data'!H4</f>
        <v>67.055999999999997</v>
      </c>
      <c r="D3" s="127">
        <f>'US Child Data'!I4</f>
        <v>0</v>
      </c>
      <c r="F3" s="136">
        <v>11.857500000000002</v>
      </c>
      <c r="G3" s="136">
        <v>13.592857142857145</v>
      </c>
      <c r="H3" s="136">
        <v>13.761363636363637</v>
      </c>
      <c r="I3" s="106"/>
      <c r="J3" s="137">
        <v>10.333333333333334</v>
      </c>
      <c r="K3" s="137">
        <v>11</v>
      </c>
      <c r="L3" s="137">
        <v>11.666666666666666</v>
      </c>
      <c r="N3" s="130">
        <f t="shared" si="0"/>
        <v>5.6575000000000015</v>
      </c>
      <c r="O3" s="130">
        <f t="shared" si="0"/>
        <v>6.3642857142857139</v>
      </c>
      <c r="P3" s="130">
        <f t="shared" si="0"/>
        <v>7.079545454545455</v>
      </c>
      <c r="R3" s="131">
        <v>7.2075000000000014</v>
      </c>
      <c r="S3" s="131">
        <v>8.1714285714285726</v>
      </c>
      <c r="T3" s="131">
        <v>8.7499999999999982</v>
      </c>
      <c r="U3" s="132"/>
      <c r="V3" s="133">
        <f t="shared" ref="V3:V16" si="2">R3*0.222</f>
        <v>1.6000650000000003</v>
      </c>
      <c r="W3" s="133">
        <f t="shared" si="1"/>
        <v>1.814057142857143</v>
      </c>
      <c r="X3" s="133">
        <f t="shared" si="1"/>
        <v>1.9424999999999997</v>
      </c>
      <c r="Z3" s="127">
        <v>38.353999999999999</v>
      </c>
      <c r="AA3" s="127">
        <v>43.942</v>
      </c>
      <c r="AB3" s="127">
        <v>49.53</v>
      </c>
    </row>
    <row r="4" spans="1:28">
      <c r="A4" t="s">
        <v>238</v>
      </c>
      <c r="B4" s="127">
        <f>'US Child Data'!G5</f>
        <v>67.563999999999993</v>
      </c>
      <c r="C4" s="127">
        <f>'US Child Data'!H5</f>
        <v>74.676000000000002</v>
      </c>
      <c r="D4" s="127">
        <f>'US Child Data'!I5</f>
        <v>0</v>
      </c>
      <c r="F4" s="136">
        <v>13.196250000000001</v>
      </c>
      <c r="G4" s="136">
        <v>14.828571428571431</v>
      </c>
      <c r="H4" s="136">
        <v>14.744318181818183</v>
      </c>
      <c r="I4" s="106"/>
      <c r="J4" s="137">
        <v>11.5</v>
      </c>
      <c r="K4" s="137">
        <v>12</v>
      </c>
      <c r="L4" s="137">
        <v>12.5</v>
      </c>
      <c r="N4" s="130">
        <f t="shared" si="0"/>
        <v>6.2962500000000006</v>
      </c>
      <c r="O4" s="130">
        <f t="shared" si="0"/>
        <v>6.9428571428571431</v>
      </c>
      <c r="P4" s="130">
        <f t="shared" si="0"/>
        <v>7.5852272727272743</v>
      </c>
      <c r="R4" s="131">
        <v>8.0212500000000002</v>
      </c>
      <c r="S4" s="131">
        <v>8.9142857142857164</v>
      </c>
      <c r="T4" s="131">
        <v>9.375</v>
      </c>
      <c r="U4" s="132"/>
      <c r="V4" s="133">
        <f t="shared" si="2"/>
        <v>1.7807175000000002</v>
      </c>
      <c r="W4" s="133">
        <f t="shared" si="1"/>
        <v>1.978971428571429</v>
      </c>
      <c r="X4" s="133">
        <f t="shared" si="1"/>
        <v>2.0812499999999998</v>
      </c>
      <c r="Z4" s="127">
        <v>43.433999999999997</v>
      </c>
      <c r="AA4" s="127">
        <v>48.006</v>
      </c>
      <c r="AB4" s="127">
        <v>52.578000000000003</v>
      </c>
    </row>
    <row r="5" spans="1:28">
      <c r="A5" t="s">
        <v>239</v>
      </c>
      <c r="B5" s="127">
        <f>'US Child Data'!G6</f>
        <v>74.168000000000006</v>
      </c>
      <c r="C5" s="127">
        <f>'US Child Data'!H6</f>
        <v>0</v>
      </c>
      <c r="D5" s="127">
        <f>'US Child Data'!I6</f>
        <v>0</v>
      </c>
      <c r="F5" s="136">
        <v>14.34375</v>
      </c>
      <c r="G5" s="136">
        <v>16.064285714285717</v>
      </c>
      <c r="H5" s="136">
        <v>15.923863636363638</v>
      </c>
      <c r="I5" s="106"/>
      <c r="J5" s="137">
        <v>12.5</v>
      </c>
      <c r="K5" s="137">
        <v>13</v>
      </c>
      <c r="L5" s="137">
        <v>13.5</v>
      </c>
      <c r="N5" s="130">
        <f t="shared" si="0"/>
        <v>6.84375</v>
      </c>
      <c r="O5" s="130">
        <f t="shared" si="0"/>
        <v>7.5214285714285714</v>
      </c>
      <c r="P5" s="130">
        <f t="shared" si="0"/>
        <v>8.1920454545454557</v>
      </c>
      <c r="R5" s="131">
        <v>8.71875</v>
      </c>
      <c r="S5" s="131">
        <v>9.6571428571428584</v>
      </c>
      <c r="T5" s="131">
        <v>10.125</v>
      </c>
      <c r="U5" s="132"/>
      <c r="V5" s="133">
        <f t="shared" si="2"/>
        <v>1.9355625000000001</v>
      </c>
      <c r="W5" s="133">
        <f t="shared" si="1"/>
        <v>2.1438857142857146</v>
      </c>
      <c r="X5" s="133">
        <f t="shared" si="1"/>
        <v>2.2477499999999999</v>
      </c>
      <c r="Z5" s="127">
        <v>45.973999999999997</v>
      </c>
      <c r="AA5" s="127">
        <v>50.545999999999999</v>
      </c>
      <c r="AB5" s="127">
        <v>55.118000000000002</v>
      </c>
    </row>
    <row r="6" spans="1:28">
      <c r="A6" t="s">
        <v>240</v>
      </c>
      <c r="B6" s="127">
        <f>'US Child Data'!G7</f>
        <v>0</v>
      </c>
      <c r="C6" s="127">
        <f>'US Child Data'!H7</f>
        <v>0</v>
      </c>
      <c r="D6" s="127">
        <f>'US Child Data'!I7</f>
        <v>0</v>
      </c>
      <c r="F6" s="136">
        <v>15.3</v>
      </c>
      <c r="G6" s="136">
        <v>17.3</v>
      </c>
      <c r="H6" s="136">
        <v>17.3</v>
      </c>
      <c r="I6" s="106"/>
      <c r="J6" s="137">
        <v>13.333333333333334</v>
      </c>
      <c r="K6" s="137">
        <v>14</v>
      </c>
      <c r="L6" s="137">
        <v>14.666666666666666</v>
      </c>
      <c r="N6" s="134">
        <v>7.3</v>
      </c>
      <c r="O6" s="134">
        <v>8.1</v>
      </c>
      <c r="P6" s="134">
        <v>8.9</v>
      </c>
      <c r="R6" s="131">
        <v>9.3000000000000007</v>
      </c>
      <c r="S6" s="135">
        <v>10.4</v>
      </c>
      <c r="T6" s="131">
        <v>11</v>
      </c>
      <c r="U6" s="132"/>
      <c r="V6" s="133">
        <f t="shared" si="2"/>
        <v>2.0646</v>
      </c>
      <c r="W6" s="133">
        <f t="shared" si="1"/>
        <v>2.3088000000000002</v>
      </c>
      <c r="X6" s="133">
        <f t="shared" si="1"/>
        <v>2.4420000000000002</v>
      </c>
      <c r="Z6" s="127">
        <v>47.497999999999998</v>
      </c>
      <c r="AA6" s="127">
        <v>51.561999999999998</v>
      </c>
      <c r="AB6" s="127">
        <v>55.625999999999998</v>
      </c>
    </row>
    <row r="7" spans="1:28">
      <c r="A7" t="s">
        <v>241</v>
      </c>
      <c r="B7" s="127">
        <f>'US Child Data'!G8</f>
        <v>0</v>
      </c>
      <c r="C7" s="127">
        <f>'US Child Data'!H8</f>
        <v>0</v>
      </c>
      <c r="D7" s="127">
        <f>'US Child Data'!I8</f>
        <v>0</v>
      </c>
      <c r="F7" s="136">
        <v>15.3</v>
      </c>
      <c r="G7" s="136">
        <v>17.3</v>
      </c>
      <c r="H7" s="136">
        <v>17.5</v>
      </c>
      <c r="I7" s="106"/>
      <c r="J7" s="137">
        <v>13.333333333333334</v>
      </c>
      <c r="K7" s="137">
        <v>14</v>
      </c>
      <c r="L7" s="137">
        <v>14.666666666666666</v>
      </c>
      <c r="N7" s="134">
        <v>7.4</v>
      </c>
      <c r="O7" s="134">
        <v>8.3000000000000007</v>
      </c>
      <c r="P7" s="134">
        <v>9</v>
      </c>
      <c r="R7" s="131">
        <v>9.4</v>
      </c>
      <c r="S7" s="135">
        <v>10.55</v>
      </c>
      <c r="T7" s="131">
        <v>11.1</v>
      </c>
      <c r="U7" s="132"/>
      <c r="V7" s="133">
        <f t="shared" si="2"/>
        <v>2.0868000000000002</v>
      </c>
      <c r="W7" s="133">
        <f t="shared" si="1"/>
        <v>2.3421000000000003</v>
      </c>
      <c r="X7" s="133">
        <f t="shared" si="1"/>
        <v>2.4641999999999999</v>
      </c>
      <c r="Z7" s="127">
        <v>48.26</v>
      </c>
      <c r="AA7" s="127">
        <v>53.34</v>
      </c>
      <c r="AB7" s="127">
        <v>58.42</v>
      </c>
    </row>
    <row r="8" spans="1:28">
      <c r="A8" t="s">
        <v>242</v>
      </c>
      <c r="B8" s="127">
        <f>'US Child Data'!G9</f>
        <v>0</v>
      </c>
      <c r="C8" s="127">
        <f>'US Child Data'!H9</f>
        <v>0</v>
      </c>
      <c r="D8" s="127">
        <f>'US Child Data'!I9</f>
        <v>0</v>
      </c>
      <c r="F8" s="136">
        <v>15.4</v>
      </c>
      <c r="G8" s="136">
        <v>17.3</v>
      </c>
      <c r="H8" s="136">
        <v>17.600000000000001</v>
      </c>
      <c r="I8" s="106"/>
      <c r="J8" s="137">
        <v>13.333333333333334</v>
      </c>
      <c r="K8" s="137">
        <v>14</v>
      </c>
      <c r="L8" s="137">
        <v>14.666666666666666</v>
      </c>
      <c r="N8" s="134">
        <v>7.5</v>
      </c>
      <c r="O8" s="134">
        <v>8.5</v>
      </c>
      <c r="P8" s="134">
        <v>9.1</v>
      </c>
      <c r="R8" s="131">
        <v>9.5</v>
      </c>
      <c r="S8" s="135">
        <v>10.7</v>
      </c>
      <c r="T8" s="131">
        <v>11.2</v>
      </c>
      <c r="U8" s="132"/>
      <c r="V8" s="133">
        <f t="shared" si="2"/>
        <v>2.109</v>
      </c>
      <c r="W8" s="133">
        <f t="shared" si="1"/>
        <v>2.3754</v>
      </c>
      <c r="X8" s="133">
        <f t="shared" si="1"/>
        <v>2.4863999999999997</v>
      </c>
      <c r="Z8" s="127">
        <v>49.53</v>
      </c>
      <c r="AA8" s="127">
        <v>54.61</v>
      </c>
      <c r="AB8" s="127">
        <v>59.69</v>
      </c>
    </row>
    <row r="9" spans="1:28">
      <c r="A9" t="s">
        <v>243</v>
      </c>
      <c r="B9" s="127">
        <f>'US Child Data'!G10</f>
        <v>0</v>
      </c>
      <c r="C9" s="127">
        <f>'US Child Data'!H10</f>
        <v>0</v>
      </c>
      <c r="D9" s="127">
        <f>'US Child Data'!I10</f>
        <v>0</v>
      </c>
      <c r="F9" s="136">
        <v>15.5</v>
      </c>
      <c r="G9" s="136">
        <v>17.3</v>
      </c>
      <c r="H9" s="136">
        <v>17.7</v>
      </c>
      <c r="I9" s="106"/>
      <c r="J9" s="137">
        <v>13.333333333333334</v>
      </c>
      <c r="K9" s="137">
        <v>14</v>
      </c>
      <c r="L9" s="137">
        <v>14.666666666666666</v>
      </c>
      <c r="N9" s="134">
        <v>7.6</v>
      </c>
      <c r="O9" s="134">
        <v>8.6</v>
      </c>
      <c r="P9" s="134">
        <v>9.5</v>
      </c>
      <c r="R9" s="131">
        <v>9.6999999999999993</v>
      </c>
      <c r="S9" s="135">
        <v>10.8</v>
      </c>
      <c r="T9" s="131">
        <v>17.7</v>
      </c>
      <c r="U9" s="132"/>
      <c r="V9" s="133">
        <f t="shared" si="2"/>
        <v>2.1534</v>
      </c>
      <c r="W9" s="133">
        <f t="shared" si="1"/>
        <v>2.3976000000000002</v>
      </c>
      <c r="X9" s="133">
        <f t="shared" si="1"/>
        <v>3.9293999999999998</v>
      </c>
      <c r="Z9" s="127">
        <v>52.07</v>
      </c>
      <c r="AA9" s="127">
        <v>57.15</v>
      </c>
      <c r="AB9" s="127">
        <v>62.23</v>
      </c>
    </row>
    <row r="10" spans="1:28">
      <c r="A10" t="s">
        <v>244</v>
      </c>
      <c r="B10" s="127">
        <f>'US Child Data'!G11</f>
        <v>0</v>
      </c>
      <c r="C10" s="127">
        <f>'US Child Data'!H11</f>
        <v>0</v>
      </c>
      <c r="D10" s="127">
        <f>'US Child Data'!I11</f>
        <v>0</v>
      </c>
      <c r="F10" s="136">
        <v>15.7</v>
      </c>
      <c r="G10" s="136">
        <v>17.899999999999999</v>
      </c>
      <c r="H10" s="136">
        <v>17.8</v>
      </c>
      <c r="I10" s="106"/>
      <c r="J10" s="137">
        <v>13.333333333333334</v>
      </c>
      <c r="K10" s="137">
        <v>14</v>
      </c>
      <c r="L10" s="137">
        <v>14.666666666666666</v>
      </c>
      <c r="N10" s="134">
        <v>7.9</v>
      </c>
      <c r="O10" s="134">
        <v>8.6</v>
      </c>
      <c r="P10" s="134">
        <v>9.6</v>
      </c>
      <c r="R10" s="131">
        <v>10</v>
      </c>
      <c r="S10" s="135">
        <v>10.85</v>
      </c>
      <c r="T10" s="131">
        <v>11.4</v>
      </c>
      <c r="U10" s="132"/>
      <c r="V10" s="133">
        <f t="shared" si="2"/>
        <v>2.2200000000000002</v>
      </c>
      <c r="W10" s="133">
        <f t="shared" si="1"/>
        <v>2.4087000000000001</v>
      </c>
      <c r="X10" s="133">
        <f t="shared" si="1"/>
        <v>2.5308000000000002</v>
      </c>
      <c r="Z10" s="127">
        <v>51.816000000000003</v>
      </c>
      <c r="AA10" s="127">
        <v>57.404000000000003</v>
      </c>
      <c r="AB10" s="127">
        <v>62.991999999999997</v>
      </c>
    </row>
    <row r="11" spans="1:28">
      <c r="A11" t="s">
        <v>245</v>
      </c>
      <c r="B11" s="127">
        <f>'US Child Data'!G12</f>
        <v>0</v>
      </c>
      <c r="C11" s="127">
        <f>'US Child Data'!H12</f>
        <v>0</v>
      </c>
      <c r="D11" s="127">
        <f>'US Child Data'!I12</f>
        <v>0</v>
      </c>
      <c r="F11" s="136">
        <v>16.5</v>
      </c>
      <c r="G11" s="136">
        <v>19.899999999999999</v>
      </c>
      <c r="H11" s="136">
        <v>18.399999999999999</v>
      </c>
      <c r="I11" s="106"/>
      <c r="J11" s="137">
        <v>13.333333333333334</v>
      </c>
      <c r="K11" s="137">
        <v>14</v>
      </c>
      <c r="L11" s="137">
        <v>14.666666666666666</v>
      </c>
      <c r="N11" s="134">
        <v>7.9</v>
      </c>
      <c r="O11" s="134">
        <v>8.6999999999999993</v>
      </c>
      <c r="P11" s="134">
        <v>9.6</v>
      </c>
      <c r="R11" s="131">
        <v>10.1</v>
      </c>
      <c r="S11" s="135">
        <v>10.9</v>
      </c>
      <c r="T11" s="131">
        <v>18.399999999999999</v>
      </c>
      <c r="U11" s="132"/>
      <c r="V11" s="133">
        <f t="shared" si="2"/>
        <v>2.2422</v>
      </c>
      <c r="W11" s="133">
        <f t="shared" si="1"/>
        <v>2.4198</v>
      </c>
      <c r="X11" s="133">
        <f t="shared" si="1"/>
        <v>4.0847999999999995</v>
      </c>
      <c r="Z11" s="127">
        <v>54.356000000000002</v>
      </c>
      <c r="AA11" s="127">
        <v>59.944000000000003</v>
      </c>
      <c r="AB11" s="127">
        <v>65.531999999999996</v>
      </c>
    </row>
    <row r="12" spans="1:28">
      <c r="A12" t="s">
        <v>246</v>
      </c>
      <c r="B12" s="127">
        <f>'US Child Data'!G13</f>
        <v>0</v>
      </c>
      <c r="C12" s="127">
        <f>'US Child Data'!H13</f>
        <v>0</v>
      </c>
      <c r="D12" s="127">
        <f>'US Child Data'!I13</f>
        <v>0</v>
      </c>
      <c r="F12" s="136">
        <v>16.600000000000001</v>
      </c>
      <c r="G12" s="136">
        <v>18.399999999999999</v>
      </c>
      <c r="H12" s="136">
        <v>18.7</v>
      </c>
      <c r="I12" s="106"/>
      <c r="J12" s="137">
        <v>13.333333333333334</v>
      </c>
      <c r="K12" s="137">
        <v>14</v>
      </c>
      <c r="L12" s="137">
        <v>14.666666666666666</v>
      </c>
      <c r="N12" s="134">
        <v>8</v>
      </c>
      <c r="O12" s="134">
        <v>8.9</v>
      </c>
      <c r="P12" s="134">
        <v>9.6</v>
      </c>
      <c r="R12" s="131">
        <v>10.3</v>
      </c>
      <c r="S12" s="135">
        <v>18.399999999999999</v>
      </c>
      <c r="T12" s="131">
        <v>18.7</v>
      </c>
      <c r="U12" s="132"/>
      <c r="V12" s="133">
        <f t="shared" si="2"/>
        <v>2.2866</v>
      </c>
      <c r="W12" s="133">
        <f t="shared" si="1"/>
        <v>4.0847999999999995</v>
      </c>
      <c r="X12" s="133">
        <f t="shared" si="1"/>
        <v>4.1513999999999998</v>
      </c>
      <c r="Z12" s="127">
        <v>57.15</v>
      </c>
      <c r="AA12" s="127">
        <v>62.738</v>
      </c>
      <c r="AB12" s="127">
        <v>68.325999999999993</v>
      </c>
    </row>
    <row r="13" spans="1:28">
      <c r="A13" t="s">
        <v>247</v>
      </c>
      <c r="B13" s="127">
        <f>'US Child Data'!G14</f>
        <v>0</v>
      </c>
      <c r="C13" s="127">
        <f>'US Child Data'!H14</f>
        <v>0</v>
      </c>
      <c r="D13" s="127">
        <f>'US Child Data'!I14</f>
        <v>0</v>
      </c>
      <c r="F13" s="136">
        <v>17.100000000000001</v>
      </c>
      <c r="G13" s="136">
        <v>18.7</v>
      </c>
      <c r="H13" s="136">
        <v>18.899999999999999</v>
      </c>
      <c r="I13" s="106"/>
      <c r="J13" s="137">
        <v>13.333333333333334</v>
      </c>
      <c r="K13" s="137">
        <v>14</v>
      </c>
      <c r="L13" s="137">
        <v>14.666666666666666</v>
      </c>
      <c r="N13" s="134">
        <v>8.3000000000000007</v>
      </c>
      <c r="O13" s="134">
        <v>9.1999999999999993</v>
      </c>
      <c r="P13" s="134">
        <v>10.1</v>
      </c>
      <c r="R13" s="131">
        <v>10.4</v>
      </c>
      <c r="S13" s="135">
        <v>18.7</v>
      </c>
      <c r="T13" s="131">
        <v>18.899999999999999</v>
      </c>
      <c r="U13" s="132"/>
      <c r="V13" s="133">
        <f t="shared" si="2"/>
        <v>2.3088000000000002</v>
      </c>
      <c r="W13" s="133">
        <f t="shared" si="1"/>
        <v>4.1513999999999998</v>
      </c>
      <c r="X13" s="133">
        <f t="shared" si="1"/>
        <v>4.1957999999999993</v>
      </c>
      <c r="Z13" s="127">
        <v>59.182000000000002</v>
      </c>
      <c r="AA13" s="127">
        <v>65.278000000000006</v>
      </c>
      <c r="AB13" s="127">
        <v>71.373999999999995</v>
      </c>
    </row>
    <row r="14" spans="1:28">
      <c r="A14" t="s">
        <v>248</v>
      </c>
      <c r="B14" s="127">
        <f>'US Child Data'!G15</f>
        <v>0</v>
      </c>
      <c r="C14" s="127">
        <f>'US Child Data'!H15</f>
        <v>0</v>
      </c>
      <c r="D14" s="127">
        <f>'US Child Data'!I15</f>
        <v>0</v>
      </c>
      <c r="F14" s="136">
        <v>17.2</v>
      </c>
      <c r="G14" s="136">
        <v>18.8</v>
      </c>
      <c r="H14" s="136">
        <v>19</v>
      </c>
      <c r="I14" s="106"/>
      <c r="J14" s="137">
        <v>13.333333333333334</v>
      </c>
      <c r="K14" s="137">
        <v>14</v>
      </c>
      <c r="L14" s="137">
        <v>14.666666666666666</v>
      </c>
      <c r="N14" s="134">
        <v>8.4</v>
      </c>
      <c r="O14" s="134">
        <v>9.3000000000000007</v>
      </c>
      <c r="P14" s="134">
        <v>10.199999999999999</v>
      </c>
      <c r="R14" s="131">
        <v>10.7</v>
      </c>
      <c r="S14" s="135">
        <v>18.8</v>
      </c>
      <c r="T14" s="131">
        <v>19</v>
      </c>
      <c r="U14" s="132"/>
      <c r="V14" s="133">
        <f t="shared" si="2"/>
        <v>2.3754</v>
      </c>
      <c r="W14" s="133">
        <f t="shared" si="1"/>
        <v>4.1736000000000004</v>
      </c>
      <c r="X14" s="133">
        <f t="shared" si="1"/>
        <v>4.218</v>
      </c>
      <c r="Z14" s="127">
        <v>62.23</v>
      </c>
      <c r="AA14" s="127">
        <v>67.817999999999998</v>
      </c>
      <c r="AB14" s="127">
        <v>73.406000000000006</v>
      </c>
    </row>
    <row r="15" spans="1:28">
      <c r="A15" t="s">
        <v>249</v>
      </c>
      <c r="B15" s="127">
        <f>'US Child Data'!G16</f>
        <v>0</v>
      </c>
      <c r="C15" s="127">
        <f>'US Child Data'!H16</f>
        <v>0</v>
      </c>
      <c r="D15" s="127">
        <f>'US Child Data'!I16</f>
        <v>0</v>
      </c>
      <c r="F15" s="136">
        <v>17.5</v>
      </c>
      <c r="G15" s="136">
        <v>19</v>
      </c>
      <c r="H15" s="136">
        <v>19.5</v>
      </c>
      <c r="I15" s="106"/>
      <c r="J15" s="137">
        <v>13.833333333333334</v>
      </c>
      <c r="K15" s="137">
        <v>14.5</v>
      </c>
      <c r="L15" s="137">
        <v>15.166666666666666</v>
      </c>
      <c r="N15" s="134">
        <v>8.6999999999999993</v>
      </c>
      <c r="O15" s="134">
        <v>9.6999999999999993</v>
      </c>
      <c r="P15" s="134">
        <v>10.6</v>
      </c>
      <c r="R15" s="131">
        <v>10.7</v>
      </c>
      <c r="S15" s="135">
        <v>19</v>
      </c>
      <c r="T15" s="131">
        <v>19.5</v>
      </c>
      <c r="U15" s="132"/>
      <c r="V15" s="133">
        <f t="shared" si="2"/>
        <v>2.3754</v>
      </c>
      <c r="W15" s="133">
        <f t="shared" si="1"/>
        <v>4.218</v>
      </c>
      <c r="X15" s="133">
        <f t="shared" si="1"/>
        <v>4.3289999999999997</v>
      </c>
      <c r="Z15" s="127">
        <v>61.468000000000004</v>
      </c>
      <c r="AA15" s="127">
        <v>67.563999999999993</v>
      </c>
      <c r="AB15" s="127">
        <v>73.66</v>
      </c>
    </row>
    <row r="16" spans="1:28">
      <c r="A16" t="s">
        <v>250</v>
      </c>
      <c r="B16" s="127">
        <f>'US Child Data'!G17</f>
        <v>0</v>
      </c>
      <c r="C16" s="127">
        <f>'US Child Data'!H17</f>
        <v>0</v>
      </c>
      <c r="D16" s="127">
        <f>'US Child Data'!I17</f>
        <v>0</v>
      </c>
      <c r="F16" s="136">
        <v>18</v>
      </c>
      <c r="G16" s="136">
        <v>19.5</v>
      </c>
      <c r="H16" s="136">
        <v>19.8</v>
      </c>
      <c r="I16" s="106"/>
      <c r="J16" s="137">
        <v>13.833333333333334</v>
      </c>
      <c r="K16" s="137">
        <v>14.5</v>
      </c>
      <c r="L16" s="137">
        <v>15.166666666666666</v>
      </c>
      <c r="N16" s="134">
        <v>9</v>
      </c>
      <c r="O16" s="134">
        <v>9.8000000000000007</v>
      </c>
      <c r="P16" s="134">
        <v>10.7</v>
      </c>
      <c r="R16" s="131">
        <v>10.9</v>
      </c>
      <c r="S16" s="135">
        <v>11.5</v>
      </c>
      <c r="T16" s="131">
        <v>19.8</v>
      </c>
      <c r="U16" s="132"/>
      <c r="V16" s="133">
        <f t="shared" si="2"/>
        <v>2.4198</v>
      </c>
      <c r="W16" s="133">
        <f t="shared" si="1"/>
        <v>2.5529999999999999</v>
      </c>
      <c r="X16" s="133">
        <f t="shared" si="1"/>
        <v>4.3956</v>
      </c>
      <c r="Z16" s="127">
        <v>65.278000000000006</v>
      </c>
      <c r="AA16" s="127">
        <v>71.882000000000005</v>
      </c>
      <c r="AB16" s="127">
        <v>78.486000000000004</v>
      </c>
    </row>
    <row r="19" spans="1:32">
      <c r="B19" s="736" t="s">
        <v>353</v>
      </c>
      <c r="C19" s="736"/>
      <c r="D19" s="736"/>
      <c r="F19" s="736" t="s">
        <v>354</v>
      </c>
      <c r="G19" s="736"/>
      <c r="H19" s="736"/>
      <c r="J19" s="736" t="s">
        <v>355</v>
      </c>
      <c r="K19" s="736"/>
      <c r="L19" s="736"/>
      <c r="N19" s="736" t="s">
        <v>356</v>
      </c>
      <c r="O19" s="736"/>
      <c r="P19" s="736"/>
      <c r="R19" s="736" t="s">
        <v>357</v>
      </c>
      <c r="S19" s="736"/>
      <c r="T19" s="736"/>
      <c r="V19" s="736" t="s">
        <v>358</v>
      </c>
      <c r="W19" s="736"/>
      <c r="X19" s="736"/>
      <c r="Z19" s="736" t="s">
        <v>359</v>
      </c>
      <c r="AA19" s="736"/>
      <c r="AB19" s="736"/>
      <c r="AD19" s="736" t="s">
        <v>360</v>
      </c>
      <c r="AE19" s="736"/>
      <c r="AF19" s="736"/>
    </row>
    <row r="20" spans="1:32" ht="63.75">
      <c r="B20" s="125" t="s">
        <v>340</v>
      </c>
      <c r="C20" s="125" t="s">
        <v>341</v>
      </c>
      <c r="D20" s="125" t="s">
        <v>342</v>
      </c>
      <c r="E20" s="34"/>
      <c r="F20" s="122" t="s">
        <v>343</v>
      </c>
      <c r="G20" s="122" t="s">
        <v>344</v>
      </c>
      <c r="H20" s="122" t="s">
        <v>345</v>
      </c>
      <c r="J20" s="121" t="s">
        <v>332</v>
      </c>
      <c r="K20" s="121" t="s">
        <v>333</v>
      </c>
      <c r="L20" s="121" t="s">
        <v>334</v>
      </c>
      <c r="N20" s="124" t="s">
        <v>346</v>
      </c>
      <c r="O20" s="124" t="s">
        <v>347</v>
      </c>
      <c r="P20" s="124" t="s">
        <v>348</v>
      </c>
      <c r="R20" s="120" t="s">
        <v>335</v>
      </c>
      <c r="S20" s="120" t="s">
        <v>336</v>
      </c>
      <c r="T20" s="120" t="s">
        <v>337</v>
      </c>
      <c r="V20" s="124" t="s">
        <v>346</v>
      </c>
      <c r="W20" s="124" t="s">
        <v>347</v>
      </c>
      <c r="X20" s="124" t="s">
        <v>349</v>
      </c>
      <c r="Z20" s="121" t="s">
        <v>350</v>
      </c>
      <c r="AA20" s="121" t="s">
        <v>351</v>
      </c>
      <c r="AB20" s="121" t="s">
        <v>352</v>
      </c>
      <c r="AC20" s="42"/>
      <c r="AD20" s="122" t="s">
        <v>343</v>
      </c>
      <c r="AE20" s="122" t="s">
        <v>344</v>
      </c>
      <c r="AF20" s="128" t="s">
        <v>345</v>
      </c>
    </row>
    <row r="21" spans="1:32">
      <c r="A21" t="s">
        <v>236</v>
      </c>
      <c r="B21" s="144">
        <f t="shared" ref="B21:D35" si="3">B2</f>
        <v>48.006</v>
      </c>
      <c r="C21" s="144">
        <f t="shared" si="3"/>
        <v>56.134</v>
      </c>
      <c r="D21" s="144">
        <f t="shared" si="3"/>
        <v>64.262</v>
      </c>
      <c r="F21" s="129">
        <f t="shared" ref="F21:F35" si="4">J2/2</f>
        <v>4.583333333333333</v>
      </c>
      <c r="G21" s="129">
        <f t="shared" ref="G21:G35" si="5">K2/2</f>
        <v>4.75</v>
      </c>
      <c r="H21" s="129">
        <f t="shared" ref="H21:H35" si="6">L2/2</f>
        <v>4.916666666666667</v>
      </c>
      <c r="J21" s="131">
        <f t="shared" ref="J21:J35" si="7">R2/2</f>
        <v>3.1968750000000004</v>
      </c>
      <c r="K21" s="131">
        <f t="shared" ref="K21:K35" si="8">S2/2</f>
        <v>3.5285714285714285</v>
      </c>
      <c r="L21" s="131">
        <f t="shared" ref="L21:L35" si="9">T2/2</f>
        <v>3.6874999999999996</v>
      </c>
      <c r="N21" s="133">
        <f t="shared" ref="N21:N35" si="10">V2/2</f>
        <v>0.70970625000000009</v>
      </c>
      <c r="O21" s="133">
        <f t="shared" ref="O21:O35" si="11">W2/2</f>
        <v>0.78334285714285712</v>
      </c>
      <c r="P21" s="133">
        <f t="shared" ref="P21:P35" si="12">X2/2</f>
        <v>0.81862499999999994</v>
      </c>
      <c r="Q21" s="42">
        <v>0</v>
      </c>
      <c r="R21" s="136">
        <f>B2-F2+N2</f>
        <v>42.506</v>
      </c>
      <c r="S21" s="136">
        <f>C2-G2+O2</f>
        <v>49.89114285714286</v>
      </c>
      <c r="T21" s="136">
        <f>D2-H2+P2</f>
        <v>58.630181818181818</v>
      </c>
      <c r="V21" s="133">
        <f>-N21</f>
        <v>-0.70970625000000009</v>
      </c>
      <c r="W21" s="133">
        <f>-O21</f>
        <v>-0.78334285714285712</v>
      </c>
      <c r="X21" s="133">
        <f>-P21</f>
        <v>-0.81862499999999994</v>
      </c>
      <c r="Z21" s="131">
        <f>-J21</f>
        <v>-3.1968750000000004</v>
      </c>
      <c r="AA21" s="131">
        <f>-K21</f>
        <v>-3.5285714285714285</v>
      </c>
      <c r="AB21" s="131">
        <f>-L21</f>
        <v>-3.6874999999999996</v>
      </c>
      <c r="AD21" s="123">
        <f>-J2/2</f>
        <v>-4.583333333333333</v>
      </c>
      <c r="AE21" s="123">
        <f>-K2/2</f>
        <v>-4.75</v>
      </c>
      <c r="AF21" s="123">
        <f>-L2/2</f>
        <v>-4.916666666666667</v>
      </c>
    </row>
    <row r="22" spans="1:32">
      <c r="A22" t="s">
        <v>237</v>
      </c>
      <c r="B22" s="144">
        <f t="shared" si="3"/>
        <v>57.404000000000003</v>
      </c>
      <c r="C22" s="144">
        <f t="shared" si="3"/>
        <v>67.055999999999997</v>
      </c>
      <c r="D22" s="144">
        <f t="shared" si="3"/>
        <v>0</v>
      </c>
      <c r="F22" s="129">
        <f t="shared" si="4"/>
        <v>5.166666666666667</v>
      </c>
      <c r="G22" s="129">
        <f t="shared" si="5"/>
        <v>5.5</v>
      </c>
      <c r="H22" s="129">
        <f t="shared" si="6"/>
        <v>5.833333333333333</v>
      </c>
      <c r="J22" s="131">
        <f t="shared" si="7"/>
        <v>3.6037500000000007</v>
      </c>
      <c r="K22" s="131">
        <f t="shared" si="8"/>
        <v>4.0857142857142863</v>
      </c>
      <c r="L22" s="131">
        <f t="shared" si="9"/>
        <v>4.3749999999999991</v>
      </c>
      <c r="N22" s="133">
        <f t="shared" si="10"/>
        <v>0.80003250000000015</v>
      </c>
      <c r="O22" s="133">
        <f t="shared" si="11"/>
        <v>0.90702857142857152</v>
      </c>
      <c r="P22" s="133">
        <f t="shared" si="12"/>
        <v>0.97124999999999984</v>
      </c>
      <c r="Q22" s="42">
        <v>0</v>
      </c>
      <c r="R22" s="136">
        <f t="shared" ref="R22:R35" si="13">B3-F3+N3</f>
        <v>51.204000000000001</v>
      </c>
      <c r="S22" s="136">
        <f t="shared" ref="S22:S35" si="14">C3-G3+O3</f>
        <v>59.82742857142857</v>
      </c>
      <c r="T22" s="136">
        <f t="shared" ref="T22:T35" si="15">D3-H3+P3</f>
        <v>-6.6818181818181817</v>
      </c>
      <c r="V22" s="133">
        <f t="shared" ref="V22:V35" si="16">-N22</f>
        <v>-0.80003250000000015</v>
      </c>
      <c r="W22" s="133">
        <f t="shared" ref="W22:W35" si="17">-O22</f>
        <v>-0.90702857142857152</v>
      </c>
      <c r="X22" s="133">
        <f t="shared" ref="X22:X35" si="18">-P22</f>
        <v>-0.97124999999999984</v>
      </c>
      <c r="Z22" s="131">
        <f t="shared" ref="Z22:Z35" si="19">-J22</f>
        <v>-3.6037500000000007</v>
      </c>
      <c r="AA22" s="131">
        <f t="shared" ref="AA22:AA35" si="20">-K22</f>
        <v>-4.0857142857142863</v>
      </c>
      <c r="AB22" s="131">
        <f t="shared" ref="AB22:AB35" si="21">-L22</f>
        <v>-4.3749999999999991</v>
      </c>
      <c r="AD22" s="123">
        <f t="shared" ref="AD22:AD35" si="22">-J3/2</f>
        <v>-5.166666666666667</v>
      </c>
      <c r="AE22" s="123">
        <f t="shared" ref="AE22:AE35" si="23">-K3/2</f>
        <v>-5.5</v>
      </c>
      <c r="AF22" s="123">
        <f t="shared" ref="AF22:AF35" si="24">-L3/2</f>
        <v>-5.833333333333333</v>
      </c>
    </row>
    <row r="23" spans="1:32">
      <c r="A23" t="s">
        <v>238</v>
      </c>
      <c r="B23" s="144">
        <f t="shared" si="3"/>
        <v>67.563999999999993</v>
      </c>
      <c r="C23" s="144">
        <f t="shared" si="3"/>
        <v>74.676000000000002</v>
      </c>
      <c r="D23" s="144">
        <f t="shared" si="3"/>
        <v>0</v>
      </c>
      <c r="F23" s="129">
        <f t="shared" si="4"/>
        <v>5.75</v>
      </c>
      <c r="G23" s="129">
        <f t="shared" si="5"/>
        <v>6</v>
      </c>
      <c r="H23" s="129">
        <f t="shared" si="6"/>
        <v>6.25</v>
      </c>
      <c r="J23" s="131">
        <f t="shared" si="7"/>
        <v>4.0106250000000001</v>
      </c>
      <c r="K23" s="131">
        <f t="shared" si="8"/>
        <v>4.4571428571428582</v>
      </c>
      <c r="L23" s="131">
        <f t="shared" si="9"/>
        <v>4.6875</v>
      </c>
      <c r="N23" s="133">
        <f t="shared" si="10"/>
        <v>0.89035875000000009</v>
      </c>
      <c r="O23" s="133">
        <f t="shared" si="11"/>
        <v>0.98948571428571452</v>
      </c>
      <c r="P23" s="133">
        <f t="shared" si="12"/>
        <v>1.0406249999999999</v>
      </c>
      <c r="Q23" s="42">
        <v>0</v>
      </c>
      <c r="R23" s="136">
        <f t="shared" si="13"/>
        <v>60.663999999999994</v>
      </c>
      <c r="S23" s="136">
        <f t="shared" si="14"/>
        <v>66.790285714285716</v>
      </c>
      <c r="T23" s="136">
        <f t="shared" si="15"/>
        <v>-7.1590909090909092</v>
      </c>
      <c r="V23" s="133">
        <f t="shared" si="16"/>
        <v>-0.89035875000000009</v>
      </c>
      <c r="W23" s="133">
        <f t="shared" si="17"/>
        <v>-0.98948571428571452</v>
      </c>
      <c r="X23" s="133">
        <f t="shared" si="18"/>
        <v>-1.0406249999999999</v>
      </c>
      <c r="Z23" s="131">
        <f t="shared" si="19"/>
        <v>-4.0106250000000001</v>
      </c>
      <c r="AA23" s="131">
        <f t="shared" si="20"/>
        <v>-4.4571428571428582</v>
      </c>
      <c r="AB23" s="131">
        <f t="shared" si="21"/>
        <v>-4.6875</v>
      </c>
      <c r="AD23" s="123">
        <f t="shared" si="22"/>
        <v>-5.75</v>
      </c>
      <c r="AE23" s="123">
        <f t="shared" si="23"/>
        <v>-6</v>
      </c>
      <c r="AF23" s="123">
        <f t="shared" si="24"/>
        <v>-6.25</v>
      </c>
    </row>
    <row r="24" spans="1:32">
      <c r="A24" t="s">
        <v>239</v>
      </c>
      <c r="B24" s="144">
        <f t="shared" si="3"/>
        <v>74.168000000000006</v>
      </c>
      <c r="C24" s="144">
        <f t="shared" si="3"/>
        <v>0</v>
      </c>
      <c r="D24" s="144">
        <f t="shared" si="3"/>
        <v>0</v>
      </c>
      <c r="F24" s="129">
        <f t="shared" si="4"/>
        <v>6.25</v>
      </c>
      <c r="G24" s="129">
        <f t="shared" si="5"/>
        <v>6.5</v>
      </c>
      <c r="H24" s="129">
        <f t="shared" si="6"/>
        <v>6.75</v>
      </c>
      <c r="J24" s="131">
        <f t="shared" si="7"/>
        <v>4.359375</v>
      </c>
      <c r="K24" s="131">
        <f t="shared" si="8"/>
        <v>4.8285714285714292</v>
      </c>
      <c r="L24" s="131">
        <f t="shared" si="9"/>
        <v>5.0625</v>
      </c>
      <c r="N24" s="133">
        <f t="shared" si="10"/>
        <v>0.96778125000000004</v>
      </c>
      <c r="O24" s="133">
        <f t="shared" si="11"/>
        <v>1.0719428571428573</v>
      </c>
      <c r="P24" s="133">
        <f t="shared" si="12"/>
        <v>1.123875</v>
      </c>
      <c r="Q24" s="42">
        <v>0</v>
      </c>
      <c r="R24" s="136">
        <f t="shared" si="13"/>
        <v>66.668000000000006</v>
      </c>
      <c r="S24" s="136">
        <f t="shared" si="14"/>
        <v>-8.5428571428571445</v>
      </c>
      <c r="T24" s="136">
        <f t="shared" si="15"/>
        <v>-7.7318181818181824</v>
      </c>
      <c r="V24" s="133">
        <f t="shared" si="16"/>
        <v>-0.96778125000000004</v>
      </c>
      <c r="W24" s="133">
        <f t="shared" si="17"/>
        <v>-1.0719428571428573</v>
      </c>
      <c r="X24" s="133">
        <f t="shared" si="18"/>
        <v>-1.123875</v>
      </c>
      <c r="Z24" s="131">
        <f t="shared" si="19"/>
        <v>-4.359375</v>
      </c>
      <c r="AA24" s="131">
        <f t="shared" si="20"/>
        <v>-4.8285714285714292</v>
      </c>
      <c r="AB24" s="131">
        <f t="shared" si="21"/>
        <v>-5.0625</v>
      </c>
      <c r="AD24" s="123">
        <f t="shared" si="22"/>
        <v>-6.25</v>
      </c>
      <c r="AE24" s="123">
        <f t="shared" si="23"/>
        <v>-6.5</v>
      </c>
      <c r="AF24" s="123">
        <f t="shared" si="24"/>
        <v>-6.75</v>
      </c>
    </row>
    <row r="25" spans="1:32">
      <c r="A25" t="s">
        <v>240</v>
      </c>
      <c r="B25" s="144">
        <f t="shared" si="3"/>
        <v>0</v>
      </c>
      <c r="C25" s="144">
        <f t="shared" si="3"/>
        <v>0</v>
      </c>
      <c r="D25" s="144">
        <f t="shared" si="3"/>
        <v>0</v>
      </c>
      <c r="F25" s="129">
        <f t="shared" si="4"/>
        <v>6.666666666666667</v>
      </c>
      <c r="G25" s="129">
        <f t="shared" si="5"/>
        <v>7</v>
      </c>
      <c r="H25" s="129">
        <f t="shared" si="6"/>
        <v>7.333333333333333</v>
      </c>
      <c r="J25" s="131">
        <f t="shared" si="7"/>
        <v>4.6500000000000004</v>
      </c>
      <c r="K25" s="131">
        <f t="shared" si="8"/>
        <v>5.2</v>
      </c>
      <c r="L25" s="131">
        <f t="shared" si="9"/>
        <v>5.5</v>
      </c>
      <c r="N25" s="133">
        <f t="shared" si="10"/>
        <v>1.0323</v>
      </c>
      <c r="O25" s="133">
        <f t="shared" si="11"/>
        <v>1.1544000000000001</v>
      </c>
      <c r="P25" s="133">
        <f t="shared" si="12"/>
        <v>1.2210000000000001</v>
      </c>
      <c r="Q25" s="42">
        <v>0</v>
      </c>
      <c r="R25" s="136">
        <f t="shared" si="13"/>
        <v>-8</v>
      </c>
      <c r="S25" s="136">
        <f t="shared" si="14"/>
        <v>-9.2000000000000011</v>
      </c>
      <c r="T25" s="136">
        <f t="shared" si="15"/>
        <v>-8.4</v>
      </c>
      <c r="V25" s="133">
        <f t="shared" si="16"/>
        <v>-1.0323</v>
      </c>
      <c r="W25" s="133">
        <f t="shared" si="17"/>
        <v>-1.1544000000000001</v>
      </c>
      <c r="X25" s="133">
        <f t="shared" si="18"/>
        <v>-1.2210000000000001</v>
      </c>
      <c r="Z25" s="131">
        <f t="shared" si="19"/>
        <v>-4.6500000000000004</v>
      </c>
      <c r="AA25" s="131">
        <f t="shared" si="20"/>
        <v>-5.2</v>
      </c>
      <c r="AB25" s="131">
        <f t="shared" si="21"/>
        <v>-5.5</v>
      </c>
      <c r="AD25" s="123">
        <f t="shared" si="22"/>
        <v>-6.666666666666667</v>
      </c>
      <c r="AE25" s="123">
        <f t="shared" si="23"/>
        <v>-7</v>
      </c>
      <c r="AF25" s="123">
        <f t="shared" si="24"/>
        <v>-7.333333333333333</v>
      </c>
    </row>
    <row r="26" spans="1:32">
      <c r="A26" t="s">
        <v>241</v>
      </c>
      <c r="B26" s="144">
        <f t="shared" si="3"/>
        <v>0</v>
      </c>
      <c r="C26" s="144">
        <f t="shared" si="3"/>
        <v>0</v>
      </c>
      <c r="D26" s="144">
        <f t="shared" si="3"/>
        <v>0</v>
      </c>
      <c r="F26" s="129">
        <f t="shared" si="4"/>
        <v>6.666666666666667</v>
      </c>
      <c r="G26" s="129">
        <f t="shared" si="5"/>
        <v>7</v>
      </c>
      <c r="H26" s="129">
        <f t="shared" si="6"/>
        <v>7.333333333333333</v>
      </c>
      <c r="J26" s="131">
        <f t="shared" si="7"/>
        <v>4.7</v>
      </c>
      <c r="K26" s="131">
        <f t="shared" si="8"/>
        <v>5.2750000000000004</v>
      </c>
      <c r="L26" s="131">
        <f t="shared" si="9"/>
        <v>5.55</v>
      </c>
      <c r="N26" s="133">
        <f t="shared" si="10"/>
        <v>1.0434000000000001</v>
      </c>
      <c r="O26" s="133">
        <f t="shared" si="11"/>
        <v>1.1710500000000001</v>
      </c>
      <c r="P26" s="133">
        <f t="shared" si="12"/>
        <v>1.2321</v>
      </c>
      <c r="Q26" s="42">
        <v>0</v>
      </c>
      <c r="R26" s="136">
        <f t="shared" si="13"/>
        <v>-7.9</v>
      </c>
      <c r="S26" s="136">
        <f t="shared" si="14"/>
        <v>-9</v>
      </c>
      <c r="T26" s="136">
        <f t="shared" si="15"/>
        <v>-8.5</v>
      </c>
      <c r="V26" s="133">
        <f t="shared" si="16"/>
        <v>-1.0434000000000001</v>
      </c>
      <c r="W26" s="133">
        <f t="shared" si="17"/>
        <v>-1.1710500000000001</v>
      </c>
      <c r="X26" s="133">
        <f t="shared" si="18"/>
        <v>-1.2321</v>
      </c>
      <c r="Z26" s="131">
        <f t="shared" si="19"/>
        <v>-4.7</v>
      </c>
      <c r="AA26" s="131">
        <f t="shared" si="20"/>
        <v>-5.2750000000000004</v>
      </c>
      <c r="AB26" s="131">
        <f t="shared" si="21"/>
        <v>-5.55</v>
      </c>
      <c r="AD26" s="123">
        <f t="shared" si="22"/>
        <v>-6.666666666666667</v>
      </c>
      <c r="AE26" s="123">
        <f t="shared" si="23"/>
        <v>-7</v>
      </c>
      <c r="AF26" s="123">
        <f t="shared" si="24"/>
        <v>-7.333333333333333</v>
      </c>
    </row>
    <row r="27" spans="1:32">
      <c r="A27" t="s">
        <v>242</v>
      </c>
      <c r="B27" s="144">
        <f t="shared" si="3"/>
        <v>0</v>
      </c>
      <c r="C27" s="144">
        <f t="shared" si="3"/>
        <v>0</v>
      </c>
      <c r="D27" s="144">
        <f t="shared" si="3"/>
        <v>0</v>
      </c>
      <c r="F27" s="129">
        <f t="shared" si="4"/>
        <v>6.666666666666667</v>
      </c>
      <c r="G27" s="129">
        <f t="shared" si="5"/>
        <v>7</v>
      </c>
      <c r="H27" s="129">
        <f t="shared" si="6"/>
        <v>7.333333333333333</v>
      </c>
      <c r="J27" s="131">
        <f t="shared" si="7"/>
        <v>4.75</v>
      </c>
      <c r="K27" s="131">
        <f t="shared" si="8"/>
        <v>5.35</v>
      </c>
      <c r="L27" s="131">
        <f t="shared" si="9"/>
        <v>5.6</v>
      </c>
      <c r="N27" s="133">
        <f t="shared" si="10"/>
        <v>1.0545</v>
      </c>
      <c r="O27" s="133">
        <f t="shared" si="11"/>
        <v>1.1877</v>
      </c>
      <c r="P27" s="133">
        <f t="shared" si="12"/>
        <v>1.2431999999999999</v>
      </c>
      <c r="Q27" s="42">
        <v>0</v>
      </c>
      <c r="R27" s="136">
        <f t="shared" si="13"/>
        <v>-7.9</v>
      </c>
      <c r="S27" s="136">
        <f t="shared" si="14"/>
        <v>-8.8000000000000007</v>
      </c>
      <c r="T27" s="136">
        <f t="shared" si="15"/>
        <v>-8.5000000000000018</v>
      </c>
      <c r="V27" s="133">
        <f t="shared" si="16"/>
        <v>-1.0545</v>
      </c>
      <c r="W27" s="133">
        <f t="shared" si="17"/>
        <v>-1.1877</v>
      </c>
      <c r="X27" s="133">
        <f t="shared" si="18"/>
        <v>-1.2431999999999999</v>
      </c>
      <c r="Z27" s="131">
        <f t="shared" si="19"/>
        <v>-4.75</v>
      </c>
      <c r="AA27" s="131">
        <f t="shared" si="20"/>
        <v>-5.35</v>
      </c>
      <c r="AB27" s="131">
        <f t="shared" si="21"/>
        <v>-5.6</v>
      </c>
      <c r="AD27" s="123">
        <f t="shared" si="22"/>
        <v>-6.666666666666667</v>
      </c>
      <c r="AE27" s="123">
        <f t="shared" si="23"/>
        <v>-7</v>
      </c>
      <c r="AF27" s="123">
        <f t="shared" si="24"/>
        <v>-7.333333333333333</v>
      </c>
    </row>
    <row r="28" spans="1:32">
      <c r="A28" t="s">
        <v>243</v>
      </c>
      <c r="B28" s="144">
        <f t="shared" si="3"/>
        <v>0</v>
      </c>
      <c r="C28" s="144">
        <f t="shared" si="3"/>
        <v>0</v>
      </c>
      <c r="D28" s="144">
        <f t="shared" si="3"/>
        <v>0</v>
      </c>
      <c r="F28" s="129">
        <f t="shared" si="4"/>
        <v>6.666666666666667</v>
      </c>
      <c r="G28" s="129">
        <f t="shared" si="5"/>
        <v>7</v>
      </c>
      <c r="H28" s="129">
        <f t="shared" si="6"/>
        <v>7.333333333333333</v>
      </c>
      <c r="J28" s="131">
        <f t="shared" si="7"/>
        <v>4.8499999999999996</v>
      </c>
      <c r="K28" s="131">
        <f t="shared" si="8"/>
        <v>5.4</v>
      </c>
      <c r="L28" s="131">
        <f t="shared" si="9"/>
        <v>8.85</v>
      </c>
      <c r="N28" s="133">
        <f t="shared" si="10"/>
        <v>1.0767</v>
      </c>
      <c r="O28" s="133">
        <f t="shared" si="11"/>
        <v>1.1988000000000001</v>
      </c>
      <c r="P28" s="133">
        <f t="shared" si="12"/>
        <v>1.9646999999999999</v>
      </c>
      <c r="Q28" s="42">
        <v>0</v>
      </c>
      <c r="R28" s="136">
        <f t="shared" si="13"/>
        <v>-7.9</v>
      </c>
      <c r="S28" s="136">
        <f t="shared" si="14"/>
        <v>-8.7000000000000011</v>
      </c>
      <c r="T28" s="136">
        <f t="shared" si="15"/>
        <v>-8.1999999999999993</v>
      </c>
      <c r="V28" s="133">
        <f t="shared" si="16"/>
        <v>-1.0767</v>
      </c>
      <c r="W28" s="133">
        <f t="shared" si="17"/>
        <v>-1.1988000000000001</v>
      </c>
      <c r="X28" s="133">
        <f t="shared" si="18"/>
        <v>-1.9646999999999999</v>
      </c>
      <c r="Z28" s="131">
        <f t="shared" si="19"/>
        <v>-4.8499999999999996</v>
      </c>
      <c r="AA28" s="131">
        <f t="shared" si="20"/>
        <v>-5.4</v>
      </c>
      <c r="AB28" s="131">
        <f t="shared" si="21"/>
        <v>-8.85</v>
      </c>
      <c r="AD28" s="123">
        <f t="shared" si="22"/>
        <v>-6.666666666666667</v>
      </c>
      <c r="AE28" s="123">
        <f t="shared" si="23"/>
        <v>-7</v>
      </c>
      <c r="AF28" s="123">
        <f t="shared" si="24"/>
        <v>-7.333333333333333</v>
      </c>
    </row>
    <row r="29" spans="1:32">
      <c r="A29" t="s">
        <v>244</v>
      </c>
      <c r="B29" s="144">
        <f t="shared" si="3"/>
        <v>0</v>
      </c>
      <c r="C29" s="144">
        <f t="shared" si="3"/>
        <v>0</v>
      </c>
      <c r="D29" s="144">
        <f t="shared" si="3"/>
        <v>0</v>
      </c>
      <c r="F29" s="129">
        <f t="shared" si="4"/>
        <v>6.666666666666667</v>
      </c>
      <c r="G29" s="129">
        <f t="shared" si="5"/>
        <v>7</v>
      </c>
      <c r="H29" s="129">
        <f t="shared" si="6"/>
        <v>7.333333333333333</v>
      </c>
      <c r="J29" s="131">
        <f t="shared" si="7"/>
        <v>5</v>
      </c>
      <c r="K29" s="131">
        <f t="shared" si="8"/>
        <v>5.4249999999999998</v>
      </c>
      <c r="L29" s="131">
        <f t="shared" si="9"/>
        <v>5.7</v>
      </c>
      <c r="N29" s="133">
        <f t="shared" si="10"/>
        <v>1.1100000000000001</v>
      </c>
      <c r="O29" s="133">
        <f t="shared" si="11"/>
        <v>1.20435</v>
      </c>
      <c r="P29" s="133">
        <f t="shared" si="12"/>
        <v>1.2654000000000001</v>
      </c>
      <c r="Q29" s="42">
        <v>0</v>
      </c>
      <c r="R29" s="136">
        <f t="shared" si="13"/>
        <v>-7.7999999999999989</v>
      </c>
      <c r="S29" s="136">
        <f t="shared" si="14"/>
        <v>-9.2999999999999989</v>
      </c>
      <c r="T29" s="136">
        <f t="shared" si="15"/>
        <v>-8.2000000000000011</v>
      </c>
      <c r="V29" s="133">
        <f t="shared" si="16"/>
        <v>-1.1100000000000001</v>
      </c>
      <c r="W29" s="133">
        <f t="shared" si="17"/>
        <v>-1.20435</v>
      </c>
      <c r="X29" s="133">
        <f t="shared" si="18"/>
        <v>-1.2654000000000001</v>
      </c>
      <c r="Z29" s="131">
        <f t="shared" si="19"/>
        <v>-5</v>
      </c>
      <c r="AA29" s="131">
        <f t="shared" si="20"/>
        <v>-5.4249999999999998</v>
      </c>
      <c r="AB29" s="131">
        <f t="shared" si="21"/>
        <v>-5.7</v>
      </c>
      <c r="AD29" s="123">
        <f t="shared" si="22"/>
        <v>-6.666666666666667</v>
      </c>
      <c r="AE29" s="123">
        <f t="shared" si="23"/>
        <v>-7</v>
      </c>
      <c r="AF29" s="123">
        <f t="shared" si="24"/>
        <v>-7.333333333333333</v>
      </c>
    </row>
    <row r="30" spans="1:32">
      <c r="A30" t="s">
        <v>245</v>
      </c>
      <c r="B30" s="144">
        <f t="shared" si="3"/>
        <v>0</v>
      </c>
      <c r="C30" s="144">
        <f t="shared" si="3"/>
        <v>0</v>
      </c>
      <c r="D30" s="144">
        <f t="shared" si="3"/>
        <v>0</v>
      </c>
      <c r="F30" s="129">
        <f t="shared" si="4"/>
        <v>6.666666666666667</v>
      </c>
      <c r="G30" s="129">
        <f t="shared" si="5"/>
        <v>7</v>
      </c>
      <c r="H30" s="129">
        <f t="shared" si="6"/>
        <v>7.333333333333333</v>
      </c>
      <c r="J30" s="131">
        <f t="shared" si="7"/>
        <v>5.05</v>
      </c>
      <c r="K30" s="131">
        <f t="shared" si="8"/>
        <v>5.45</v>
      </c>
      <c r="L30" s="131">
        <f t="shared" si="9"/>
        <v>9.1999999999999993</v>
      </c>
      <c r="N30" s="133">
        <f t="shared" si="10"/>
        <v>1.1211</v>
      </c>
      <c r="O30" s="133">
        <f t="shared" si="11"/>
        <v>1.2099</v>
      </c>
      <c r="P30" s="133">
        <f t="shared" si="12"/>
        <v>2.0423999999999998</v>
      </c>
      <c r="Q30" s="42">
        <v>0</v>
      </c>
      <c r="R30" s="136">
        <f t="shared" si="13"/>
        <v>-8.6</v>
      </c>
      <c r="S30" s="136">
        <f t="shared" si="14"/>
        <v>-11.2</v>
      </c>
      <c r="T30" s="136">
        <f t="shared" si="15"/>
        <v>-8.7999999999999989</v>
      </c>
      <c r="V30" s="133">
        <f t="shared" si="16"/>
        <v>-1.1211</v>
      </c>
      <c r="W30" s="133">
        <f t="shared" si="17"/>
        <v>-1.2099</v>
      </c>
      <c r="X30" s="133">
        <f t="shared" si="18"/>
        <v>-2.0423999999999998</v>
      </c>
      <c r="Z30" s="131">
        <f t="shared" si="19"/>
        <v>-5.05</v>
      </c>
      <c r="AA30" s="131">
        <f t="shared" si="20"/>
        <v>-5.45</v>
      </c>
      <c r="AB30" s="131">
        <f t="shared" si="21"/>
        <v>-9.1999999999999993</v>
      </c>
      <c r="AD30" s="123">
        <f t="shared" si="22"/>
        <v>-6.666666666666667</v>
      </c>
      <c r="AE30" s="123">
        <f t="shared" si="23"/>
        <v>-7</v>
      </c>
      <c r="AF30" s="123">
        <f t="shared" si="24"/>
        <v>-7.333333333333333</v>
      </c>
    </row>
    <row r="31" spans="1:32">
      <c r="A31" t="s">
        <v>246</v>
      </c>
      <c r="B31" s="144">
        <f t="shared" si="3"/>
        <v>0</v>
      </c>
      <c r="C31" s="144">
        <f t="shared" si="3"/>
        <v>0</v>
      </c>
      <c r="D31" s="144">
        <f t="shared" si="3"/>
        <v>0</v>
      </c>
      <c r="F31" s="129">
        <f t="shared" si="4"/>
        <v>6.666666666666667</v>
      </c>
      <c r="G31" s="129">
        <f t="shared" si="5"/>
        <v>7</v>
      </c>
      <c r="H31" s="129">
        <f t="shared" si="6"/>
        <v>7.333333333333333</v>
      </c>
      <c r="J31" s="131">
        <f t="shared" si="7"/>
        <v>5.15</v>
      </c>
      <c r="K31" s="131">
        <f t="shared" si="8"/>
        <v>9.1999999999999993</v>
      </c>
      <c r="L31" s="131">
        <f t="shared" si="9"/>
        <v>9.35</v>
      </c>
      <c r="N31" s="133">
        <f t="shared" si="10"/>
        <v>1.1433</v>
      </c>
      <c r="O31" s="133">
        <f t="shared" si="11"/>
        <v>2.0423999999999998</v>
      </c>
      <c r="P31" s="133">
        <f t="shared" si="12"/>
        <v>2.0756999999999999</v>
      </c>
      <c r="Q31" s="42">
        <v>0</v>
      </c>
      <c r="R31" s="136">
        <f t="shared" si="13"/>
        <v>-8.6000000000000014</v>
      </c>
      <c r="S31" s="136">
        <f t="shared" si="14"/>
        <v>-9.4999999999999982</v>
      </c>
      <c r="T31" s="136">
        <f t="shared" si="15"/>
        <v>-9.1</v>
      </c>
      <c r="V31" s="133">
        <f t="shared" si="16"/>
        <v>-1.1433</v>
      </c>
      <c r="W31" s="133">
        <f t="shared" si="17"/>
        <v>-2.0423999999999998</v>
      </c>
      <c r="X31" s="133">
        <f t="shared" si="18"/>
        <v>-2.0756999999999999</v>
      </c>
      <c r="Z31" s="131">
        <f t="shared" si="19"/>
        <v>-5.15</v>
      </c>
      <c r="AA31" s="131">
        <f t="shared" si="20"/>
        <v>-9.1999999999999993</v>
      </c>
      <c r="AB31" s="131">
        <f t="shared" si="21"/>
        <v>-9.35</v>
      </c>
      <c r="AD31" s="123">
        <f t="shared" si="22"/>
        <v>-6.666666666666667</v>
      </c>
      <c r="AE31" s="123">
        <f t="shared" si="23"/>
        <v>-7</v>
      </c>
      <c r="AF31" s="123">
        <f t="shared" si="24"/>
        <v>-7.333333333333333</v>
      </c>
    </row>
    <row r="32" spans="1:32">
      <c r="A32" t="s">
        <v>247</v>
      </c>
      <c r="B32" s="144">
        <f t="shared" si="3"/>
        <v>0</v>
      </c>
      <c r="C32" s="144">
        <f t="shared" si="3"/>
        <v>0</v>
      </c>
      <c r="D32" s="144">
        <f t="shared" si="3"/>
        <v>0</v>
      </c>
      <c r="F32" s="129">
        <f t="shared" si="4"/>
        <v>6.666666666666667</v>
      </c>
      <c r="G32" s="129">
        <f t="shared" si="5"/>
        <v>7</v>
      </c>
      <c r="H32" s="129">
        <f t="shared" si="6"/>
        <v>7.333333333333333</v>
      </c>
      <c r="J32" s="131">
        <f t="shared" si="7"/>
        <v>5.2</v>
      </c>
      <c r="K32" s="131">
        <f t="shared" si="8"/>
        <v>9.35</v>
      </c>
      <c r="L32" s="131">
        <f t="shared" si="9"/>
        <v>9.4499999999999993</v>
      </c>
      <c r="N32" s="133">
        <f t="shared" si="10"/>
        <v>1.1544000000000001</v>
      </c>
      <c r="O32" s="133">
        <f t="shared" si="11"/>
        <v>2.0756999999999999</v>
      </c>
      <c r="P32" s="133">
        <f t="shared" si="12"/>
        <v>2.0978999999999997</v>
      </c>
      <c r="Q32" s="42">
        <v>0</v>
      </c>
      <c r="R32" s="136">
        <f t="shared" si="13"/>
        <v>-8.8000000000000007</v>
      </c>
      <c r="S32" s="136">
        <f t="shared" si="14"/>
        <v>-9.5</v>
      </c>
      <c r="T32" s="136">
        <f t="shared" si="15"/>
        <v>-8.7999999999999989</v>
      </c>
      <c r="V32" s="133">
        <f t="shared" si="16"/>
        <v>-1.1544000000000001</v>
      </c>
      <c r="W32" s="133">
        <f t="shared" si="17"/>
        <v>-2.0756999999999999</v>
      </c>
      <c r="X32" s="133">
        <f t="shared" si="18"/>
        <v>-2.0978999999999997</v>
      </c>
      <c r="Z32" s="131">
        <f t="shared" si="19"/>
        <v>-5.2</v>
      </c>
      <c r="AA32" s="131">
        <f t="shared" si="20"/>
        <v>-9.35</v>
      </c>
      <c r="AB32" s="131">
        <f t="shared" si="21"/>
        <v>-9.4499999999999993</v>
      </c>
      <c r="AD32" s="123">
        <f t="shared" si="22"/>
        <v>-6.666666666666667</v>
      </c>
      <c r="AE32" s="123">
        <f t="shared" si="23"/>
        <v>-7</v>
      </c>
      <c r="AF32" s="123">
        <f t="shared" si="24"/>
        <v>-7.333333333333333</v>
      </c>
    </row>
    <row r="33" spans="1:32">
      <c r="A33" t="s">
        <v>248</v>
      </c>
      <c r="B33" s="144">
        <f t="shared" si="3"/>
        <v>0</v>
      </c>
      <c r="C33" s="144">
        <f t="shared" si="3"/>
        <v>0</v>
      </c>
      <c r="D33" s="144">
        <f t="shared" si="3"/>
        <v>0</v>
      </c>
      <c r="F33" s="129">
        <f t="shared" si="4"/>
        <v>6.666666666666667</v>
      </c>
      <c r="G33" s="129">
        <f t="shared" si="5"/>
        <v>7</v>
      </c>
      <c r="H33" s="129">
        <f t="shared" si="6"/>
        <v>7.333333333333333</v>
      </c>
      <c r="J33" s="131">
        <f t="shared" si="7"/>
        <v>5.35</v>
      </c>
      <c r="K33" s="131">
        <f t="shared" si="8"/>
        <v>9.4</v>
      </c>
      <c r="L33" s="131">
        <f t="shared" si="9"/>
        <v>9.5</v>
      </c>
      <c r="N33" s="133">
        <f t="shared" si="10"/>
        <v>1.1877</v>
      </c>
      <c r="O33" s="133">
        <f t="shared" si="11"/>
        <v>2.0868000000000002</v>
      </c>
      <c r="P33" s="133">
        <f t="shared" si="12"/>
        <v>2.109</v>
      </c>
      <c r="Q33" s="42">
        <v>0</v>
      </c>
      <c r="R33" s="136">
        <f t="shared" si="13"/>
        <v>-8.7999999999999989</v>
      </c>
      <c r="S33" s="136">
        <f t="shared" si="14"/>
        <v>-9.5</v>
      </c>
      <c r="T33" s="136">
        <f t="shared" si="15"/>
        <v>-8.8000000000000007</v>
      </c>
      <c r="V33" s="133">
        <f t="shared" si="16"/>
        <v>-1.1877</v>
      </c>
      <c r="W33" s="133">
        <f t="shared" si="17"/>
        <v>-2.0868000000000002</v>
      </c>
      <c r="X33" s="133">
        <f t="shared" si="18"/>
        <v>-2.109</v>
      </c>
      <c r="Z33" s="131">
        <f t="shared" si="19"/>
        <v>-5.35</v>
      </c>
      <c r="AA33" s="131">
        <f t="shared" si="20"/>
        <v>-9.4</v>
      </c>
      <c r="AB33" s="131">
        <f t="shared" si="21"/>
        <v>-9.5</v>
      </c>
      <c r="AD33" s="123">
        <f t="shared" si="22"/>
        <v>-6.666666666666667</v>
      </c>
      <c r="AE33" s="123">
        <f t="shared" si="23"/>
        <v>-7</v>
      </c>
      <c r="AF33" s="123">
        <f t="shared" si="24"/>
        <v>-7.333333333333333</v>
      </c>
    </row>
    <row r="34" spans="1:32">
      <c r="A34" t="s">
        <v>249</v>
      </c>
      <c r="B34" s="144">
        <f t="shared" si="3"/>
        <v>0</v>
      </c>
      <c r="C34" s="144">
        <f t="shared" si="3"/>
        <v>0</v>
      </c>
      <c r="D34" s="144">
        <f t="shared" si="3"/>
        <v>0</v>
      </c>
      <c r="F34" s="129">
        <f t="shared" si="4"/>
        <v>6.916666666666667</v>
      </c>
      <c r="G34" s="129">
        <f t="shared" si="5"/>
        <v>7.25</v>
      </c>
      <c r="H34" s="129">
        <f t="shared" si="6"/>
        <v>7.583333333333333</v>
      </c>
      <c r="J34" s="131">
        <f t="shared" si="7"/>
        <v>5.35</v>
      </c>
      <c r="K34" s="131">
        <f t="shared" si="8"/>
        <v>9.5</v>
      </c>
      <c r="L34" s="131">
        <f t="shared" si="9"/>
        <v>9.75</v>
      </c>
      <c r="N34" s="133">
        <f t="shared" si="10"/>
        <v>1.1877</v>
      </c>
      <c r="O34" s="133">
        <f t="shared" si="11"/>
        <v>2.109</v>
      </c>
      <c r="P34" s="133">
        <f t="shared" si="12"/>
        <v>2.1644999999999999</v>
      </c>
      <c r="Q34" s="42">
        <v>0</v>
      </c>
      <c r="R34" s="136">
        <f t="shared" si="13"/>
        <v>-8.8000000000000007</v>
      </c>
      <c r="S34" s="136">
        <f t="shared" si="14"/>
        <v>-9.3000000000000007</v>
      </c>
      <c r="T34" s="136">
        <f t="shared" si="15"/>
        <v>-8.9</v>
      </c>
      <c r="V34" s="133">
        <f t="shared" si="16"/>
        <v>-1.1877</v>
      </c>
      <c r="W34" s="133">
        <f t="shared" si="17"/>
        <v>-2.109</v>
      </c>
      <c r="X34" s="133">
        <f t="shared" si="18"/>
        <v>-2.1644999999999999</v>
      </c>
      <c r="Z34" s="131">
        <f t="shared" si="19"/>
        <v>-5.35</v>
      </c>
      <c r="AA34" s="131">
        <f t="shared" si="20"/>
        <v>-9.5</v>
      </c>
      <c r="AB34" s="131">
        <f t="shared" si="21"/>
        <v>-9.75</v>
      </c>
      <c r="AD34" s="123">
        <f t="shared" si="22"/>
        <v>-6.916666666666667</v>
      </c>
      <c r="AE34" s="123">
        <f t="shared" si="23"/>
        <v>-7.25</v>
      </c>
      <c r="AF34" s="123">
        <f t="shared" si="24"/>
        <v>-7.583333333333333</v>
      </c>
    </row>
    <row r="35" spans="1:32">
      <c r="A35" t="s">
        <v>250</v>
      </c>
      <c r="B35" s="144">
        <f t="shared" si="3"/>
        <v>0</v>
      </c>
      <c r="C35" s="144">
        <f t="shared" si="3"/>
        <v>0</v>
      </c>
      <c r="D35" s="144">
        <f t="shared" si="3"/>
        <v>0</v>
      </c>
      <c r="F35" s="129">
        <f t="shared" si="4"/>
        <v>6.916666666666667</v>
      </c>
      <c r="G35" s="129">
        <f t="shared" si="5"/>
        <v>7.25</v>
      </c>
      <c r="H35" s="129">
        <f t="shared" si="6"/>
        <v>7.583333333333333</v>
      </c>
      <c r="J35" s="131">
        <f t="shared" si="7"/>
        <v>5.45</v>
      </c>
      <c r="K35" s="131">
        <f t="shared" si="8"/>
        <v>5.75</v>
      </c>
      <c r="L35" s="131">
        <f t="shared" si="9"/>
        <v>9.9</v>
      </c>
      <c r="N35" s="133">
        <f t="shared" si="10"/>
        <v>1.2099</v>
      </c>
      <c r="O35" s="133">
        <f t="shared" si="11"/>
        <v>1.2765</v>
      </c>
      <c r="P35" s="133">
        <f t="shared" si="12"/>
        <v>2.1978</v>
      </c>
      <c r="Q35" s="42">
        <v>0</v>
      </c>
      <c r="R35" s="136">
        <f t="shared" si="13"/>
        <v>-9</v>
      </c>
      <c r="S35" s="136">
        <f t="shared" si="14"/>
        <v>-9.6999999999999993</v>
      </c>
      <c r="T35" s="136">
        <f t="shared" si="15"/>
        <v>-9.1000000000000014</v>
      </c>
      <c r="V35" s="133">
        <f t="shared" si="16"/>
        <v>-1.2099</v>
      </c>
      <c r="W35" s="133">
        <f t="shared" si="17"/>
        <v>-1.2765</v>
      </c>
      <c r="X35" s="133">
        <f t="shared" si="18"/>
        <v>-2.1978</v>
      </c>
      <c r="Z35" s="131">
        <f t="shared" si="19"/>
        <v>-5.45</v>
      </c>
      <c r="AA35" s="131">
        <f t="shared" si="20"/>
        <v>-5.75</v>
      </c>
      <c r="AB35" s="131">
        <f t="shared" si="21"/>
        <v>-9.9</v>
      </c>
      <c r="AD35" s="123">
        <f t="shared" si="22"/>
        <v>-6.916666666666667</v>
      </c>
      <c r="AE35" s="123">
        <f t="shared" si="23"/>
        <v>-7.25</v>
      </c>
      <c r="AF35" s="123">
        <f t="shared" si="24"/>
        <v>-7.583333333333333</v>
      </c>
    </row>
    <row r="38" spans="1:32">
      <c r="A38" s="42"/>
    </row>
  </sheetData>
  <sheetProtection password="C73A" sheet="1" objects="1" scenarios="1" selectLockedCells="1" selectUnlockedCells="1"/>
  <mergeCells count="8">
    <mergeCell ref="Z19:AB19"/>
    <mergeCell ref="AD19:AF19"/>
    <mergeCell ref="B19:D19"/>
    <mergeCell ref="F19:H19"/>
    <mergeCell ref="J19:L19"/>
    <mergeCell ref="N19:P19"/>
    <mergeCell ref="R19:T19"/>
    <mergeCell ref="V19:X19"/>
  </mergeCells>
  <phoneticPr fontId="10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Z24"/>
  <sheetViews>
    <sheetView workbookViewId="0">
      <pane ySplit="1" topLeftCell="A9" activePane="bottomLeft" state="frozen"/>
      <selection pane="bottomLeft" activeCell="K13" sqref="K13"/>
    </sheetView>
  </sheetViews>
  <sheetFormatPr defaultColWidth="8.85546875" defaultRowHeight="15"/>
  <cols>
    <col min="1" max="2" width="8.85546875" style="2"/>
    <col min="3" max="11" width="5.140625" style="3" customWidth="1"/>
    <col min="12" max="12" width="8.85546875" style="2"/>
    <col min="13" max="22" width="5.140625" style="3" customWidth="1"/>
    <col min="23" max="16384" width="8.85546875" style="2"/>
  </cols>
  <sheetData>
    <row r="1" spans="1:26" ht="129.6" customHeight="1">
      <c r="A1" s="51" t="s">
        <v>201</v>
      </c>
      <c r="B1" s="51" t="s">
        <v>202</v>
      </c>
      <c r="C1" s="52" t="s">
        <v>206</v>
      </c>
      <c r="D1" s="52" t="s">
        <v>397</v>
      </c>
      <c r="E1" s="52" t="s">
        <v>391</v>
      </c>
      <c r="F1" s="52" t="s">
        <v>235</v>
      </c>
      <c r="G1" s="52" t="s">
        <v>208</v>
      </c>
      <c r="H1" s="52" t="s">
        <v>233</v>
      </c>
      <c r="I1" s="52" t="s">
        <v>234</v>
      </c>
      <c r="J1" s="52" t="s">
        <v>338</v>
      </c>
      <c r="K1" s="52" t="s">
        <v>339</v>
      </c>
      <c r="L1" s="51" t="s">
        <v>203</v>
      </c>
      <c r="M1" s="52" t="s">
        <v>204</v>
      </c>
      <c r="N1" s="52" t="s">
        <v>392</v>
      </c>
      <c r="O1" s="52" t="s">
        <v>205</v>
      </c>
      <c r="P1" s="52" t="s">
        <v>207</v>
      </c>
      <c r="Q1" s="52" t="s">
        <v>393</v>
      </c>
      <c r="R1" s="52" t="s">
        <v>394</v>
      </c>
      <c r="S1" s="52" t="s">
        <v>395</v>
      </c>
      <c r="T1" s="52" t="s">
        <v>396</v>
      </c>
      <c r="U1" s="52" t="s">
        <v>209</v>
      </c>
      <c r="V1" s="52" t="s">
        <v>210</v>
      </c>
      <c r="W1" s="51" t="s">
        <v>211</v>
      </c>
      <c r="X1" s="51" t="s">
        <v>212</v>
      </c>
      <c r="Y1" s="51" t="s">
        <v>213</v>
      </c>
      <c r="Z1" s="2" t="s">
        <v>214</v>
      </c>
    </row>
    <row r="2" spans="1:26">
      <c r="A2" s="54">
        <v>8</v>
      </c>
      <c r="B2" s="54" t="s">
        <v>215</v>
      </c>
      <c r="C2" s="55">
        <f t="shared" ref="C2:C12" si="0">O2*2.54</f>
        <v>99.06</v>
      </c>
      <c r="D2" s="55">
        <v>0</v>
      </c>
      <c r="E2" s="55">
        <f>N2*0.3732417</f>
        <v>15.302909700000001</v>
      </c>
      <c r="F2" s="55">
        <f t="shared" ref="F2:F12" si="1">S2*2.54</f>
        <v>52.07</v>
      </c>
      <c r="G2" s="55">
        <f t="shared" ref="G2:G12" si="2">T2*2.54</f>
        <v>31.75</v>
      </c>
      <c r="H2" s="55">
        <f t="shared" ref="H2:H12" si="3">R2*2.54</f>
        <v>19.05</v>
      </c>
      <c r="I2" s="55">
        <f t="shared" ref="I2:I12" si="4">Q2*2.54</f>
        <v>26.67</v>
      </c>
      <c r="J2" s="55">
        <f>-(I2/2)</f>
        <v>-13.335000000000001</v>
      </c>
      <c r="K2" s="55">
        <f>(I2/2)</f>
        <v>13.335000000000001</v>
      </c>
      <c r="L2" s="54" t="s">
        <v>216</v>
      </c>
      <c r="M2" s="55">
        <v>3</v>
      </c>
      <c r="N2" s="55">
        <v>41</v>
      </c>
      <c r="O2" s="55">
        <v>39</v>
      </c>
      <c r="P2" s="55">
        <v>31.5</v>
      </c>
      <c r="Q2" s="55">
        <v>10.5</v>
      </c>
      <c r="R2" s="55">
        <v>7.5</v>
      </c>
      <c r="S2" s="55">
        <v>20.5</v>
      </c>
      <c r="T2" s="55">
        <v>12.5</v>
      </c>
      <c r="U2" s="55">
        <v>20.5</v>
      </c>
      <c r="V2" s="55">
        <v>4.25</v>
      </c>
      <c r="W2" s="54" t="s">
        <v>217</v>
      </c>
      <c r="X2" s="54" t="s">
        <v>217</v>
      </c>
    </row>
    <row r="3" spans="1:26">
      <c r="A3" s="54">
        <v>10</v>
      </c>
      <c r="B3" s="54" t="s">
        <v>218</v>
      </c>
      <c r="C3" s="55">
        <f t="shared" si="0"/>
        <v>102.87</v>
      </c>
      <c r="D3" s="55">
        <v>0</v>
      </c>
      <c r="E3" s="55">
        <f t="shared" ref="E3:E12" si="5">N3*0.3732417</f>
        <v>15.6761514</v>
      </c>
      <c r="F3" s="55">
        <f t="shared" si="1"/>
        <v>55.88</v>
      </c>
      <c r="G3" s="55">
        <f t="shared" si="2"/>
        <v>34.924999999999997</v>
      </c>
      <c r="H3" s="55">
        <f t="shared" si="3"/>
        <v>19.05</v>
      </c>
      <c r="I3" s="55">
        <f t="shared" si="4"/>
        <v>26.67</v>
      </c>
      <c r="J3" s="55">
        <f t="shared" ref="J3:J12" si="6">-(I3/2)</f>
        <v>-13.335000000000001</v>
      </c>
      <c r="K3" s="55">
        <f t="shared" ref="K3:K12" si="7">(I3/2)</f>
        <v>13.335000000000001</v>
      </c>
      <c r="L3" s="54" t="s">
        <v>216</v>
      </c>
      <c r="M3" s="55">
        <v>3</v>
      </c>
      <c r="N3" s="55">
        <v>42</v>
      </c>
      <c r="O3" s="55">
        <v>40.5</v>
      </c>
      <c r="P3" s="55">
        <v>32</v>
      </c>
      <c r="Q3" s="55">
        <v>10.5</v>
      </c>
      <c r="R3" s="55">
        <v>7.5</v>
      </c>
      <c r="S3" s="55">
        <v>22</v>
      </c>
      <c r="T3" s="55">
        <v>13.75</v>
      </c>
      <c r="U3" s="55">
        <v>19.5</v>
      </c>
      <c r="V3" s="55">
        <v>2.5</v>
      </c>
      <c r="W3" s="54" t="s">
        <v>217</v>
      </c>
      <c r="X3" s="54" t="s">
        <v>217</v>
      </c>
    </row>
    <row r="4" spans="1:26">
      <c r="A4" s="54">
        <v>9</v>
      </c>
      <c r="B4" s="54" t="s">
        <v>219</v>
      </c>
      <c r="C4" s="55">
        <f t="shared" si="0"/>
        <v>104.14</v>
      </c>
      <c r="D4" s="55">
        <v>0</v>
      </c>
      <c r="E4" s="55">
        <f t="shared" si="5"/>
        <v>15.6761514</v>
      </c>
      <c r="F4" s="55">
        <f t="shared" si="1"/>
        <v>55.88</v>
      </c>
      <c r="G4" s="55">
        <f t="shared" si="2"/>
        <v>34.29</v>
      </c>
      <c r="H4" s="55">
        <f t="shared" si="3"/>
        <v>20.955000000000002</v>
      </c>
      <c r="I4" s="55">
        <f t="shared" si="4"/>
        <v>26.67</v>
      </c>
      <c r="J4" s="55">
        <f t="shared" si="6"/>
        <v>-13.335000000000001</v>
      </c>
      <c r="K4" s="55">
        <f t="shared" si="7"/>
        <v>13.335000000000001</v>
      </c>
      <c r="L4" s="54" t="s">
        <v>220</v>
      </c>
      <c r="M4" s="55">
        <v>3</v>
      </c>
      <c r="N4" s="55">
        <v>42</v>
      </c>
      <c r="O4" s="55">
        <v>41</v>
      </c>
      <c r="P4" s="55">
        <v>30.75</v>
      </c>
      <c r="Q4" s="55">
        <v>10.5</v>
      </c>
      <c r="R4" s="55">
        <v>8.25</v>
      </c>
      <c r="S4" s="55">
        <v>22</v>
      </c>
      <c r="T4" s="55">
        <v>13.5</v>
      </c>
      <c r="U4" s="55">
        <v>21.75</v>
      </c>
      <c r="V4" s="55">
        <v>4.5</v>
      </c>
      <c r="W4" s="54" t="s">
        <v>217</v>
      </c>
      <c r="X4" s="54" t="s">
        <v>217</v>
      </c>
    </row>
    <row r="5" spans="1:26">
      <c r="A5" s="54">
        <v>7</v>
      </c>
      <c r="B5" s="54" t="s">
        <v>221</v>
      </c>
      <c r="C5" s="55">
        <f t="shared" si="0"/>
        <v>105.41</v>
      </c>
      <c r="D5" s="55">
        <v>0</v>
      </c>
      <c r="E5" s="55">
        <f t="shared" si="5"/>
        <v>15.6761514</v>
      </c>
      <c r="F5" s="55">
        <f t="shared" si="1"/>
        <v>57.15</v>
      </c>
      <c r="G5" s="55">
        <f t="shared" si="2"/>
        <v>34.29</v>
      </c>
      <c r="H5" s="55">
        <f t="shared" si="3"/>
        <v>20.637499999999999</v>
      </c>
      <c r="I5" s="55">
        <f t="shared" si="4"/>
        <v>26.67</v>
      </c>
      <c r="J5" s="55">
        <f t="shared" si="6"/>
        <v>-13.335000000000001</v>
      </c>
      <c r="K5" s="55">
        <f t="shared" si="7"/>
        <v>13.335000000000001</v>
      </c>
      <c r="L5" s="54" t="s">
        <v>216</v>
      </c>
      <c r="M5" s="55">
        <v>4</v>
      </c>
      <c r="N5" s="55">
        <v>42</v>
      </c>
      <c r="O5" s="55">
        <v>41.5</v>
      </c>
      <c r="P5" s="55">
        <v>33.5</v>
      </c>
      <c r="Q5" s="55">
        <v>10.5</v>
      </c>
      <c r="R5" s="55">
        <v>8.125</v>
      </c>
      <c r="S5" s="55">
        <v>22.5</v>
      </c>
      <c r="T5" s="55">
        <v>13.5</v>
      </c>
      <c r="U5" s="55">
        <v>23</v>
      </c>
      <c r="V5" s="55">
        <v>3</v>
      </c>
      <c r="W5" s="54" t="s">
        <v>222</v>
      </c>
      <c r="X5" s="54" t="s">
        <v>222</v>
      </c>
    </row>
    <row r="6" spans="1:26">
      <c r="A6" s="54">
        <v>11</v>
      </c>
      <c r="B6" s="54" t="s">
        <v>223</v>
      </c>
      <c r="C6" s="55">
        <f t="shared" si="0"/>
        <v>107.95</v>
      </c>
      <c r="D6" s="55">
        <v>0</v>
      </c>
      <c r="E6" s="55">
        <f t="shared" si="5"/>
        <v>16.795876500000002</v>
      </c>
      <c r="F6" s="55">
        <f t="shared" si="1"/>
        <v>56.515000000000001</v>
      </c>
      <c r="G6" s="55">
        <f t="shared" si="2"/>
        <v>33.655000000000001</v>
      </c>
      <c r="H6" s="55">
        <f t="shared" si="3"/>
        <v>19.05</v>
      </c>
      <c r="I6" s="55">
        <f t="shared" si="4"/>
        <v>26.67</v>
      </c>
      <c r="J6" s="55">
        <f t="shared" si="6"/>
        <v>-13.335000000000001</v>
      </c>
      <c r="K6" s="55">
        <f t="shared" si="7"/>
        <v>13.335000000000001</v>
      </c>
      <c r="L6" s="54" t="s">
        <v>220</v>
      </c>
      <c r="M6" s="55">
        <v>4</v>
      </c>
      <c r="N6" s="55">
        <v>45</v>
      </c>
      <c r="O6" s="55">
        <v>42.5</v>
      </c>
      <c r="P6" s="55">
        <v>33.5</v>
      </c>
      <c r="Q6" s="55">
        <v>10.5</v>
      </c>
      <c r="R6" s="55">
        <v>7.5</v>
      </c>
      <c r="S6" s="55">
        <v>22.25</v>
      </c>
      <c r="T6" s="55">
        <v>13.25</v>
      </c>
      <c r="U6" s="55">
        <v>21.25</v>
      </c>
      <c r="V6" s="55">
        <v>4.25</v>
      </c>
      <c r="W6" s="54" t="s">
        <v>217</v>
      </c>
      <c r="X6" s="54" t="s">
        <v>217</v>
      </c>
      <c r="Y6" s="53"/>
    </row>
    <row r="7" spans="1:26">
      <c r="A7" s="54">
        <v>5</v>
      </c>
      <c r="B7" s="54" t="s">
        <v>224</v>
      </c>
      <c r="C7" s="55">
        <f t="shared" si="0"/>
        <v>115.57000000000001</v>
      </c>
      <c r="D7" s="55">
        <v>0</v>
      </c>
      <c r="E7" s="55">
        <f t="shared" si="5"/>
        <v>17.1691182</v>
      </c>
      <c r="F7" s="55">
        <f t="shared" si="1"/>
        <v>60.325000000000003</v>
      </c>
      <c r="G7" s="55">
        <f t="shared" si="2"/>
        <v>38.734999999999999</v>
      </c>
      <c r="H7" s="55">
        <f t="shared" si="3"/>
        <v>19.684999999999999</v>
      </c>
      <c r="I7" s="55">
        <f t="shared" si="4"/>
        <v>27.94</v>
      </c>
      <c r="J7" s="55">
        <f t="shared" si="6"/>
        <v>-13.97</v>
      </c>
      <c r="K7" s="55">
        <f t="shared" si="7"/>
        <v>13.97</v>
      </c>
      <c r="L7" s="54" t="s">
        <v>216</v>
      </c>
      <c r="M7" s="55">
        <v>5</v>
      </c>
      <c r="N7" s="55">
        <v>46</v>
      </c>
      <c r="O7" s="55">
        <v>45.5</v>
      </c>
      <c r="P7" s="55">
        <v>36</v>
      </c>
      <c r="Q7" s="55">
        <v>11</v>
      </c>
      <c r="R7" s="55">
        <v>7.75</v>
      </c>
      <c r="S7" s="55">
        <v>23.75</v>
      </c>
      <c r="T7" s="55">
        <v>15.25</v>
      </c>
      <c r="U7" s="55">
        <v>22</v>
      </c>
      <c r="V7" s="55">
        <v>4</v>
      </c>
      <c r="W7" s="54" t="s">
        <v>225</v>
      </c>
      <c r="X7" s="54" t="s">
        <v>222</v>
      </c>
    </row>
    <row r="8" spans="1:26">
      <c r="A8" s="54">
        <v>1</v>
      </c>
      <c r="B8" s="54" t="s">
        <v>226</v>
      </c>
      <c r="C8" s="55">
        <f t="shared" si="0"/>
        <v>109.22</v>
      </c>
      <c r="D8" s="55">
        <v>0</v>
      </c>
      <c r="E8" s="55">
        <f t="shared" si="5"/>
        <v>15.6761514</v>
      </c>
      <c r="F8" s="55">
        <f t="shared" si="1"/>
        <v>57.785000000000004</v>
      </c>
      <c r="G8" s="55">
        <f t="shared" si="2"/>
        <v>37.465000000000003</v>
      </c>
      <c r="H8" s="55">
        <f t="shared" si="3"/>
        <v>24.13</v>
      </c>
      <c r="I8" s="55">
        <f t="shared" si="4"/>
        <v>27.305</v>
      </c>
      <c r="J8" s="55">
        <f t="shared" si="6"/>
        <v>-13.6525</v>
      </c>
      <c r="K8" s="55">
        <f t="shared" si="7"/>
        <v>13.6525</v>
      </c>
      <c r="L8" s="54" t="s">
        <v>220</v>
      </c>
      <c r="M8" s="55">
        <v>6</v>
      </c>
      <c r="N8" s="55">
        <v>42</v>
      </c>
      <c r="O8" s="55">
        <v>43</v>
      </c>
      <c r="P8" s="55">
        <v>34.5</v>
      </c>
      <c r="Q8" s="55">
        <v>10.75</v>
      </c>
      <c r="R8" s="55">
        <v>9.5</v>
      </c>
      <c r="S8" s="55">
        <v>22.75</v>
      </c>
      <c r="T8" s="55">
        <v>14.75</v>
      </c>
      <c r="U8" s="55">
        <v>21</v>
      </c>
      <c r="V8" s="55">
        <v>4.5</v>
      </c>
      <c r="W8" s="54" t="s">
        <v>217</v>
      </c>
      <c r="X8" s="54" t="s">
        <v>217</v>
      </c>
      <c r="Y8" s="53"/>
    </row>
    <row r="9" spans="1:26">
      <c r="A9" s="54">
        <v>6</v>
      </c>
      <c r="B9" s="54" t="s">
        <v>227</v>
      </c>
      <c r="C9" s="55">
        <f t="shared" si="0"/>
        <v>111.76</v>
      </c>
      <c r="D9" s="55">
        <v>0</v>
      </c>
      <c r="E9" s="55">
        <f t="shared" si="5"/>
        <v>16.795876500000002</v>
      </c>
      <c r="F9" s="55">
        <f t="shared" si="1"/>
        <v>58.42</v>
      </c>
      <c r="G9" s="55">
        <f t="shared" si="2"/>
        <v>38.1</v>
      </c>
      <c r="H9" s="55">
        <f t="shared" si="3"/>
        <v>20.955000000000002</v>
      </c>
      <c r="I9" s="55">
        <f t="shared" si="4"/>
        <v>27.94</v>
      </c>
      <c r="J9" s="55">
        <f t="shared" si="6"/>
        <v>-13.97</v>
      </c>
      <c r="K9" s="55">
        <f t="shared" si="7"/>
        <v>13.97</v>
      </c>
      <c r="L9" s="54" t="s">
        <v>220</v>
      </c>
      <c r="M9" s="55">
        <v>6</v>
      </c>
      <c r="N9" s="55">
        <v>45</v>
      </c>
      <c r="O9" s="55">
        <v>44</v>
      </c>
      <c r="P9" s="55">
        <v>36</v>
      </c>
      <c r="Q9" s="55">
        <v>11</v>
      </c>
      <c r="R9" s="55">
        <v>8.25</v>
      </c>
      <c r="S9" s="55">
        <v>23</v>
      </c>
      <c r="T9" s="55">
        <v>15</v>
      </c>
      <c r="U9" s="55">
        <v>23.25</v>
      </c>
      <c r="V9" s="55">
        <v>4.75</v>
      </c>
      <c r="W9" s="54" t="s">
        <v>222</v>
      </c>
      <c r="X9" s="54" t="s">
        <v>222</v>
      </c>
    </row>
    <row r="10" spans="1:26">
      <c r="A10" s="54">
        <v>3</v>
      </c>
      <c r="B10" s="54" t="s">
        <v>228</v>
      </c>
      <c r="C10" s="55">
        <f t="shared" si="0"/>
        <v>113.03</v>
      </c>
      <c r="D10" s="55">
        <v>0</v>
      </c>
      <c r="E10" s="55">
        <f t="shared" si="5"/>
        <v>17.542359900000001</v>
      </c>
      <c r="F10" s="55">
        <f t="shared" si="1"/>
        <v>61.594999999999999</v>
      </c>
      <c r="G10" s="55">
        <f t="shared" si="2"/>
        <v>39.369999999999997</v>
      </c>
      <c r="H10" s="55">
        <f t="shared" si="3"/>
        <v>19.684999999999999</v>
      </c>
      <c r="I10" s="55">
        <f t="shared" si="4"/>
        <v>29.21</v>
      </c>
      <c r="J10" s="55">
        <f t="shared" si="6"/>
        <v>-14.605</v>
      </c>
      <c r="K10" s="55">
        <f t="shared" si="7"/>
        <v>14.605</v>
      </c>
      <c r="L10" s="54" t="s">
        <v>220</v>
      </c>
      <c r="M10" s="55">
        <v>6</v>
      </c>
      <c r="N10" s="55">
        <v>47</v>
      </c>
      <c r="O10" s="55">
        <v>44.5</v>
      </c>
      <c r="P10" s="55">
        <v>36</v>
      </c>
      <c r="Q10" s="55">
        <v>11.5</v>
      </c>
      <c r="R10" s="55">
        <v>7.75</v>
      </c>
      <c r="S10" s="55">
        <v>24.25</v>
      </c>
      <c r="T10" s="55">
        <v>15.5</v>
      </c>
      <c r="U10" s="55">
        <v>23.25</v>
      </c>
      <c r="V10" s="55">
        <v>4</v>
      </c>
      <c r="W10" s="54" t="s">
        <v>225</v>
      </c>
      <c r="X10" s="54" t="s">
        <v>222</v>
      </c>
    </row>
    <row r="11" spans="1:26">
      <c r="A11" s="54">
        <v>4</v>
      </c>
      <c r="B11" s="54" t="s">
        <v>229</v>
      </c>
      <c r="C11" s="55">
        <f t="shared" si="0"/>
        <v>118.11</v>
      </c>
      <c r="D11" s="55">
        <v>0</v>
      </c>
      <c r="E11" s="55">
        <f t="shared" si="5"/>
        <v>18.662085000000001</v>
      </c>
      <c r="F11" s="55">
        <f t="shared" si="1"/>
        <v>64.77</v>
      </c>
      <c r="G11" s="55">
        <f t="shared" si="2"/>
        <v>38.734999999999999</v>
      </c>
      <c r="H11" s="55">
        <f t="shared" si="3"/>
        <v>21.59</v>
      </c>
      <c r="I11" s="55">
        <f t="shared" si="4"/>
        <v>27.94</v>
      </c>
      <c r="J11" s="55">
        <f t="shared" si="6"/>
        <v>-13.97</v>
      </c>
      <c r="K11" s="55">
        <f t="shared" si="7"/>
        <v>13.97</v>
      </c>
      <c r="L11" s="54" t="s">
        <v>220</v>
      </c>
      <c r="M11" s="55">
        <v>6</v>
      </c>
      <c r="N11" s="55">
        <v>50</v>
      </c>
      <c r="O11" s="55">
        <v>46.5</v>
      </c>
      <c r="P11" s="55">
        <v>37.5</v>
      </c>
      <c r="Q11" s="55">
        <v>11</v>
      </c>
      <c r="R11" s="55">
        <v>8.5</v>
      </c>
      <c r="S11" s="55">
        <v>25.5</v>
      </c>
      <c r="T11" s="55">
        <v>15.25</v>
      </c>
      <c r="U11" s="55">
        <v>24.5</v>
      </c>
      <c r="V11" s="55">
        <v>7.5</v>
      </c>
      <c r="W11" s="54" t="s">
        <v>222</v>
      </c>
      <c r="X11" s="54" t="s">
        <v>222</v>
      </c>
    </row>
    <row r="12" spans="1:26">
      <c r="A12" s="54">
        <v>2</v>
      </c>
      <c r="B12" s="54" t="s">
        <v>230</v>
      </c>
      <c r="C12" s="55">
        <f t="shared" si="0"/>
        <v>130.81</v>
      </c>
      <c r="D12" s="55">
        <v>0</v>
      </c>
      <c r="E12" s="55">
        <f t="shared" si="5"/>
        <v>25.007193900000001</v>
      </c>
      <c r="F12" s="55">
        <f t="shared" si="1"/>
        <v>69.215000000000003</v>
      </c>
      <c r="G12" s="55">
        <f t="shared" si="2"/>
        <v>41.910000000000004</v>
      </c>
      <c r="H12" s="55">
        <f t="shared" si="3"/>
        <v>26.035</v>
      </c>
      <c r="I12" s="55">
        <f t="shared" si="4"/>
        <v>31.75</v>
      </c>
      <c r="J12" s="55">
        <f t="shared" si="6"/>
        <v>-15.875</v>
      </c>
      <c r="K12" s="55">
        <f t="shared" si="7"/>
        <v>15.875</v>
      </c>
      <c r="L12" s="54" t="s">
        <v>220</v>
      </c>
      <c r="M12" s="55">
        <v>6</v>
      </c>
      <c r="N12" s="55">
        <v>67</v>
      </c>
      <c r="O12" s="55">
        <v>51.5</v>
      </c>
      <c r="P12" s="55">
        <v>42.5</v>
      </c>
      <c r="Q12" s="55">
        <v>12.5</v>
      </c>
      <c r="R12" s="55">
        <v>10.25</v>
      </c>
      <c r="S12" s="55">
        <v>27.25</v>
      </c>
      <c r="T12" s="55">
        <v>16.5</v>
      </c>
      <c r="U12" s="55">
        <v>26.5</v>
      </c>
      <c r="V12" s="55">
        <v>9.25</v>
      </c>
      <c r="W12" s="54" t="s">
        <v>225</v>
      </c>
      <c r="X12" s="54" t="s">
        <v>222</v>
      </c>
      <c r="Y12" s="2" t="s">
        <v>231</v>
      </c>
      <c r="Z12" s="2" t="s">
        <v>232</v>
      </c>
    </row>
    <row r="14" spans="1:26">
      <c r="B14" s="2" t="s">
        <v>390</v>
      </c>
      <c r="C14" s="3">
        <f>IF(C2&lt;'GPS Anthro Tool'!$B$14,C2,0)</f>
        <v>0</v>
      </c>
      <c r="D14" s="3">
        <f>IF($C14=0,0,IF($E2&gt;'GPS Anthro Tool'!$B$16,0,D2))</f>
        <v>0</v>
      </c>
      <c r="E14" s="3">
        <f>IF($C14=0,0,IF($E2&gt;'GPS Anthro Tool'!$B$16,0,E2))</f>
        <v>0</v>
      </c>
      <c r="F14" s="3">
        <f>IF($C14=0,0,IF($E2&gt;'GPS Anthro Tool'!$B$16,0,F2))</f>
        <v>0</v>
      </c>
      <c r="G14" s="3">
        <f>IF($C14=0,0,IF($E2&gt;'GPS Anthro Tool'!$B$16,0,G2))</f>
        <v>0</v>
      </c>
      <c r="H14" s="3">
        <f>IF($C14=0,0,IF($E2&gt;'GPS Anthro Tool'!$B$16,0,H2))</f>
        <v>0</v>
      </c>
      <c r="I14" s="3">
        <f>IF($C14=0,0,IF($E2&gt;'GPS Anthro Tool'!$B$16,0,I2))</f>
        <v>0</v>
      </c>
      <c r="J14" s="3">
        <f>IF($C14=0,0,IF($E2&gt;'GPS Anthro Tool'!$B$16,0,J2))</f>
        <v>0</v>
      </c>
      <c r="K14" s="3">
        <f>IF($C14=0,0,IF($E2&gt;'GPS Anthro Tool'!$B$16,0,K2))</f>
        <v>0</v>
      </c>
      <c r="L14" s="3">
        <f>IF($C14=0,0,IF($E2&gt;'GPS Anthro Tool'!$B$16,0,L2))</f>
        <v>0</v>
      </c>
      <c r="M14" s="3">
        <f>IF($C14=0,0,IF($E2&gt;'GPS Anthro Tool'!$B$16,0,M2))</f>
        <v>0</v>
      </c>
      <c r="N14" s="3">
        <f>IF($C14=0,0,IF($E2&gt;'GPS Anthro Tool'!$B$16,0,N2))</f>
        <v>0</v>
      </c>
      <c r="O14" s="3">
        <f>IF($C14=0,0,IF($E2&gt;'GPS Anthro Tool'!$B$16,0,O2))</f>
        <v>0</v>
      </c>
      <c r="P14" s="3">
        <f>IF($C14=0,0,IF($E2&gt;'GPS Anthro Tool'!$B$16,0,P2))</f>
        <v>0</v>
      </c>
      <c r="Q14" s="3">
        <f>IF($C14=0,0,IF($E2&gt;'GPS Anthro Tool'!$B$16,0,Q2))</f>
        <v>0</v>
      </c>
      <c r="R14" s="3">
        <f>IF($C14=0,0,IF($E2&gt;'GPS Anthro Tool'!$B$16,0,R2))</f>
        <v>0</v>
      </c>
      <c r="S14" s="3">
        <f>IF($C14=0,0,IF($E2&gt;'GPS Anthro Tool'!$B$16,0,S2))</f>
        <v>0</v>
      </c>
      <c r="T14" s="3">
        <f>IF($C14=0,0,IF($E2&gt;'GPS Anthro Tool'!$B$16,0,T2))</f>
        <v>0</v>
      </c>
      <c r="U14" s="3">
        <f>IF($C14=0,0,IF($E2&gt;'GPS Anthro Tool'!$B$16,0,U2))</f>
        <v>0</v>
      </c>
      <c r="V14" s="3">
        <f>IF($C14=0,0,IF($E2&gt;'GPS Anthro Tool'!$B$16,0,V2))</f>
        <v>0</v>
      </c>
    </row>
    <row r="15" spans="1:26">
      <c r="B15" s="54" t="s">
        <v>218</v>
      </c>
      <c r="C15" s="3">
        <f>IF(C3&lt;'GPS Anthro Tool'!$B$14,C3,0)</f>
        <v>0</v>
      </c>
      <c r="D15" s="3">
        <f>IF($C15=0,0,IF($E3&gt;'GPS Anthro Tool'!$B$16,0,D3))</f>
        <v>0</v>
      </c>
      <c r="E15" s="3">
        <f>IF($C15=0,0,IF($E3&gt;'GPS Anthro Tool'!$B$16,0,E3))</f>
        <v>0</v>
      </c>
      <c r="F15" s="3">
        <f>IF($C15=0,0,IF($E3&gt;'GPS Anthro Tool'!$B$16,0,F3))</f>
        <v>0</v>
      </c>
      <c r="G15" s="3">
        <f>IF($C15=0,0,IF($E3&gt;'GPS Anthro Tool'!$B$16,0,G3))</f>
        <v>0</v>
      </c>
      <c r="H15" s="3">
        <f>IF($C15=0,0,IF($E3&gt;'GPS Anthro Tool'!$B$16,0,H3))</f>
        <v>0</v>
      </c>
      <c r="I15" s="3">
        <f>IF($C15=0,0,IF($E3&gt;'GPS Anthro Tool'!$B$16,0,I3))</f>
        <v>0</v>
      </c>
      <c r="J15" s="3">
        <f>IF($C15=0,0,IF($E3&gt;'GPS Anthro Tool'!$B$16,0,J3))</f>
        <v>0</v>
      </c>
      <c r="K15" s="3">
        <f>IF($C15=0,0,IF($E3&gt;'GPS Anthro Tool'!$B$16,0,K3))</f>
        <v>0</v>
      </c>
      <c r="L15" s="3">
        <f>IF($C15=0,0,IF($E3&gt;'GPS Anthro Tool'!$B$16,0,L3))</f>
        <v>0</v>
      </c>
      <c r="M15" s="3">
        <f>IF($C15=0,0,IF($E3&gt;'GPS Anthro Tool'!$B$16,0,M3))</f>
        <v>0</v>
      </c>
      <c r="N15" s="3">
        <f>IF($C15=0,0,IF($E3&gt;'GPS Anthro Tool'!$B$16,0,N3))</f>
        <v>0</v>
      </c>
      <c r="O15" s="3">
        <f>IF($C15=0,0,IF($E3&gt;'GPS Anthro Tool'!$B$16,0,O3))</f>
        <v>0</v>
      </c>
      <c r="P15" s="3">
        <f>IF($C15=0,0,IF($E3&gt;'GPS Anthro Tool'!$B$16,0,P3))</f>
        <v>0</v>
      </c>
      <c r="Q15" s="3">
        <f>IF($C15=0,0,IF($E3&gt;'GPS Anthro Tool'!$B$16,0,Q3))</f>
        <v>0</v>
      </c>
      <c r="R15" s="3">
        <f>IF($C15=0,0,IF($E3&gt;'GPS Anthro Tool'!$B$16,0,R3))</f>
        <v>0</v>
      </c>
      <c r="S15" s="3">
        <f>IF($C15=0,0,IF($E3&gt;'GPS Anthro Tool'!$B$16,0,S3))</f>
        <v>0</v>
      </c>
      <c r="T15" s="3">
        <f>IF($C15=0,0,IF($E3&gt;'GPS Anthro Tool'!$B$16,0,T3))</f>
        <v>0</v>
      </c>
      <c r="U15" s="3">
        <f>IF($C15=0,0,IF($E3&gt;'GPS Anthro Tool'!$B$16,0,U3))</f>
        <v>0</v>
      </c>
      <c r="V15" s="3">
        <f>IF($C15=0,0,IF($E3&gt;'GPS Anthro Tool'!$B$16,0,V3))</f>
        <v>0</v>
      </c>
    </row>
    <row r="16" spans="1:26">
      <c r="B16" s="54" t="s">
        <v>219</v>
      </c>
      <c r="C16" s="3">
        <f>IF(C4&lt;'GPS Anthro Tool'!$B$14,C4,0)</f>
        <v>0</v>
      </c>
      <c r="D16" s="3">
        <f>IF($C16=0,0,IF($E4&gt;'GPS Anthro Tool'!$B$16,0,D4))</f>
        <v>0</v>
      </c>
      <c r="E16" s="3">
        <f>IF($C16=0,0,IF($E4&gt;'GPS Anthro Tool'!$B$16,0,E4))</f>
        <v>0</v>
      </c>
      <c r="F16" s="3">
        <f>IF($C16=0,0,IF($E4&gt;'GPS Anthro Tool'!$B$16,0,F4))</f>
        <v>0</v>
      </c>
      <c r="G16" s="3">
        <f>IF($C16=0,0,IF($E4&gt;'GPS Anthro Tool'!$B$16,0,G4))</f>
        <v>0</v>
      </c>
      <c r="H16" s="3">
        <f>IF($C16=0,0,IF($E4&gt;'GPS Anthro Tool'!$B$16,0,H4))</f>
        <v>0</v>
      </c>
      <c r="I16" s="3">
        <f>IF($C16=0,0,IF($E4&gt;'GPS Anthro Tool'!$B$16,0,I4))</f>
        <v>0</v>
      </c>
      <c r="J16" s="3">
        <f>IF($C16=0,0,IF($E4&gt;'GPS Anthro Tool'!$B$16,0,J4))</f>
        <v>0</v>
      </c>
      <c r="K16" s="3">
        <f>IF($C16=0,0,IF($E4&gt;'GPS Anthro Tool'!$B$16,0,K4))</f>
        <v>0</v>
      </c>
      <c r="L16" s="3">
        <f>IF($C16=0,0,IF($E4&gt;'GPS Anthro Tool'!$B$16,0,L4))</f>
        <v>0</v>
      </c>
      <c r="M16" s="3">
        <f>IF($C16=0,0,IF($E4&gt;'GPS Anthro Tool'!$B$16,0,M4))</f>
        <v>0</v>
      </c>
      <c r="N16" s="3">
        <f>IF($C16=0,0,IF($E4&gt;'GPS Anthro Tool'!$B$16,0,N4))</f>
        <v>0</v>
      </c>
      <c r="O16" s="3">
        <f>IF($C16=0,0,IF($E4&gt;'GPS Anthro Tool'!$B$16,0,O4))</f>
        <v>0</v>
      </c>
      <c r="P16" s="3">
        <f>IF($C16=0,0,IF($E4&gt;'GPS Anthro Tool'!$B$16,0,P4))</f>
        <v>0</v>
      </c>
      <c r="Q16" s="3">
        <f>IF($C16=0,0,IF($E4&gt;'GPS Anthro Tool'!$B$16,0,Q4))</f>
        <v>0</v>
      </c>
      <c r="R16" s="3">
        <f>IF($C16=0,0,IF($E4&gt;'GPS Anthro Tool'!$B$16,0,R4))</f>
        <v>0</v>
      </c>
      <c r="S16" s="3">
        <f>IF($C16=0,0,IF($E4&gt;'GPS Anthro Tool'!$B$16,0,S4))</f>
        <v>0</v>
      </c>
      <c r="T16" s="3">
        <f>IF($C16=0,0,IF($E4&gt;'GPS Anthro Tool'!$B$16,0,T4))</f>
        <v>0</v>
      </c>
      <c r="U16" s="3">
        <f>IF($C16=0,0,IF($E4&gt;'GPS Anthro Tool'!$B$16,0,U4))</f>
        <v>0</v>
      </c>
      <c r="V16" s="3">
        <f>IF($C16=0,0,IF($E4&gt;'GPS Anthro Tool'!$B$16,0,V4))</f>
        <v>0</v>
      </c>
    </row>
    <row r="17" spans="2:22">
      <c r="B17" s="54" t="s">
        <v>221</v>
      </c>
      <c r="C17" s="3">
        <f>IF(C5&lt;'GPS Anthro Tool'!$B$14,C5,0)</f>
        <v>0</v>
      </c>
      <c r="D17" s="3">
        <f>IF($C17=0,0,IF($E5&gt;'GPS Anthro Tool'!$B$16,0,D5))</f>
        <v>0</v>
      </c>
      <c r="E17" s="3">
        <f>IF($C17=0,0,IF($E5&gt;'GPS Anthro Tool'!$B$16,0,E5))</f>
        <v>0</v>
      </c>
      <c r="F17" s="3">
        <f>IF($C17=0,0,IF($E5&gt;'GPS Anthro Tool'!$B$16,0,F5))</f>
        <v>0</v>
      </c>
      <c r="G17" s="3">
        <f>IF($C17=0,0,IF($E5&gt;'GPS Anthro Tool'!$B$16,0,G5))</f>
        <v>0</v>
      </c>
      <c r="H17" s="3">
        <f>IF($C17=0,0,IF($E5&gt;'GPS Anthro Tool'!$B$16,0,H5))</f>
        <v>0</v>
      </c>
      <c r="I17" s="3">
        <f>IF($C17=0,0,IF($E5&gt;'GPS Anthro Tool'!$B$16,0,I5))</f>
        <v>0</v>
      </c>
      <c r="J17" s="3">
        <f>IF($C17=0,0,IF($E5&gt;'GPS Anthro Tool'!$B$16,0,J5))</f>
        <v>0</v>
      </c>
      <c r="K17" s="3">
        <f>IF($C17=0,0,IF($E5&gt;'GPS Anthro Tool'!$B$16,0,K5))</f>
        <v>0</v>
      </c>
      <c r="L17" s="3">
        <f>IF($C17=0,0,IF($E5&gt;'GPS Anthro Tool'!$B$16,0,L5))</f>
        <v>0</v>
      </c>
      <c r="M17" s="3">
        <f>IF($C17=0,0,IF($E5&gt;'GPS Anthro Tool'!$B$16,0,M5))</f>
        <v>0</v>
      </c>
      <c r="N17" s="3">
        <f>IF($C17=0,0,IF($E5&gt;'GPS Anthro Tool'!$B$16,0,N5))</f>
        <v>0</v>
      </c>
      <c r="O17" s="3">
        <f>IF($C17=0,0,IF($E5&gt;'GPS Anthro Tool'!$B$16,0,O5))</f>
        <v>0</v>
      </c>
      <c r="P17" s="3">
        <f>IF($C17=0,0,IF($E5&gt;'GPS Anthro Tool'!$B$16,0,P5))</f>
        <v>0</v>
      </c>
      <c r="Q17" s="3">
        <f>IF($C17=0,0,IF($E5&gt;'GPS Anthro Tool'!$B$16,0,Q5))</f>
        <v>0</v>
      </c>
      <c r="R17" s="3">
        <f>IF($C17=0,0,IF($E5&gt;'GPS Anthro Tool'!$B$16,0,R5))</f>
        <v>0</v>
      </c>
      <c r="S17" s="3">
        <f>IF($C17=0,0,IF($E5&gt;'GPS Anthro Tool'!$B$16,0,S5))</f>
        <v>0</v>
      </c>
      <c r="T17" s="3">
        <f>IF($C17=0,0,IF($E5&gt;'GPS Anthro Tool'!$B$16,0,T5))</f>
        <v>0</v>
      </c>
      <c r="U17" s="3">
        <f>IF($C17=0,0,IF($E5&gt;'GPS Anthro Tool'!$B$16,0,U5))</f>
        <v>0</v>
      </c>
      <c r="V17" s="3">
        <f>IF($C17=0,0,IF($E5&gt;'GPS Anthro Tool'!$B$16,0,V5))</f>
        <v>0</v>
      </c>
    </row>
    <row r="18" spans="2:22">
      <c r="B18" s="54" t="s">
        <v>223</v>
      </c>
      <c r="C18" s="3">
        <f>IF(C6&lt;'GPS Anthro Tool'!$B$14,C6,0)</f>
        <v>0</v>
      </c>
      <c r="D18" s="3">
        <f>IF($C18=0,0,IF($E6&gt;'GPS Anthro Tool'!$B$16,0,D6))</f>
        <v>0</v>
      </c>
      <c r="E18" s="3">
        <f>IF($C18=0,0,IF($E6&gt;'GPS Anthro Tool'!$B$16,0,E6))</f>
        <v>0</v>
      </c>
      <c r="F18" s="3">
        <f>IF($C18=0,0,IF($E6&gt;'GPS Anthro Tool'!$B$16,0,F6))</f>
        <v>0</v>
      </c>
      <c r="G18" s="3">
        <f>IF($C18=0,0,IF($E6&gt;'GPS Anthro Tool'!$B$16,0,G6))</f>
        <v>0</v>
      </c>
      <c r="H18" s="3">
        <f>IF($C18=0,0,IF($E6&gt;'GPS Anthro Tool'!$B$16,0,H6))</f>
        <v>0</v>
      </c>
      <c r="I18" s="3">
        <f>IF($C18=0,0,IF($E6&gt;'GPS Anthro Tool'!$B$16,0,I6))</f>
        <v>0</v>
      </c>
      <c r="J18" s="3">
        <f>IF($C18=0,0,IF($E6&gt;'GPS Anthro Tool'!$B$16,0,J6))</f>
        <v>0</v>
      </c>
      <c r="K18" s="3">
        <f>IF($C18=0,0,IF($E6&gt;'GPS Anthro Tool'!$B$16,0,K6))</f>
        <v>0</v>
      </c>
      <c r="L18" s="3">
        <f>IF($C18=0,0,IF($E6&gt;'GPS Anthro Tool'!$B$16,0,L6))</f>
        <v>0</v>
      </c>
      <c r="M18" s="3">
        <f>IF($C18=0,0,IF($E6&gt;'GPS Anthro Tool'!$B$16,0,M6))</f>
        <v>0</v>
      </c>
      <c r="N18" s="3">
        <f>IF($C18=0,0,IF($E6&gt;'GPS Anthro Tool'!$B$16,0,N6))</f>
        <v>0</v>
      </c>
      <c r="O18" s="3">
        <f>IF($C18=0,0,IF($E6&gt;'GPS Anthro Tool'!$B$16,0,O6))</f>
        <v>0</v>
      </c>
      <c r="P18" s="3">
        <f>IF($C18=0,0,IF($E6&gt;'GPS Anthro Tool'!$B$16,0,P6))</f>
        <v>0</v>
      </c>
      <c r="Q18" s="3">
        <f>IF($C18=0,0,IF($E6&gt;'GPS Anthro Tool'!$B$16,0,Q6))</f>
        <v>0</v>
      </c>
      <c r="R18" s="3">
        <f>IF($C18=0,0,IF($E6&gt;'GPS Anthro Tool'!$B$16,0,R6))</f>
        <v>0</v>
      </c>
      <c r="S18" s="3">
        <f>IF($C18=0,0,IF($E6&gt;'GPS Anthro Tool'!$B$16,0,S6))</f>
        <v>0</v>
      </c>
      <c r="T18" s="3">
        <f>IF($C18=0,0,IF($E6&gt;'GPS Anthro Tool'!$B$16,0,T6))</f>
        <v>0</v>
      </c>
      <c r="U18" s="3">
        <f>IF($C18=0,0,IF($E6&gt;'GPS Anthro Tool'!$B$16,0,U6))</f>
        <v>0</v>
      </c>
      <c r="V18" s="3">
        <f>IF($C18=0,0,IF($E6&gt;'GPS Anthro Tool'!$B$16,0,V6))</f>
        <v>0</v>
      </c>
    </row>
    <row r="19" spans="2:22">
      <c r="B19" s="54" t="s">
        <v>224</v>
      </c>
      <c r="C19" s="3">
        <f>IF(C7&lt;'GPS Anthro Tool'!$B$14,C7,0)</f>
        <v>0</v>
      </c>
      <c r="D19" s="3">
        <f>IF($C19=0,0,IF($E7&gt;'GPS Anthro Tool'!$B$16,0,D7))</f>
        <v>0</v>
      </c>
      <c r="E19" s="3">
        <f>IF($C19=0,0,IF($E7&gt;'GPS Anthro Tool'!$B$16,0,E7))</f>
        <v>0</v>
      </c>
      <c r="F19" s="3">
        <f>IF($C19=0,0,IF($E7&gt;'GPS Anthro Tool'!$B$16,0,F7))</f>
        <v>0</v>
      </c>
      <c r="G19" s="3">
        <f>IF($C19=0,0,IF($E7&gt;'GPS Anthro Tool'!$B$16,0,G7))</f>
        <v>0</v>
      </c>
      <c r="H19" s="3">
        <f>IF($C19=0,0,IF($E7&gt;'GPS Anthro Tool'!$B$16,0,H7))</f>
        <v>0</v>
      </c>
      <c r="I19" s="3">
        <f>IF($C19=0,0,IF($E7&gt;'GPS Anthro Tool'!$B$16,0,I7))</f>
        <v>0</v>
      </c>
      <c r="J19" s="3">
        <f>IF($C19=0,0,IF($E7&gt;'GPS Anthro Tool'!$B$16,0,J7))</f>
        <v>0</v>
      </c>
      <c r="K19" s="3">
        <f>IF($C19=0,0,IF($E7&gt;'GPS Anthro Tool'!$B$16,0,K7))</f>
        <v>0</v>
      </c>
      <c r="L19" s="3">
        <f>IF($C19=0,0,IF($E7&gt;'GPS Anthro Tool'!$B$16,0,L7))</f>
        <v>0</v>
      </c>
      <c r="M19" s="3">
        <f>IF($C19=0,0,IF($E7&gt;'GPS Anthro Tool'!$B$16,0,M7))</f>
        <v>0</v>
      </c>
      <c r="N19" s="3">
        <f>IF($C19=0,0,IF($E7&gt;'GPS Anthro Tool'!$B$16,0,N7))</f>
        <v>0</v>
      </c>
      <c r="O19" s="3">
        <f>IF($C19=0,0,IF($E7&gt;'GPS Anthro Tool'!$B$16,0,O7))</f>
        <v>0</v>
      </c>
      <c r="P19" s="3">
        <f>IF($C19=0,0,IF($E7&gt;'GPS Anthro Tool'!$B$16,0,P7))</f>
        <v>0</v>
      </c>
      <c r="Q19" s="3">
        <f>IF($C19=0,0,IF($E7&gt;'GPS Anthro Tool'!$B$16,0,Q7))</f>
        <v>0</v>
      </c>
      <c r="R19" s="3">
        <f>IF($C19=0,0,IF($E7&gt;'GPS Anthro Tool'!$B$16,0,R7))</f>
        <v>0</v>
      </c>
      <c r="S19" s="3">
        <f>IF($C19=0,0,IF($E7&gt;'GPS Anthro Tool'!$B$16,0,S7))</f>
        <v>0</v>
      </c>
      <c r="T19" s="3">
        <f>IF($C19=0,0,IF($E7&gt;'GPS Anthro Tool'!$B$16,0,T7))</f>
        <v>0</v>
      </c>
      <c r="U19" s="3">
        <f>IF($C19=0,0,IF($E7&gt;'GPS Anthro Tool'!$B$16,0,U7))</f>
        <v>0</v>
      </c>
      <c r="V19" s="3">
        <f>IF($C19=0,0,IF($E7&gt;'GPS Anthro Tool'!$B$16,0,V7))</f>
        <v>0</v>
      </c>
    </row>
    <row r="20" spans="2:22">
      <c r="B20" s="54" t="s">
        <v>226</v>
      </c>
      <c r="C20" s="3">
        <f>IF(C8&lt;'GPS Anthro Tool'!$B$14,C8,0)</f>
        <v>0</v>
      </c>
      <c r="D20" s="3">
        <f>IF($C20=0,0,IF($E8&gt;'GPS Anthro Tool'!$B$16,0,D8))</f>
        <v>0</v>
      </c>
      <c r="E20" s="3">
        <f>IF($C20=0,0,IF($E8&gt;'GPS Anthro Tool'!$B$16,0,E8))</f>
        <v>0</v>
      </c>
      <c r="F20" s="3">
        <f>IF($C20=0,0,IF($E8&gt;'GPS Anthro Tool'!$B$16,0,F8))</f>
        <v>0</v>
      </c>
      <c r="G20" s="3">
        <f>IF($C20=0,0,IF($E8&gt;'GPS Anthro Tool'!$B$16,0,G8))</f>
        <v>0</v>
      </c>
      <c r="H20" s="3">
        <f>IF($C20=0,0,IF($E8&gt;'GPS Anthro Tool'!$B$16,0,H8))</f>
        <v>0</v>
      </c>
      <c r="I20" s="3">
        <f>IF($C20=0,0,IF($E8&gt;'GPS Anthro Tool'!$B$16,0,I8))</f>
        <v>0</v>
      </c>
      <c r="J20" s="3">
        <f>IF($C20=0,0,IF($E8&gt;'GPS Anthro Tool'!$B$16,0,J8))</f>
        <v>0</v>
      </c>
      <c r="K20" s="3">
        <f>IF($C20=0,0,IF($E8&gt;'GPS Anthro Tool'!$B$16,0,K8))</f>
        <v>0</v>
      </c>
      <c r="L20" s="3">
        <f>IF($C20=0,0,IF($E8&gt;'GPS Anthro Tool'!$B$16,0,L8))</f>
        <v>0</v>
      </c>
      <c r="M20" s="3">
        <f>IF($C20=0,0,IF($E8&gt;'GPS Anthro Tool'!$B$16,0,M8))</f>
        <v>0</v>
      </c>
      <c r="N20" s="3">
        <f>IF($C20=0,0,IF($E8&gt;'GPS Anthro Tool'!$B$16,0,N8))</f>
        <v>0</v>
      </c>
      <c r="O20" s="3">
        <f>IF($C20=0,0,IF($E8&gt;'GPS Anthro Tool'!$B$16,0,O8))</f>
        <v>0</v>
      </c>
      <c r="P20" s="3">
        <f>IF($C20=0,0,IF($E8&gt;'GPS Anthro Tool'!$B$16,0,P8))</f>
        <v>0</v>
      </c>
      <c r="Q20" s="3">
        <f>IF($C20=0,0,IF($E8&gt;'GPS Anthro Tool'!$B$16,0,Q8))</f>
        <v>0</v>
      </c>
      <c r="R20" s="3">
        <f>IF($C20=0,0,IF($E8&gt;'GPS Anthro Tool'!$B$16,0,R8))</f>
        <v>0</v>
      </c>
      <c r="S20" s="3">
        <f>IF($C20=0,0,IF($E8&gt;'GPS Anthro Tool'!$B$16,0,S8))</f>
        <v>0</v>
      </c>
      <c r="T20" s="3">
        <f>IF($C20=0,0,IF($E8&gt;'GPS Anthro Tool'!$B$16,0,T8))</f>
        <v>0</v>
      </c>
      <c r="U20" s="3">
        <f>IF($C20=0,0,IF($E8&gt;'GPS Anthro Tool'!$B$16,0,U8))</f>
        <v>0</v>
      </c>
      <c r="V20" s="3">
        <f>IF($C20=0,0,IF($E8&gt;'GPS Anthro Tool'!$B$16,0,V8))</f>
        <v>0</v>
      </c>
    </row>
    <row r="21" spans="2:22">
      <c r="B21" s="54" t="s">
        <v>227</v>
      </c>
      <c r="C21" s="3">
        <f>IF(C9&lt;'GPS Anthro Tool'!$B$14,C9,0)</f>
        <v>0</v>
      </c>
      <c r="D21" s="3">
        <f>IF($C21=0,0,IF($E9&gt;'GPS Anthro Tool'!$B$16,0,D9))</f>
        <v>0</v>
      </c>
      <c r="E21" s="3">
        <f>IF($C21=0,0,IF($E9&gt;'GPS Anthro Tool'!$B$16,0,E9))</f>
        <v>0</v>
      </c>
      <c r="F21" s="3">
        <f>IF($C21=0,0,IF($E9&gt;'GPS Anthro Tool'!$B$16,0,F9))</f>
        <v>0</v>
      </c>
      <c r="G21" s="3">
        <f>IF($C21=0,0,IF($E9&gt;'GPS Anthro Tool'!$B$16,0,G9))</f>
        <v>0</v>
      </c>
      <c r="H21" s="3">
        <f>IF($C21=0,0,IF($E9&gt;'GPS Anthro Tool'!$B$16,0,H9))</f>
        <v>0</v>
      </c>
      <c r="I21" s="3">
        <f>IF($C21=0,0,IF($E9&gt;'GPS Anthro Tool'!$B$16,0,I9))</f>
        <v>0</v>
      </c>
      <c r="J21" s="3">
        <f>IF($C21=0,0,IF($E9&gt;'GPS Anthro Tool'!$B$16,0,J9))</f>
        <v>0</v>
      </c>
      <c r="K21" s="3">
        <f>IF($C21=0,0,IF($E9&gt;'GPS Anthro Tool'!$B$16,0,K9))</f>
        <v>0</v>
      </c>
      <c r="L21" s="3">
        <f>IF($C21=0,0,IF($E9&gt;'GPS Anthro Tool'!$B$16,0,L9))</f>
        <v>0</v>
      </c>
      <c r="M21" s="3">
        <f>IF($C21=0,0,IF($E9&gt;'GPS Anthro Tool'!$B$16,0,M9))</f>
        <v>0</v>
      </c>
      <c r="N21" s="3">
        <f>IF($C21=0,0,IF($E9&gt;'GPS Anthro Tool'!$B$16,0,N9))</f>
        <v>0</v>
      </c>
      <c r="O21" s="3">
        <f>IF($C21=0,0,IF($E9&gt;'GPS Anthro Tool'!$B$16,0,O9))</f>
        <v>0</v>
      </c>
      <c r="P21" s="3">
        <f>IF($C21=0,0,IF($E9&gt;'GPS Anthro Tool'!$B$16,0,P9))</f>
        <v>0</v>
      </c>
      <c r="Q21" s="3">
        <f>IF($C21=0,0,IF($E9&gt;'GPS Anthro Tool'!$B$16,0,Q9))</f>
        <v>0</v>
      </c>
      <c r="R21" s="3">
        <f>IF($C21=0,0,IF($E9&gt;'GPS Anthro Tool'!$B$16,0,R9))</f>
        <v>0</v>
      </c>
      <c r="S21" s="3">
        <f>IF($C21=0,0,IF($E9&gt;'GPS Anthro Tool'!$B$16,0,S9))</f>
        <v>0</v>
      </c>
      <c r="T21" s="3">
        <f>IF($C21=0,0,IF($E9&gt;'GPS Anthro Tool'!$B$16,0,T9))</f>
        <v>0</v>
      </c>
      <c r="U21" s="3">
        <f>IF($C21=0,0,IF($E9&gt;'GPS Anthro Tool'!$B$16,0,U9))</f>
        <v>0</v>
      </c>
      <c r="V21" s="3">
        <f>IF($C21=0,0,IF($E9&gt;'GPS Anthro Tool'!$B$16,0,V9))</f>
        <v>0</v>
      </c>
    </row>
    <row r="22" spans="2:22">
      <c r="B22" s="54" t="s">
        <v>228</v>
      </c>
      <c r="C22" s="3">
        <f>IF(C10&lt;'GPS Anthro Tool'!$B$14,C10,0)</f>
        <v>0</v>
      </c>
      <c r="D22" s="3">
        <f>IF($C22=0,0,IF($E10&gt;'GPS Anthro Tool'!$B$16,0,D10))</f>
        <v>0</v>
      </c>
      <c r="E22" s="3">
        <f>IF($C22=0,0,IF($E10&gt;'GPS Anthro Tool'!$B$16,0,E10))</f>
        <v>0</v>
      </c>
      <c r="F22" s="3">
        <f>IF($C22=0,0,IF($E10&gt;'GPS Anthro Tool'!$B$16,0,F10))</f>
        <v>0</v>
      </c>
      <c r="G22" s="3">
        <f>IF($C22=0,0,IF($E10&gt;'GPS Anthro Tool'!$B$16,0,G10))</f>
        <v>0</v>
      </c>
      <c r="H22" s="3">
        <f>IF($C22=0,0,IF($E10&gt;'GPS Anthro Tool'!$B$16,0,H10))</f>
        <v>0</v>
      </c>
      <c r="I22" s="3">
        <f>IF($C22=0,0,IF($E10&gt;'GPS Anthro Tool'!$B$16,0,I10))</f>
        <v>0</v>
      </c>
      <c r="J22" s="3">
        <f>IF($C22=0,0,IF($E10&gt;'GPS Anthro Tool'!$B$16,0,J10))</f>
        <v>0</v>
      </c>
      <c r="K22" s="3">
        <f>IF($C22=0,0,IF($E10&gt;'GPS Anthro Tool'!$B$16,0,K10))</f>
        <v>0</v>
      </c>
      <c r="L22" s="3">
        <f>IF($C22=0,0,IF($E10&gt;'GPS Anthro Tool'!$B$16,0,L10))</f>
        <v>0</v>
      </c>
      <c r="M22" s="3">
        <f>IF($C22=0,0,IF($E10&gt;'GPS Anthro Tool'!$B$16,0,M10))</f>
        <v>0</v>
      </c>
      <c r="N22" s="3">
        <f>IF($C22=0,0,IF($E10&gt;'GPS Anthro Tool'!$B$16,0,N10))</f>
        <v>0</v>
      </c>
      <c r="O22" s="3">
        <f>IF($C22=0,0,IF($E10&gt;'GPS Anthro Tool'!$B$16,0,O10))</f>
        <v>0</v>
      </c>
      <c r="P22" s="3">
        <f>IF($C22=0,0,IF($E10&gt;'GPS Anthro Tool'!$B$16,0,P10))</f>
        <v>0</v>
      </c>
      <c r="Q22" s="3">
        <f>IF($C22=0,0,IF($E10&gt;'GPS Anthro Tool'!$B$16,0,Q10))</f>
        <v>0</v>
      </c>
      <c r="R22" s="3">
        <f>IF($C22=0,0,IF($E10&gt;'GPS Anthro Tool'!$B$16,0,R10))</f>
        <v>0</v>
      </c>
      <c r="S22" s="3">
        <f>IF($C22=0,0,IF($E10&gt;'GPS Anthro Tool'!$B$16,0,S10))</f>
        <v>0</v>
      </c>
      <c r="T22" s="3">
        <f>IF($C22=0,0,IF($E10&gt;'GPS Anthro Tool'!$B$16,0,T10))</f>
        <v>0</v>
      </c>
      <c r="U22" s="3">
        <f>IF($C22=0,0,IF($E10&gt;'GPS Anthro Tool'!$B$16,0,U10))</f>
        <v>0</v>
      </c>
      <c r="V22" s="3">
        <f>IF($C22=0,0,IF($E10&gt;'GPS Anthro Tool'!$B$16,0,V10))</f>
        <v>0</v>
      </c>
    </row>
    <row r="23" spans="2:22">
      <c r="B23" s="54" t="s">
        <v>229</v>
      </c>
      <c r="C23" s="3">
        <f>IF(C11&lt;'GPS Anthro Tool'!$B$14,C11,0)</f>
        <v>0</v>
      </c>
      <c r="D23" s="3">
        <f>IF($C23=0,0,IF($E11&gt;'GPS Anthro Tool'!$B$16,0,D11))</f>
        <v>0</v>
      </c>
      <c r="E23" s="3">
        <f>IF($C23=0,0,IF($E11&gt;'GPS Anthro Tool'!$B$16,0,E11))</f>
        <v>0</v>
      </c>
      <c r="F23" s="3">
        <f>IF($C23=0,0,IF($E11&gt;'GPS Anthro Tool'!$B$16,0,F11))</f>
        <v>0</v>
      </c>
      <c r="G23" s="3">
        <f>IF($C23=0,0,IF($E11&gt;'GPS Anthro Tool'!$B$16,0,G11))</f>
        <v>0</v>
      </c>
      <c r="H23" s="3">
        <f>IF($C23=0,0,IF($E11&gt;'GPS Anthro Tool'!$B$16,0,H11))</f>
        <v>0</v>
      </c>
      <c r="I23" s="3">
        <f>IF($C23=0,0,IF($E11&gt;'GPS Anthro Tool'!$B$16,0,I11))</f>
        <v>0</v>
      </c>
      <c r="J23" s="3">
        <f>IF($C23=0,0,IF($E11&gt;'GPS Anthro Tool'!$B$16,0,J11))</f>
        <v>0</v>
      </c>
      <c r="K23" s="3">
        <f>IF($C23=0,0,IF($E11&gt;'GPS Anthro Tool'!$B$16,0,K11))</f>
        <v>0</v>
      </c>
      <c r="L23" s="3">
        <f>IF($C23=0,0,IF($E11&gt;'GPS Anthro Tool'!$B$16,0,L11))</f>
        <v>0</v>
      </c>
      <c r="M23" s="3">
        <f>IF($C23=0,0,IF($E11&gt;'GPS Anthro Tool'!$B$16,0,M11))</f>
        <v>0</v>
      </c>
      <c r="N23" s="3">
        <f>IF($C23=0,0,IF($E11&gt;'GPS Anthro Tool'!$B$16,0,N11))</f>
        <v>0</v>
      </c>
      <c r="O23" s="3">
        <f>IF($C23=0,0,IF($E11&gt;'GPS Anthro Tool'!$B$16,0,O11))</f>
        <v>0</v>
      </c>
      <c r="P23" s="3">
        <f>IF($C23=0,0,IF($E11&gt;'GPS Anthro Tool'!$B$16,0,P11))</f>
        <v>0</v>
      </c>
      <c r="Q23" s="3">
        <f>IF($C23=0,0,IF($E11&gt;'GPS Anthro Tool'!$B$16,0,Q11))</f>
        <v>0</v>
      </c>
      <c r="R23" s="3">
        <f>IF($C23=0,0,IF($E11&gt;'GPS Anthro Tool'!$B$16,0,R11))</f>
        <v>0</v>
      </c>
      <c r="S23" s="3">
        <f>IF($C23=0,0,IF($E11&gt;'GPS Anthro Tool'!$B$16,0,S11))</f>
        <v>0</v>
      </c>
      <c r="T23" s="3">
        <f>IF($C23=0,0,IF($E11&gt;'GPS Anthro Tool'!$B$16,0,T11))</f>
        <v>0</v>
      </c>
      <c r="U23" s="3">
        <f>IF($C23=0,0,IF($E11&gt;'GPS Anthro Tool'!$B$16,0,U11))</f>
        <v>0</v>
      </c>
      <c r="V23" s="3">
        <f>IF($C23=0,0,IF($E11&gt;'GPS Anthro Tool'!$B$16,0,V11))</f>
        <v>0</v>
      </c>
    </row>
    <row r="24" spans="2:22">
      <c r="B24" s="54" t="s">
        <v>230</v>
      </c>
      <c r="C24" s="3">
        <f>IF(C12&lt;'GPS Anthro Tool'!$B$14,C12,0)</f>
        <v>0</v>
      </c>
      <c r="D24" s="3">
        <f>IF($C24=0,0,IF($E12&gt;'GPS Anthro Tool'!$B$16,0,D12))</f>
        <v>0</v>
      </c>
      <c r="E24" s="3">
        <f>IF($C24=0,0,IF($E12&gt;'GPS Anthro Tool'!$B$16,0,E12))</f>
        <v>0</v>
      </c>
      <c r="F24" s="3">
        <f>IF($C24=0,0,IF($E12&gt;'GPS Anthro Tool'!$B$16,0,F12))</f>
        <v>0</v>
      </c>
      <c r="G24" s="3">
        <f>IF($C24=0,0,IF($E12&gt;'GPS Anthro Tool'!$B$16,0,G12))</f>
        <v>0</v>
      </c>
      <c r="H24" s="3">
        <f>IF($C24=0,0,IF($E12&gt;'GPS Anthro Tool'!$B$16,0,H12))</f>
        <v>0</v>
      </c>
      <c r="I24" s="3">
        <f>IF($C24=0,0,IF($E12&gt;'GPS Anthro Tool'!$B$16,0,I12))</f>
        <v>0</v>
      </c>
      <c r="J24" s="3">
        <f>IF($C24=0,0,IF($E12&gt;'GPS Anthro Tool'!$B$16,0,J12))</f>
        <v>0</v>
      </c>
      <c r="K24" s="3">
        <f>IF($C24=0,0,IF($E12&gt;'GPS Anthro Tool'!$B$16,0,K12))</f>
        <v>0</v>
      </c>
      <c r="L24" s="3">
        <f>IF($C24=0,0,IF($E12&gt;'GPS Anthro Tool'!$B$16,0,L12))</f>
        <v>0</v>
      </c>
      <c r="M24" s="3">
        <f>IF($C24=0,0,IF($E12&gt;'GPS Anthro Tool'!$B$16,0,M12))</f>
        <v>0</v>
      </c>
      <c r="N24" s="3">
        <f>IF($C24=0,0,IF($E12&gt;'GPS Anthro Tool'!$B$16,0,N12))</f>
        <v>0</v>
      </c>
      <c r="O24" s="3">
        <f>IF($C24=0,0,IF($E12&gt;'GPS Anthro Tool'!$B$16,0,O12))</f>
        <v>0</v>
      </c>
      <c r="P24" s="3">
        <f>IF($C24=0,0,IF($E12&gt;'GPS Anthro Tool'!$B$16,0,P12))</f>
        <v>0</v>
      </c>
      <c r="Q24" s="3">
        <f>IF($C24=0,0,IF($E12&gt;'GPS Anthro Tool'!$B$16,0,Q12))</f>
        <v>0</v>
      </c>
      <c r="R24" s="3">
        <f>IF($C24=0,0,IF($E12&gt;'GPS Anthro Tool'!$B$16,0,R12))</f>
        <v>0</v>
      </c>
      <c r="S24" s="3">
        <f>IF($C24=0,0,IF($E12&gt;'GPS Anthro Tool'!$B$16,0,S12))</f>
        <v>0</v>
      </c>
      <c r="T24" s="3">
        <f>IF($C24=0,0,IF($E12&gt;'GPS Anthro Tool'!$B$16,0,T12))</f>
        <v>0</v>
      </c>
      <c r="U24" s="3">
        <f>IF($C24=0,0,IF($E12&gt;'GPS Anthro Tool'!$B$16,0,U12))</f>
        <v>0</v>
      </c>
      <c r="V24" s="3">
        <f>IF($C24=0,0,IF($E12&gt;'GPS Anthro Tool'!$B$16,0,V12))</f>
        <v>0</v>
      </c>
    </row>
  </sheetData>
  <phoneticPr fontId="10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B0F0"/>
  </sheetPr>
  <dimension ref="A1:CH96"/>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2.75"/>
  <cols>
    <col min="1" max="1" width="12.42578125" style="42" customWidth="1"/>
    <col min="2" max="2" width="3.7109375" style="42" customWidth="1"/>
    <col min="6" max="6" width="2.7109375" style="283" customWidth="1"/>
    <col min="10" max="10" width="2.7109375" style="283" customWidth="1"/>
    <col min="14" max="14" width="2.7109375" style="283" customWidth="1"/>
    <col min="18" max="18" width="2.7109375" style="283" customWidth="1"/>
    <col min="22" max="22" width="2.7109375" style="283" customWidth="1"/>
    <col min="26" max="26" width="2.7109375" style="283" customWidth="1"/>
    <col min="30" max="30" width="2.7109375" style="283" customWidth="1"/>
    <col min="34" max="34" width="2.7109375" style="283" customWidth="1"/>
    <col min="38" max="38" width="2.7109375" style="283" customWidth="1"/>
    <col min="42" max="42" width="2.7109375" style="283" customWidth="1"/>
    <col min="46" max="46" width="2.7109375" style="283" customWidth="1"/>
    <col min="50" max="50" width="2.7109375" style="283" customWidth="1"/>
    <col min="54" max="54" width="2.7109375" style="283" customWidth="1"/>
    <col min="62" max="62" width="1.7109375" customWidth="1"/>
    <col min="66" max="66" width="1.7109375" style="214" customWidth="1"/>
    <col min="70" max="70" width="1.7109375" customWidth="1"/>
    <col min="74" max="74" width="1.7109375" style="214" customWidth="1"/>
    <col min="78" max="78" width="1.7109375" customWidth="1"/>
    <col min="82" max="82" width="1.7109375" style="214" customWidth="1"/>
    <col min="86" max="86" width="1.7109375" customWidth="1"/>
  </cols>
  <sheetData>
    <row r="1" spans="1:86" s="147" customFormat="1" ht="59.1" customHeight="1">
      <c r="C1" s="788" t="s">
        <v>479</v>
      </c>
      <c r="D1" s="788"/>
      <c r="E1" s="788"/>
      <c r="F1" s="282"/>
      <c r="G1" s="788" t="s">
        <v>480</v>
      </c>
      <c r="H1" s="788"/>
      <c r="I1" s="788"/>
      <c r="J1" s="282"/>
      <c r="K1" s="788" t="s">
        <v>481</v>
      </c>
      <c r="L1" s="788"/>
      <c r="M1" s="788"/>
      <c r="N1" s="282"/>
      <c r="O1" s="788" t="s">
        <v>482</v>
      </c>
      <c r="P1" s="788"/>
      <c r="Q1" s="788"/>
      <c r="R1" s="282"/>
      <c r="S1" s="788" t="s">
        <v>483</v>
      </c>
      <c r="T1" s="788"/>
      <c r="U1" s="788"/>
      <c r="V1" s="282"/>
      <c r="W1" s="788" t="s">
        <v>484</v>
      </c>
      <c r="X1" s="788"/>
      <c r="Y1" s="788"/>
      <c r="Z1" s="282"/>
      <c r="AA1" s="790" t="s">
        <v>485</v>
      </c>
      <c r="AB1" s="790"/>
      <c r="AC1" s="790"/>
      <c r="AD1" s="282"/>
      <c r="AE1" s="790" t="s">
        <v>497</v>
      </c>
      <c r="AF1" s="790"/>
      <c r="AG1" s="790"/>
      <c r="AH1" s="282"/>
      <c r="AI1" s="789" t="s">
        <v>486</v>
      </c>
      <c r="AJ1" s="789"/>
      <c r="AK1" s="789"/>
      <c r="AL1" s="282"/>
      <c r="AM1" s="789" t="s">
        <v>487</v>
      </c>
      <c r="AN1" s="789"/>
      <c r="AO1" s="789"/>
      <c r="AP1" s="282"/>
      <c r="AQ1" s="788" t="s">
        <v>488</v>
      </c>
      <c r="AR1" s="788"/>
      <c r="AS1" s="788"/>
      <c r="AT1" s="282"/>
      <c r="AU1" s="789" t="s">
        <v>539</v>
      </c>
      <c r="AV1" s="789"/>
      <c r="AW1" s="789"/>
      <c r="AX1" s="282"/>
      <c r="AY1" s="789" t="s">
        <v>540</v>
      </c>
      <c r="AZ1" s="789"/>
      <c r="BA1" s="789"/>
      <c r="BB1" s="282"/>
      <c r="BC1" s="788" t="s">
        <v>541</v>
      </c>
      <c r="BD1" s="788"/>
      <c r="BE1" s="788"/>
      <c r="BF1" s="207"/>
      <c r="BG1" s="156" t="s">
        <v>499</v>
      </c>
      <c r="BH1" s="156" t="s">
        <v>500</v>
      </c>
      <c r="BI1" s="156" t="s">
        <v>501</v>
      </c>
      <c r="BJ1" s="205"/>
      <c r="BK1" s="156" t="s">
        <v>502</v>
      </c>
      <c r="BL1" s="156" t="s">
        <v>503</v>
      </c>
      <c r="BM1" s="156" t="s">
        <v>504</v>
      </c>
      <c r="BN1" s="205"/>
      <c r="BO1" s="156" t="s">
        <v>505</v>
      </c>
      <c r="BP1" s="156" t="s">
        <v>506</v>
      </c>
      <c r="BQ1" s="156" t="s">
        <v>507</v>
      </c>
      <c r="BR1" s="205"/>
      <c r="BS1" s="156" t="s">
        <v>508</v>
      </c>
      <c r="BT1" s="156" t="s">
        <v>509</v>
      </c>
      <c r="BU1" s="156" t="s">
        <v>510</v>
      </c>
      <c r="BV1" s="210"/>
      <c r="BW1" s="156" t="s">
        <v>511</v>
      </c>
      <c r="BX1" s="156" t="s">
        <v>512</v>
      </c>
      <c r="BY1" s="156" t="s">
        <v>513</v>
      </c>
      <c r="BZ1" s="210"/>
      <c r="CA1" s="156" t="s">
        <v>514</v>
      </c>
      <c r="CB1" s="156" t="s">
        <v>515</v>
      </c>
      <c r="CC1" s="156" t="s">
        <v>516</v>
      </c>
      <c r="CD1" s="210"/>
      <c r="CE1" s="156" t="s">
        <v>517</v>
      </c>
      <c r="CF1" s="156" t="s">
        <v>518</v>
      </c>
      <c r="CG1" s="156" t="s">
        <v>519</v>
      </c>
      <c r="CH1" s="210"/>
    </row>
    <row r="2" spans="1:86">
      <c r="A2" s="42" t="s">
        <v>204</v>
      </c>
      <c r="C2" s="42" t="s">
        <v>308</v>
      </c>
      <c r="D2" s="42" t="s">
        <v>435</v>
      </c>
      <c r="E2" s="42" t="s">
        <v>309</v>
      </c>
      <c r="G2" s="42" t="s">
        <v>308</v>
      </c>
      <c r="H2" s="42" t="s">
        <v>435</v>
      </c>
      <c r="I2" s="42" t="s">
        <v>309</v>
      </c>
      <c r="K2" s="42" t="s">
        <v>308</v>
      </c>
      <c r="L2" s="42" t="s">
        <v>435</v>
      </c>
      <c r="M2" s="42" t="s">
        <v>309</v>
      </c>
      <c r="O2" s="42" t="s">
        <v>308</v>
      </c>
      <c r="P2" s="42" t="s">
        <v>435</v>
      </c>
      <c r="Q2" s="42" t="s">
        <v>309</v>
      </c>
      <c r="S2" s="42" t="s">
        <v>308</v>
      </c>
      <c r="T2" s="42" t="s">
        <v>435</v>
      </c>
      <c r="U2" s="42" t="s">
        <v>309</v>
      </c>
      <c r="W2" s="42" t="s">
        <v>308</v>
      </c>
      <c r="X2" s="42" t="s">
        <v>435</v>
      </c>
      <c r="Y2" s="42" t="s">
        <v>309</v>
      </c>
      <c r="AA2" s="42" t="s">
        <v>308</v>
      </c>
      <c r="AB2" s="42" t="s">
        <v>435</v>
      </c>
      <c r="AC2" s="42" t="s">
        <v>309</v>
      </c>
      <c r="AE2" s="42" t="s">
        <v>308</v>
      </c>
      <c r="AF2" s="42" t="s">
        <v>435</v>
      </c>
      <c r="AG2" s="42" t="s">
        <v>309</v>
      </c>
      <c r="AI2" s="42" t="s">
        <v>308</v>
      </c>
      <c r="AJ2" s="42" t="s">
        <v>435</v>
      </c>
      <c r="AK2" s="42" t="s">
        <v>309</v>
      </c>
      <c r="AM2" s="42" t="s">
        <v>308</v>
      </c>
      <c r="AN2" s="42" t="s">
        <v>435</v>
      </c>
      <c r="AO2" s="42" t="s">
        <v>309</v>
      </c>
      <c r="AQ2" s="42" t="s">
        <v>308</v>
      </c>
      <c r="AR2" s="42" t="s">
        <v>435</v>
      </c>
      <c r="AS2" s="42" t="s">
        <v>309</v>
      </c>
      <c r="AU2" s="42" t="s">
        <v>308</v>
      </c>
      <c r="AV2" s="42" t="s">
        <v>435</v>
      </c>
      <c r="AW2" s="42" t="s">
        <v>309</v>
      </c>
      <c r="AY2" s="42" t="s">
        <v>308</v>
      </c>
      <c r="AZ2" s="42" t="s">
        <v>435</v>
      </c>
      <c r="BA2" s="42" t="s">
        <v>309</v>
      </c>
      <c r="BC2" s="42" t="s">
        <v>308</v>
      </c>
      <c r="BD2" s="42" t="s">
        <v>435</v>
      </c>
      <c r="BE2" s="42" t="s">
        <v>309</v>
      </c>
      <c r="BF2" s="207"/>
      <c r="BG2" s="42" t="s">
        <v>308</v>
      </c>
      <c r="BH2" s="42" t="s">
        <v>435</v>
      </c>
      <c r="BI2" s="42" t="s">
        <v>309</v>
      </c>
      <c r="BJ2" s="205"/>
      <c r="BK2" s="42" t="s">
        <v>308</v>
      </c>
      <c r="BL2" s="42" t="s">
        <v>435</v>
      </c>
      <c r="BM2" s="42" t="s">
        <v>309</v>
      </c>
      <c r="BN2" s="205"/>
      <c r="BO2" s="42" t="s">
        <v>308</v>
      </c>
      <c r="BP2" s="42" t="s">
        <v>435</v>
      </c>
      <c r="BQ2" s="42" t="s">
        <v>309</v>
      </c>
      <c r="BR2" s="205"/>
      <c r="BS2" s="42" t="s">
        <v>308</v>
      </c>
      <c r="BT2" s="42" t="s">
        <v>435</v>
      </c>
      <c r="BU2" s="42" t="s">
        <v>309</v>
      </c>
      <c r="BV2" s="210"/>
      <c r="BW2" s="42" t="s">
        <v>308</v>
      </c>
      <c r="BX2" s="42" t="s">
        <v>435</v>
      </c>
      <c r="BY2" s="42" t="s">
        <v>309</v>
      </c>
      <c r="BZ2" s="210"/>
      <c r="CA2" s="42" t="s">
        <v>308</v>
      </c>
      <c r="CB2" s="42" t="s">
        <v>435</v>
      </c>
      <c r="CC2" s="42" t="s">
        <v>309</v>
      </c>
      <c r="CD2" s="210"/>
      <c r="CE2" s="42" t="s">
        <v>308</v>
      </c>
      <c r="CF2" s="42" t="s">
        <v>435</v>
      </c>
      <c r="CG2" s="42" t="s">
        <v>309</v>
      </c>
      <c r="CH2" s="210"/>
    </row>
    <row r="3" spans="1:86">
      <c r="A3" s="426" t="s">
        <v>489</v>
      </c>
      <c r="B3" s="153">
        <v>1</v>
      </c>
      <c r="C3" s="172">
        <f>IF('GPS Anthro Tool'!$B$5=0,0,IF('GPS Anthro Tool'!$B$11=0,0,IF('EU Child Data'!$B3=0,0,IF(C21&gt;'GPS Anthro Tool'!$B$16,0,IF(C21&lt;'GPS Anthro Tool'!$B$17,0,C21)))))</f>
        <v>0</v>
      </c>
      <c r="D3" s="172">
        <f>IF('GPS Anthro Tool'!$B$5=0,0,IF('GPS Anthro Tool'!$B$10=0,0,IF('EU Child Data'!$B3=0,0,IF(D21&gt;'GPS Anthro Tool'!$B$16,0,IF(D21&lt;'GPS Anthro Tool'!$B$17,0,D21)))))</f>
        <v>0</v>
      </c>
      <c r="E3" s="172">
        <f>IF('GPS Anthro Tool'!$B$5=0,0,IF('GPS Anthro Tool'!$B$9=0,0,IF('EU Child Data'!$B3=0,0,IF(E21&gt;'GPS Anthro Tool'!$B$16,0,IF(E21&lt;'GPS Anthro Tool'!$B$17,0,E21)))))</f>
        <v>0</v>
      </c>
      <c r="G3" s="173">
        <f>IF('GPS Anthro Tool'!$B$5=0,0,IF('GPS Anthro Tool'!$B$11=0,0,IF('EU Child Data'!$B3=0,0,IF(G21&gt;'GPS Anthro Tool'!$B$14,0,IF(G21&lt;'GPS Anthro Tool'!$B$15,0,G21)))))</f>
        <v>0</v>
      </c>
      <c r="H3" s="173">
        <f>IF('GPS Anthro Tool'!$B$5=0,0,IF('GPS Anthro Tool'!$B$10=0,0,IF('EU Child Data'!$B3=0,0,IF(H21&gt;'GPS Anthro Tool'!$B$14,0,IF(H21&lt;'GPS Anthro Tool'!$B$15,0,H21)))))</f>
        <v>0</v>
      </c>
      <c r="I3" s="173">
        <f>IF('GPS Anthro Tool'!$B$5=0,0,IF('GPS Anthro Tool'!$B$9=0,0,IF('EU Child Data'!$B3=0,0,IF(I21&gt;'GPS Anthro Tool'!$B$14,0,IF(I21&lt;'GPS Anthro Tool'!$B$15,0,I21)))))</f>
        <v>0</v>
      </c>
      <c r="K3" s="462">
        <f>IF('GPS Anthro Tool'!$B$5=0,0,IF($G3=0,0,K21+'GPS Anthro Tool'!$B$41))</f>
        <v>0</v>
      </c>
      <c r="L3" s="462">
        <f>IF('GPS Anthro Tool'!$B$5=0,0,IF($H3=0,0,L21+'GPS Anthro Tool'!$B$41))</f>
        <v>0</v>
      </c>
      <c r="M3" s="462">
        <f>IF('GPS Anthro Tool'!$B$5=0,0,IF($I3=0,0,M21+'GPS Anthro Tool'!$B$41))</f>
        <v>0</v>
      </c>
      <c r="N3" s="463"/>
      <c r="O3" s="462">
        <f>IF('GPS Anthro Tool'!$B$5=0,0,IF($G3=0,0,O21+'GPS Anthro Tool'!$B$41))</f>
        <v>0</v>
      </c>
      <c r="P3" s="462">
        <f>IF('GPS Anthro Tool'!$B$5=0,0,IF($H3=0,0,P21+'GPS Anthro Tool'!$B$41))</f>
        <v>0</v>
      </c>
      <c r="Q3" s="462">
        <f>IF('GPS Anthro Tool'!$B$5=0,0,IF($I3=0,0,Q21+'GPS Anthro Tool'!$B$41))</f>
        <v>0</v>
      </c>
      <c r="S3" s="173">
        <f>IF('GPS Anthro Tool'!$B$5=0,0,IF($G3=0,0,S21))</f>
        <v>0</v>
      </c>
      <c r="T3" s="173">
        <f>IF('GPS Anthro Tool'!$B$5=0,0,IF($H3=0,0,T21))</f>
        <v>0</v>
      </c>
      <c r="U3" s="173">
        <f>IF('GPS Anthro Tool'!$B$5=0,0,IF($I3=0,0,U21))</f>
        <v>0</v>
      </c>
      <c r="W3" s="173">
        <f>IF('GPS Anthro Tool'!$B$5=0,0,IF($G3=0,0,W21))</f>
        <v>0</v>
      </c>
      <c r="X3" s="173">
        <f>IF('GPS Anthro Tool'!$B$5=0,0,IF($H3=0,0,X21))</f>
        <v>0</v>
      </c>
      <c r="Y3" s="173">
        <f>IF('GPS Anthro Tool'!$B$5=0,0,IF($I3=0,0,Y21))</f>
        <v>0</v>
      </c>
      <c r="Z3" s="283">
        <v>0</v>
      </c>
      <c r="AA3" s="173">
        <f>IF('GPS Anthro Tool'!$B$5=0,0,IF($G3=0,0,AA21))</f>
        <v>0</v>
      </c>
      <c r="AB3" s="173">
        <f>IF('GPS Anthro Tool'!$B$5=0,0,IF($H3=0,0,AB21))</f>
        <v>0</v>
      </c>
      <c r="AC3" s="173">
        <f>IF('GPS Anthro Tool'!$B$5=0,0,IF($I3=0,0,AC21))</f>
        <v>0</v>
      </c>
      <c r="AE3" s="173">
        <f>IF('GPS Anthro Tool'!$B$5=0,0,IF($G3=0,0,AE21))</f>
        <v>0</v>
      </c>
      <c r="AF3" s="173">
        <f>IF('GPS Anthro Tool'!$B$5=0,0,IF($H3=0,0,AF21))</f>
        <v>0</v>
      </c>
      <c r="AG3" s="173">
        <f>IF('GPS Anthro Tool'!$B$5=0,0,IF($I3=0,0,AG21))</f>
        <v>0</v>
      </c>
      <c r="AI3" s="462">
        <f>IF('GPS Anthro Tool'!$B$5=0,0,IF($G3=0,0,AI21+'GPS Anthro Tool'!$B$42))</f>
        <v>0</v>
      </c>
      <c r="AJ3" s="462">
        <f>IF('GPS Anthro Tool'!$B$5=0,0,IF($H3=0,0,AJ21+'GPS Anthro Tool'!$B$42))</f>
        <v>0</v>
      </c>
      <c r="AK3" s="462">
        <f>IF('GPS Anthro Tool'!$B$5=0,0,IF($I3=0,0,AK21+'GPS Anthro Tool'!$B$42))</f>
        <v>0</v>
      </c>
      <c r="AM3" s="173">
        <f>IF('GPS Anthro Tool'!$B$5=0,0,IF($G3=0,0,-AM21-'GPS Anthro Tool'!$B$42))</f>
        <v>0</v>
      </c>
      <c r="AN3" s="173">
        <f>IF('GPS Anthro Tool'!$B$5=0,0,IF($H3=0,0,-AN21-'GPS Anthro Tool'!$B$42))</f>
        <v>0</v>
      </c>
      <c r="AO3" s="173">
        <f>IF('GPS Anthro Tool'!$B$5=0,0,IF($I3=0,0,-AO21-'GPS Anthro Tool'!$B$42))</f>
        <v>0</v>
      </c>
      <c r="AQ3" s="173">
        <f>IF('GPS Anthro Tool'!$B$5=0,0,IF($G3=0,0,AQ21-'GPS Anthro Tool'!$B$41))</f>
        <v>0</v>
      </c>
      <c r="AR3" s="173">
        <f>IF('GPS Anthro Tool'!$B$5=0,0,IF($H3=0,0,AR21-'GPS Anthro Tool'!$B$41))</f>
        <v>0</v>
      </c>
      <c r="AS3" s="173">
        <f>IF('GPS Anthro Tool'!$B$5=0,0,IF($I3=0,0,AS21-'GPS Anthro Tool'!$B$41))</f>
        <v>0</v>
      </c>
      <c r="AU3" s="173">
        <f>IF('GPS Anthro Tool'!$B$5=0,0,IF($G3=0,0,AU21))</f>
        <v>0</v>
      </c>
      <c r="AV3" s="173">
        <f>IF('GPS Anthro Tool'!$B$5=0,0,IF($H3=0,0,AV21))</f>
        <v>0</v>
      </c>
      <c r="AW3" s="173">
        <f>IF('GPS Anthro Tool'!$B$5=0,0,IF($I3=0,0,AW21))</f>
        <v>0</v>
      </c>
      <c r="AY3" s="173">
        <f>IF('GPS Anthro Tool'!$B$5=0,0,IF($G3=0,0,AY21))</f>
        <v>0</v>
      </c>
      <c r="AZ3" s="173">
        <f>IF('GPS Anthro Tool'!$B$5=0,0,IF($H3=0,0,AZ21))</f>
        <v>0</v>
      </c>
      <c r="BA3" s="173">
        <f>IF('GPS Anthro Tool'!$B$5=0,0,IF($I3=0,0,BA21))</f>
        <v>0</v>
      </c>
      <c r="BC3" s="173">
        <f>IF('GPS Anthro Tool'!$B$5=0,0,IF($G3=0,0,BC21))</f>
        <v>0</v>
      </c>
      <c r="BD3" s="173">
        <f>IF('GPS Anthro Tool'!$B$5=0,0,IF($H3=0,0,BD21))</f>
        <v>0</v>
      </c>
      <c r="BE3" s="173">
        <f>IF('GPS Anthro Tool'!$B$5=0,0,IF($I3=0,0,BE21))</f>
        <v>0</v>
      </c>
      <c r="BF3" s="208"/>
      <c r="BG3" s="157">
        <f t="shared" ref="BG3:BG16" si="0">-AI3</f>
        <v>0</v>
      </c>
      <c r="BH3" s="157">
        <f t="shared" ref="BH3:BH16" si="1">-AJ3</f>
        <v>0</v>
      </c>
      <c r="BI3" s="157">
        <f t="shared" ref="BI3:BI16" si="2">-AK3</f>
        <v>0</v>
      </c>
      <c r="BJ3" s="213">
        <v>0</v>
      </c>
      <c r="BK3" s="157">
        <f t="shared" ref="BK3:BK16" si="3">-S3/2</f>
        <v>0</v>
      </c>
      <c r="BL3" s="157">
        <f t="shared" ref="BL3:BL16" si="4">-T3/2</f>
        <v>0</v>
      </c>
      <c r="BM3" s="157">
        <f t="shared" ref="BM3:BM16" si="5">-U3/2</f>
        <v>0</v>
      </c>
      <c r="BN3" s="213">
        <v>0</v>
      </c>
      <c r="BO3" s="157">
        <f t="shared" ref="BO3:BO16" si="6">S3/2</f>
        <v>0</v>
      </c>
      <c r="BP3" s="157">
        <f t="shared" ref="BP3:BP16" si="7">T3/2</f>
        <v>0</v>
      </c>
      <c r="BQ3" s="157">
        <f t="shared" ref="BQ3:BQ16" si="8">U3/2</f>
        <v>0</v>
      </c>
      <c r="BR3" s="213"/>
      <c r="BS3" s="167">
        <f t="shared" ref="BS3:BS16" si="9">-W3/2</f>
        <v>0</v>
      </c>
      <c r="BT3" s="167">
        <f t="shared" ref="BT3:BT16" si="10">-X3/2</f>
        <v>0</v>
      </c>
      <c r="BU3" s="167">
        <f t="shared" ref="BU3:BU16" si="11">-Y3/2</f>
        <v>0</v>
      </c>
      <c r="BV3" s="213">
        <v>0</v>
      </c>
      <c r="BW3" s="168">
        <f t="shared" ref="BW3:BW16" si="12">W3/2</f>
        <v>0</v>
      </c>
      <c r="BX3" s="168">
        <f t="shared" ref="BX3:BX16" si="13">X3/2</f>
        <v>0</v>
      </c>
      <c r="BY3" s="168">
        <f t="shared" ref="BY3:BY16" si="14">Y3/2</f>
        <v>0</v>
      </c>
      <c r="BZ3" s="210"/>
      <c r="CA3" s="169">
        <f t="shared" ref="CA3:CA16" si="15">-AE3/2</f>
        <v>0</v>
      </c>
      <c r="CB3" s="169">
        <f t="shared" ref="CB3:CB16" si="16">-AF3/2</f>
        <v>0</v>
      </c>
      <c r="CC3" s="169">
        <f t="shared" ref="CC3:CC16" si="17">-AG3/2</f>
        <v>0</v>
      </c>
      <c r="CD3" s="210"/>
      <c r="CE3" s="170">
        <f t="shared" ref="CE3:CE16" si="18">AE3/2</f>
        <v>0</v>
      </c>
      <c r="CF3" s="170">
        <f t="shared" ref="CF3:CF16" si="19">AF3/2</f>
        <v>0</v>
      </c>
      <c r="CG3" s="170">
        <f t="shared" ref="CG3:CG16" si="20">AG3/2</f>
        <v>0</v>
      </c>
      <c r="CH3" s="210"/>
    </row>
    <row r="4" spans="1:86">
      <c r="A4" s="426" t="s">
        <v>490</v>
      </c>
      <c r="B4" s="153">
        <v>1</v>
      </c>
      <c r="C4" s="172">
        <f>IF('GPS Anthro Tool'!$B$5=0,0,IF('GPS Anthro Tool'!$B$11=0,0,IF('EU Child Data'!$B4=0,0,IF(C22&gt;'GPS Anthro Tool'!$B$16,0,IF(C22&lt;'GPS Anthro Tool'!$B$17,0,C22)))))</f>
        <v>0</v>
      </c>
      <c r="D4" s="172">
        <f>IF('GPS Anthro Tool'!$B$5=0,0,IF('GPS Anthro Tool'!$B$10=0,0,IF('EU Child Data'!$B4=0,0,IF(D22&gt;'GPS Anthro Tool'!$B$16,0,IF(D22&lt;'GPS Anthro Tool'!$B$17,0,D22)))))</f>
        <v>0</v>
      </c>
      <c r="E4" s="172">
        <f>IF('GPS Anthro Tool'!$B$5=0,0,IF('GPS Anthro Tool'!$B$9=0,0,IF('EU Child Data'!$B4=0,0,IF(E22&gt;'GPS Anthro Tool'!$B$16,0,IF(E22&lt;'GPS Anthro Tool'!$B$17,0,E22)))))</f>
        <v>0</v>
      </c>
      <c r="G4" s="173">
        <f>IF('GPS Anthro Tool'!$B$5=0,0,IF('GPS Anthro Tool'!$B$11=0,0,IF('EU Child Data'!$B4=0,0,IF(G22&gt;'GPS Anthro Tool'!$B$14,0,IF(G22&lt;'GPS Anthro Tool'!$B$15,0,G22)))))</f>
        <v>0</v>
      </c>
      <c r="H4" s="173">
        <f>IF('GPS Anthro Tool'!$B$5=0,0,IF('GPS Anthro Tool'!$B$10=0,0,IF('EU Child Data'!$B4=0,0,IF(H22&gt;'GPS Anthro Tool'!$B$14,0,IF(H22&lt;'GPS Anthro Tool'!$B$15,0,H22)))))</f>
        <v>0</v>
      </c>
      <c r="I4" s="173">
        <f>IF('GPS Anthro Tool'!$B$5=0,0,IF('GPS Anthro Tool'!$B$9=0,0,IF('EU Child Data'!$B4=0,0,IF(I22&gt;'GPS Anthro Tool'!$B$14,0,IF(I22&lt;'GPS Anthro Tool'!$B$15,0,I22)))))</f>
        <v>0</v>
      </c>
      <c r="K4" s="462">
        <f>IF('GPS Anthro Tool'!$B$5=0,0,IF($G4=0,0,K22+'GPS Anthro Tool'!$B$41))</f>
        <v>0</v>
      </c>
      <c r="L4" s="462">
        <f>IF('GPS Anthro Tool'!$B$5=0,0,IF($H4=0,0,L22+'GPS Anthro Tool'!$B$41))</f>
        <v>0</v>
      </c>
      <c r="M4" s="462">
        <f>IF('GPS Anthro Tool'!$B$5=0,0,IF($I4=0,0,M22+'GPS Anthro Tool'!$B$41))</f>
        <v>0</v>
      </c>
      <c r="N4" s="463"/>
      <c r="O4" s="462">
        <f>IF('GPS Anthro Tool'!$B$5=0,0,IF($G4=0,0,O22+'GPS Anthro Tool'!$B$41))</f>
        <v>0</v>
      </c>
      <c r="P4" s="462">
        <f>IF('GPS Anthro Tool'!$B$5=0,0,IF($H4=0,0,P22+'GPS Anthro Tool'!$B$41))</f>
        <v>0</v>
      </c>
      <c r="Q4" s="462">
        <f>IF('GPS Anthro Tool'!$B$5=0,0,IF($I4=0,0,Q22+'GPS Anthro Tool'!$B$41))</f>
        <v>0</v>
      </c>
      <c r="S4" s="173">
        <f>IF('GPS Anthro Tool'!$B$5=0,0,IF($G4=0,0,S22))</f>
        <v>0</v>
      </c>
      <c r="T4" s="173">
        <f>IF('GPS Anthro Tool'!$B$5=0,0,IF($H4=0,0,T22))</f>
        <v>0</v>
      </c>
      <c r="U4" s="173">
        <f>IF('GPS Anthro Tool'!$B$5=0,0,IF($I4=0,0,U22))</f>
        <v>0</v>
      </c>
      <c r="W4" s="173">
        <f>IF('GPS Anthro Tool'!$B$5=0,0,IF($G4=0,0,W22))</f>
        <v>0</v>
      </c>
      <c r="X4" s="173">
        <f>IF('GPS Anthro Tool'!$B$5=0,0,IF($H4=0,0,X22))</f>
        <v>0</v>
      </c>
      <c r="Y4" s="173">
        <f>IF('GPS Anthro Tool'!$B$5=0,0,IF($I4=0,0,Y22))</f>
        <v>0</v>
      </c>
      <c r="Z4" s="283">
        <v>0</v>
      </c>
      <c r="AA4" s="173">
        <f>IF('GPS Anthro Tool'!$B$5=0,0,IF($G4=0,0,AA22))</f>
        <v>0</v>
      </c>
      <c r="AB4" s="173">
        <f>IF('GPS Anthro Tool'!$B$5=0,0,IF($H4=0,0,AB22))</f>
        <v>0</v>
      </c>
      <c r="AC4" s="173">
        <f>IF('GPS Anthro Tool'!$B$5=0,0,IF($I4=0,0,AC22))</f>
        <v>0</v>
      </c>
      <c r="AE4" s="173">
        <f>IF('GPS Anthro Tool'!$B$5=0,0,IF($G4=0,0,AE22))</f>
        <v>0</v>
      </c>
      <c r="AF4" s="173">
        <f>IF('GPS Anthro Tool'!$B$5=0,0,IF($H4=0,0,AF22))</f>
        <v>0</v>
      </c>
      <c r="AG4" s="173">
        <f>IF('GPS Anthro Tool'!$B$5=0,0,IF($I4=0,0,AG22))</f>
        <v>0</v>
      </c>
      <c r="AI4" s="462">
        <f>IF('GPS Anthro Tool'!$B$5=0,0,IF($G4=0,0,AI22+'GPS Anthro Tool'!$B$42))</f>
        <v>0</v>
      </c>
      <c r="AJ4" s="462">
        <f>IF('GPS Anthro Tool'!$B$5=0,0,IF($H4=0,0,AJ22+'GPS Anthro Tool'!$B$42))</f>
        <v>0</v>
      </c>
      <c r="AK4" s="462">
        <f>IF('GPS Anthro Tool'!$B$5=0,0,IF($I4=0,0,AK22+'GPS Anthro Tool'!$B$42))</f>
        <v>0</v>
      </c>
      <c r="AM4" s="173">
        <f>IF('GPS Anthro Tool'!$B$5=0,0,IF($G4=0,0,-AM22-'GPS Anthro Tool'!$B$42))</f>
        <v>0</v>
      </c>
      <c r="AN4" s="173">
        <f>IF('GPS Anthro Tool'!$B$5=0,0,IF($H4=0,0,-AN22-'GPS Anthro Tool'!$B$42))</f>
        <v>0</v>
      </c>
      <c r="AO4" s="173">
        <f>IF('GPS Anthro Tool'!$B$5=0,0,IF($I4=0,0,-AO22-'GPS Anthro Tool'!$B$42))</f>
        <v>0</v>
      </c>
      <c r="AQ4" s="173">
        <f>IF('GPS Anthro Tool'!$B$5=0,0,IF($G4=0,0,AQ22-'GPS Anthro Tool'!$B$41))</f>
        <v>0</v>
      </c>
      <c r="AR4" s="173">
        <f>IF('GPS Anthro Tool'!$B$5=0,0,IF($H4=0,0,AR22-'GPS Anthro Tool'!$B$41))</f>
        <v>0</v>
      </c>
      <c r="AS4" s="173">
        <f>IF('GPS Anthro Tool'!$B$5=0,0,IF($I4=0,0,AS22-'GPS Anthro Tool'!$B$41))</f>
        <v>0</v>
      </c>
      <c r="AU4" s="173">
        <f>IF('GPS Anthro Tool'!$B$5=0,0,IF($G4=0,0,AU22))</f>
        <v>0</v>
      </c>
      <c r="AV4" s="173">
        <f>IF('GPS Anthro Tool'!$B$5=0,0,IF($H4=0,0,AV22))</f>
        <v>0</v>
      </c>
      <c r="AW4" s="173">
        <f>IF('GPS Anthro Tool'!$B$5=0,0,IF($I4=0,0,AW22))</f>
        <v>0</v>
      </c>
      <c r="AY4" s="173">
        <f>IF('GPS Anthro Tool'!$B$5=0,0,IF($G4=0,0,AY22))</f>
        <v>0</v>
      </c>
      <c r="AZ4" s="173">
        <f>IF('GPS Anthro Tool'!$B$5=0,0,IF($H4=0,0,AZ22))</f>
        <v>0</v>
      </c>
      <c r="BA4" s="173">
        <f>IF('GPS Anthro Tool'!$B$5=0,0,IF($I4=0,0,BA22))</f>
        <v>0</v>
      </c>
      <c r="BC4" s="173">
        <f>IF('GPS Anthro Tool'!$B$5=0,0,IF($G4=0,0,BC22))</f>
        <v>0</v>
      </c>
      <c r="BD4" s="173">
        <f>IF('GPS Anthro Tool'!$B$5=0,0,IF($H4=0,0,BD22))</f>
        <v>0</v>
      </c>
      <c r="BE4" s="173">
        <f>IF('GPS Anthro Tool'!$B$5=0,0,IF($I4=0,0,BE22))</f>
        <v>0</v>
      </c>
      <c r="BF4" s="208"/>
      <c r="BG4" s="157">
        <f t="shared" si="0"/>
        <v>0</v>
      </c>
      <c r="BH4" s="157">
        <f t="shared" si="1"/>
        <v>0</v>
      </c>
      <c r="BI4" s="157">
        <f t="shared" si="2"/>
        <v>0</v>
      </c>
      <c r="BJ4" s="213">
        <v>0</v>
      </c>
      <c r="BK4" s="157">
        <f t="shared" si="3"/>
        <v>0</v>
      </c>
      <c r="BL4" s="157">
        <f t="shared" si="4"/>
        <v>0</v>
      </c>
      <c r="BM4" s="157">
        <f t="shared" si="5"/>
        <v>0</v>
      </c>
      <c r="BN4" s="213">
        <v>0</v>
      </c>
      <c r="BO4" s="157">
        <f t="shared" si="6"/>
        <v>0</v>
      </c>
      <c r="BP4" s="157">
        <f t="shared" si="7"/>
        <v>0</v>
      </c>
      <c r="BQ4" s="157">
        <f t="shared" si="8"/>
        <v>0</v>
      </c>
      <c r="BR4" s="213"/>
      <c r="BS4" s="167">
        <f t="shared" si="9"/>
        <v>0</v>
      </c>
      <c r="BT4" s="167">
        <f t="shared" si="10"/>
        <v>0</v>
      </c>
      <c r="BU4" s="167">
        <f t="shared" si="11"/>
        <v>0</v>
      </c>
      <c r="BV4" s="213">
        <v>0</v>
      </c>
      <c r="BW4" s="168">
        <f t="shared" si="12"/>
        <v>0</v>
      </c>
      <c r="BX4" s="168">
        <f t="shared" si="13"/>
        <v>0</v>
      </c>
      <c r="BY4" s="168">
        <f t="shared" si="14"/>
        <v>0</v>
      </c>
      <c r="BZ4" s="210"/>
      <c r="CA4" s="169">
        <f t="shared" si="15"/>
        <v>0</v>
      </c>
      <c r="CB4" s="169">
        <f t="shared" si="16"/>
        <v>0</v>
      </c>
      <c r="CC4" s="169">
        <f t="shared" si="17"/>
        <v>0</v>
      </c>
      <c r="CD4" s="210"/>
      <c r="CE4" s="170">
        <f t="shared" si="18"/>
        <v>0</v>
      </c>
      <c r="CF4" s="170">
        <f t="shared" si="19"/>
        <v>0</v>
      </c>
      <c r="CG4" s="170">
        <f t="shared" si="20"/>
        <v>0</v>
      </c>
      <c r="CH4" s="210"/>
    </row>
    <row r="5" spans="1:86">
      <c r="A5" s="426" t="s">
        <v>491</v>
      </c>
      <c r="B5" s="153">
        <v>1</v>
      </c>
      <c r="C5" s="172">
        <f>IF('GPS Anthro Tool'!$B$5=0,0,IF('GPS Anthro Tool'!$B$11=0,0,IF('EU Child Data'!$B5=0,0,IF(C23&gt;'GPS Anthro Tool'!$B$16,0,IF(C23&lt;'GPS Anthro Tool'!$B$17,0,C23)))))</f>
        <v>0</v>
      </c>
      <c r="D5" s="172">
        <f>IF('GPS Anthro Tool'!$B$5=0,0,IF('GPS Anthro Tool'!$B$10=0,0,IF('EU Child Data'!$B5=0,0,IF(D23&gt;'GPS Anthro Tool'!$B$16,0,IF(D23&lt;'GPS Anthro Tool'!$B$17,0,D23)))))</f>
        <v>0</v>
      </c>
      <c r="E5" s="172">
        <f>IF('GPS Anthro Tool'!$B$5=0,0,IF('GPS Anthro Tool'!$B$9=0,0,IF('EU Child Data'!$B5=0,0,IF(E23&gt;'GPS Anthro Tool'!$B$16,0,IF(E23&lt;'GPS Anthro Tool'!$B$17,0,E23)))))</f>
        <v>0</v>
      </c>
      <c r="G5" s="173">
        <f>IF('GPS Anthro Tool'!$B$5=0,0,IF('GPS Anthro Tool'!$B$11=0,0,IF('EU Child Data'!$B5=0,0,IF(G23&gt;'GPS Anthro Tool'!$B$14,0,IF(G23&lt;'GPS Anthro Tool'!$B$15,0,G23)))))</f>
        <v>0</v>
      </c>
      <c r="H5" s="173">
        <f>IF('GPS Anthro Tool'!$B$5=0,0,IF('GPS Anthro Tool'!$B$10=0,0,IF('EU Child Data'!$B5=0,0,IF(H23&gt;'GPS Anthro Tool'!$B$14,0,IF(H23&lt;'GPS Anthro Tool'!$B$15,0,H23)))))</f>
        <v>0</v>
      </c>
      <c r="I5" s="173">
        <f>IF('GPS Anthro Tool'!$B$5=0,0,IF('GPS Anthro Tool'!$B$9=0,0,IF('EU Child Data'!$B5=0,0,IF(I23&gt;'GPS Anthro Tool'!$B$14,0,IF(I23&lt;'GPS Anthro Tool'!$B$15,0,I23)))))</f>
        <v>0</v>
      </c>
      <c r="K5" s="462">
        <f>IF('GPS Anthro Tool'!$B$5=0,0,IF($G5=0,0,K23+'GPS Anthro Tool'!$B$41))</f>
        <v>0</v>
      </c>
      <c r="L5" s="462">
        <f>IF('GPS Anthro Tool'!$B$5=0,0,IF($H5=0,0,L23+'GPS Anthro Tool'!$B$41))</f>
        <v>0</v>
      </c>
      <c r="M5" s="462">
        <f>IF('GPS Anthro Tool'!$B$5=0,0,IF($I5=0,0,M23+'GPS Anthro Tool'!$B$41))</f>
        <v>0</v>
      </c>
      <c r="N5" s="463"/>
      <c r="O5" s="462">
        <f>IF('GPS Anthro Tool'!$B$5=0,0,IF($G5=0,0,O23+'GPS Anthro Tool'!$B$41))</f>
        <v>0</v>
      </c>
      <c r="P5" s="462">
        <f>IF('GPS Anthro Tool'!$B$5=0,0,IF($H5=0,0,P23+'GPS Anthro Tool'!$B$41))</f>
        <v>0</v>
      </c>
      <c r="Q5" s="462">
        <f>IF('GPS Anthro Tool'!$B$5=0,0,IF($I5=0,0,Q23+'GPS Anthro Tool'!$B$41))</f>
        <v>0</v>
      </c>
      <c r="S5" s="173">
        <f>IF('GPS Anthro Tool'!$B$5=0,0,IF($G5=0,0,S23))</f>
        <v>0</v>
      </c>
      <c r="T5" s="173">
        <f>IF('GPS Anthro Tool'!$B$5=0,0,IF($H5=0,0,T23))</f>
        <v>0</v>
      </c>
      <c r="U5" s="173">
        <f>IF('GPS Anthro Tool'!$B$5=0,0,IF($I5=0,0,U23))</f>
        <v>0</v>
      </c>
      <c r="W5" s="173">
        <f>IF('GPS Anthro Tool'!$B$5=0,0,IF($G5=0,0,W23))</f>
        <v>0</v>
      </c>
      <c r="X5" s="173">
        <f>IF('GPS Anthro Tool'!$B$5=0,0,IF($H5=0,0,X23))</f>
        <v>0</v>
      </c>
      <c r="Y5" s="173">
        <f>IF('GPS Anthro Tool'!$B$5=0,0,IF($I5=0,0,Y23))</f>
        <v>0</v>
      </c>
      <c r="Z5" s="283">
        <v>0</v>
      </c>
      <c r="AA5" s="173">
        <f>IF('GPS Anthro Tool'!$B$5=0,0,IF($G5=0,0,AA23))</f>
        <v>0</v>
      </c>
      <c r="AB5" s="173">
        <f>IF('GPS Anthro Tool'!$B$5=0,0,IF($H5=0,0,AB23))</f>
        <v>0</v>
      </c>
      <c r="AC5" s="173">
        <f>IF('GPS Anthro Tool'!$B$5=0,0,IF($I5=0,0,AC23))</f>
        <v>0</v>
      </c>
      <c r="AE5" s="173">
        <f>IF('GPS Anthro Tool'!$B$5=0,0,IF($G5=0,0,AE23))</f>
        <v>0</v>
      </c>
      <c r="AF5" s="173">
        <f>IF('GPS Anthro Tool'!$B$5=0,0,IF($H5=0,0,AF23))</f>
        <v>0</v>
      </c>
      <c r="AG5" s="173">
        <f>IF('GPS Anthro Tool'!$B$5=0,0,IF($I5=0,0,AG23))</f>
        <v>0</v>
      </c>
      <c r="AI5" s="462">
        <f>IF('GPS Anthro Tool'!$B$5=0,0,IF($G5=0,0,AI23+'GPS Anthro Tool'!$B$42))</f>
        <v>0</v>
      </c>
      <c r="AJ5" s="462">
        <f>IF('GPS Anthro Tool'!$B$5=0,0,IF($H5=0,0,AJ23+'GPS Anthro Tool'!$B$42))</f>
        <v>0</v>
      </c>
      <c r="AK5" s="462">
        <f>IF('GPS Anthro Tool'!$B$5=0,0,IF($I5=0,0,AK23+'GPS Anthro Tool'!$B$42))</f>
        <v>0</v>
      </c>
      <c r="AM5" s="173">
        <f>IF('GPS Anthro Tool'!$B$5=0,0,IF($G5=0,0,-AM23-'GPS Anthro Tool'!$B$42))</f>
        <v>0</v>
      </c>
      <c r="AN5" s="173">
        <f>IF('GPS Anthro Tool'!$B$5=0,0,IF($H5=0,0,-AN23-'GPS Anthro Tool'!$B$42))</f>
        <v>0</v>
      </c>
      <c r="AO5" s="173">
        <f>IF('GPS Anthro Tool'!$B$5=0,0,IF($I5=0,0,-AO23-'GPS Anthro Tool'!$B$42))</f>
        <v>0</v>
      </c>
      <c r="AQ5" s="173">
        <f>IF('GPS Anthro Tool'!$B$5=0,0,IF($G5=0,0,AQ23-'GPS Anthro Tool'!$B$41))</f>
        <v>0</v>
      </c>
      <c r="AR5" s="173">
        <f>IF('GPS Anthro Tool'!$B$5=0,0,IF($H5=0,0,AR23-'GPS Anthro Tool'!$B$41))</f>
        <v>0</v>
      </c>
      <c r="AS5" s="173">
        <f>IF('GPS Anthro Tool'!$B$5=0,0,IF($I5=0,0,AS23-'GPS Anthro Tool'!$B$41))</f>
        <v>0</v>
      </c>
      <c r="AU5" s="173">
        <f>IF('GPS Anthro Tool'!$B$5=0,0,IF($G5=0,0,AU23))</f>
        <v>0</v>
      </c>
      <c r="AV5" s="173">
        <f>IF('GPS Anthro Tool'!$B$5=0,0,IF($H5=0,0,AV23))</f>
        <v>0</v>
      </c>
      <c r="AW5" s="173">
        <f>IF('GPS Anthro Tool'!$B$5=0,0,IF($I5=0,0,AW23))</f>
        <v>0</v>
      </c>
      <c r="AY5" s="173">
        <f>IF('GPS Anthro Tool'!$B$5=0,0,IF($G5=0,0,AY23))</f>
        <v>0</v>
      </c>
      <c r="AZ5" s="173">
        <f>IF('GPS Anthro Tool'!$B$5=0,0,IF($H5=0,0,AZ23))</f>
        <v>0</v>
      </c>
      <c r="BA5" s="173">
        <f>IF('GPS Anthro Tool'!$B$5=0,0,IF($I5=0,0,BA23))</f>
        <v>0</v>
      </c>
      <c r="BC5" s="173">
        <f>IF('GPS Anthro Tool'!$B$5=0,0,IF($G5=0,0,BC23))</f>
        <v>0</v>
      </c>
      <c r="BD5" s="173">
        <f>IF('GPS Anthro Tool'!$B$5=0,0,IF($H5=0,0,BD23))</f>
        <v>0</v>
      </c>
      <c r="BE5" s="173">
        <f>IF('GPS Anthro Tool'!$B$5=0,0,IF($I5=0,0,BE23))</f>
        <v>0</v>
      </c>
      <c r="BF5" s="208"/>
      <c r="BG5" s="157">
        <f t="shared" si="0"/>
        <v>0</v>
      </c>
      <c r="BH5" s="157">
        <f t="shared" si="1"/>
        <v>0</v>
      </c>
      <c r="BI5" s="157">
        <f t="shared" si="2"/>
        <v>0</v>
      </c>
      <c r="BJ5" s="213">
        <v>0</v>
      </c>
      <c r="BK5" s="157">
        <f t="shared" si="3"/>
        <v>0</v>
      </c>
      <c r="BL5" s="157">
        <f t="shared" si="4"/>
        <v>0</v>
      </c>
      <c r="BM5" s="157">
        <f t="shared" si="5"/>
        <v>0</v>
      </c>
      <c r="BN5" s="213">
        <v>0</v>
      </c>
      <c r="BO5" s="157">
        <f t="shared" si="6"/>
        <v>0</v>
      </c>
      <c r="BP5" s="157">
        <f t="shared" si="7"/>
        <v>0</v>
      </c>
      <c r="BQ5" s="157">
        <f t="shared" si="8"/>
        <v>0</v>
      </c>
      <c r="BR5" s="213"/>
      <c r="BS5" s="167">
        <f t="shared" si="9"/>
        <v>0</v>
      </c>
      <c r="BT5" s="167">
        <f t="shared" si="10"/>
        <v>0</v>
      </c>
      <c r="BU5" s="167">
        <f t="shared" si="11"/>
        <v>0</v>
      </c>
      <c r="BV5" s="213">
        <v>0</v>
      </c>
      <c r="BW5" s="168">
        <f t="shared" si="12"/>
        <v>0</v>
      </c>
      <c r="BX5" s="168">
        <f t="shared" si="13"/>
        <v>0</v>
      </c>
      <c r="BY5" s="168">
        <f t="shared" si="14"/>
        <v>0</v>
      </c>
      <c r="BZ5" s="210"/>
      <c r="CA5" s="169">
        <f t="shared" si="15"/>
        <v>0</v>
      </c>
      <c r="CB5" s="169">
        <f t="shared" si="16"/>
        <v>0</v>
      </c>
      <c r="CC5" s="169">
        <f t="shared" si="17"/>
        <v>0</v>
      </c>
      <c r="CD5" s="210"/>
      <c r="CE5" s="170">
        <f t="shared" si="18"/>
        <v>0</v>
      </c>
      <c r="CF5" s="170">
        <f t="shared" si="19"/>
        <v>0</v>
      </c>
      <c r="CG5" s="170">
        <f t="shared" si="20"/>
        <v>0</v>
      </c>
      <c r="CH5" s="210"/>
    </row>
    <row r="6" spans="1:86">
      <c r="A6" s="426" t="s">
        <v>492</v>
      </c>
      <c r="B6" s="153">
        <v>1</v>
      </c>
      <c r="C6" s="172">
        <f>IF('GPS Anthro Tool'!$B$5=0,0,IF('GPS Anthro Tool'!$B$11=0,0,IF('EU Child Data'!$B6=0,0,IF(C24&gt;'GPS Anthro Tool'!$B$16,0,IF(C24&lt;'GPS Anthro Tool'!$B$17,0,C24)))))</f>
        <v>0</v>
      </c>
      <c r="D6" s="172">
        <f>IF('GPS Anthro Tool'!$B$5=0,0,IF('GPS Anthro Tool'!$B$10=0,0,IF('EU Child Data'!$B6=0,0,IF(D24&gt;'GPS Anthro Tool'!$B$16,0,IF(D24&lt;'GPS Anthro Tool'!$B$17,0,D24)))))</f>
        <v>0</v>
      </c>
      <c r="E6" s="172">
        <f>IF('GPS Anthro Tool'!$B$5=0,0,IF('GPS Anthro Tool'!$B$9=0,0,IF('EU Child Data'!$B6=0,0,IF(E24&gt;'GPS Anthro Tool'!$B$16,0,IF(E24&lt;'GPS Anthro Tool'!$B$17,0,E24)))))</f>
        <v>0</v>
      </c>
      <c r="G6" s="173">
        <f>IF('GPS Anthro Tool'!$B$5=0,0,IF('GPS Anthro Tool'!$B$11=0,0,IF('EU Child Data'!$B6=0,0,IF(G24&gt;'GPS Anthro Tool'!$B$14,0,IF(G24&lt;'GPS Anthro Tool'!$B$15,0,G24)))))</f>
        <v>0</v>
      </c>
      <c r="H6" s="173">
        <f>IF('GPS Anthro Tool'!$B$5=0,0,IF('GPS Anthro Tool'!$B$10=0,0,IF('EU Child Data'!$B6=0,0,IF(H24&gt;'GPS Anthro Tool'!$B$14,0,IF(H24&lt;'GPS Anthro Tool'!$B$15,0,H24)))))</f>
        <v>0</v>
      </c>
      <c r="I6" s="173">
        <f>IF('GPS Anthro Tool'!$B$5=0,0,IF('GPS Anthro Tool'!$B$9=0,0,IF('EU Child Data'!$B6=0,0,IF(I24&gt;'GPS Anthro Tool'!$B$14,0,IF(I24&lt;'GPS Anthro Tool'!$B$15,0,I24)))))</f>
        <v>0</v>
      </c>
      <c r="K6" s="462">
        <f>IF('GPS Anthro Tool'!$B$5=0,0,IF($G6=0,0,K24+'GPS Anthro Tool'!$B$41))</f>
        <v>0</v>
      </c>
      <c r="L6" s="462">
        <f>IF('GPS Anthro Tool'!$B$5=0,0,IF($H6=0,0,L24+'GPS Anthro Tool'!$B$41))</f>
        <v>0</v>
      </c>
      <c r="M6" s="462">
        <f>IF('GPS Anthro Tool'!$B$5=0,0,IF($I6=0,0,M24+'GPS Anthro Tool'!$B$41))</f>
        <v>0</v>
      </c>
      <c r="N6" s="463"/>
      <c r="O6" s="462">
        <f>IF('GPS Anthro Tool'!$B$5=0,0,IF($G6=0,0,O24+'GPS Anthro Tool'!$B$41))</f>
        <v>0</v>
      </c>
      <c r="P6" s="462">
        <f>IF('GPS Anthro Tool'!$B$5=0,0,IF($H6=0,0,P24+'GPS Anthro Tool'!$B$41))</f>
        <v>0</v>
      </c>
      <c r="Q6" s="462">
        <f>IF('GPS Anthro Tool'!$B$5=0,0,IF($I6=0,0,Q24+'GPS Anthro Tool'!$B$41))</f>
        <v>0</v>
      </c>
      <c r="S6" s="173">
        <f>IF('GPS Anthro Tool'!$B$5=0,0,IF($G6=0,0,S24))</f>
        <v>0</v>
      </c>
      <c r="T6" s="173">
        <f>IF('GPS Anthro Tool'!$B$5=0,0,IF($H6=0,0,T24))</f>
        <v>0</v>
      </c>
      <c r="U6" s="173">
        <f>IF('GPS Anthro Tool'!$B$5=0,0,IF($I6=0,0,U24))</f>
        <v>0</v>
      </c>
      <c r="W6" s="173">
        <f>IF('GPS Anthro Tool'!$B$5=0,0,IF($G6=0,0,W24))</f>
        <v>0</v>
      </c>
      <c r="X6" s="173">
        <f>IF('GPS Anthro Tool'!$B$5=0,0,IF($H6=0,0,X24))</f>
        <v>0</v>
      </c>
      <c r="Y6" s="173">
        <f>IF('GPS Anthro Tool'!$B$5=0,0,IF($I6=0,0,Y24))</f>
        <v>0</v>
      </c>
      <c r="Z6" s="283">
        <v>0</v>
      </c>
      <c r="AA6" s="173">
        <f>IF('GPS Anthro Tool'!$B$5=0,0,IF($G6=0,0,AA24))</f>
        <v>0</v>
      </c>
      <c r="AB6" s="173">
        <f>IF('GPS Anthro Tool'!$B$5=0,0,IF($H6=0,0,AB24))</f>
        <v>0</v>
      </c>
      <c r="AC6" s="173">
        <f>IF('GPS Anthro Tool'!$B$5=0,0,IF($I6=0,0,AC24))</f>
        <v>0</v>
      </c>
      <c r="AE6" s="173">
        <f>IF('GPS Anthro Tool'!$B$5=0,0,IF($G6=0,0,AE24))</f>
        <v>0</v>
      </c>
      <c r="AF6" s="173">
        <f>IF('GPS Anthro Tool'!$B$5=0,0,IF($H6=0,0,AF24))</f>
        <v>0</v>
      </c>
      <c r="AG6" s="173">
        <f>IF('GPS Anthro Tool'!$B$5=0,0,IF($I6=0,0,AG24))</f>
        <v>0</v>
      </c>
      <c r="AI6" s="462">
        <f>IF('GPS Anthro Tool'!$B$5=0,0,IF($G6=0,0,AI24+'GPS Anthro Tool'!$B$42))</f>
        <v>0</v>
      </c>
      <c r="AJ6" s="462">
        <f>IF('GPS Anthro Tool'!$B$5=0,0,IF($H6=0,0,AJ24+'GPS Anthro Tool'!$B$42))</f>
        <v>0</v>
      </c>
      <c r="AK6" s="462">
        <f>IF('GPS Anthro Tool'!$B$5=0,0,IF($I6=0,0,AK24+'GPS Anthro Tool'!$B$42))</f>
        <v>0</v>
      </c>
      <c r="AM6" s="173">
        <f>IF('GPS Anthro Tool'!$B$5=0,0,IF($G6=0,0,-AM24-'GPS Anthro Tool'!$B$42))</f>
        <v>0</v>
      </c>
      <c r="AN6" s="173">
        <f>IF('GPS Anthro Tool'!$B$5=0,0,IF($H6=0,0,-AN24-'GPS Anthro Tool'!$B$42))</f>
        <v>0</v>
      </c>
      <c r="AO6" s="173">
        <f>IF('GPS Anthro Tool'!$B$5=0,0,IF($I6=0,0,-AO24-'GPS Anthro Tool'!$B$42))</f>
        <v>0</v>
      </c>
      <c r="AQ6" s="173">
        <f>IF('GPS Anthro Tool'!$B$5=0,0,IF($G6=0,0,AQ24-'GPS Anthro Tool'!$B$41))</f>
        <v>0</v>
      </c>
      <c r="AR6" s="173">
        <f>IF('GPS Anthro Tool'!$B$5=0,0,IF($H6=0,0,AR24-'GPS Anthro Tool'!$B$41))</f>
        <v>0</v>
      </c>
      <c r="AS6" s="173">
        <f>IF('GPS Anthro Tool'!$B$5=0,0,IF($I6=0,0,AS24-'GPS Anthro Tool'!$B$41))</f>
        <v>0</v>
      </c>
      <c r="AU6" s="173">
        <f>IF('GPS Anthro Tool'!$B$5=0,0,IF($G6=0,0,AU24))</f>
        <v>0</v>
      </c>
      <c r="AV6" s="173">
        <f>IF('GPS Anthro Tool'!$B$5=0,0,IF($H6=0,0,AV24))</f>
        <v>0</v>
      </c>
      <c r="AW6" s="173">
        <f>IF('GPS Anthro Tool'!$B$5=0,0,IF($I6=0,0,AW24))</f>
        <v>0</v>
      </c>
      <c r="AY6" s="173">
        <f>IF('GPS Anthro Tool'!$B$5=0,0,IF($G6=0,0,AY24))</f>
        <v>0</v>
      </c>
      <c r="AZ6" s="173">
        <f>IF('GPS Anthro Tool'!$B$5=0,0,IF($H6=0,0,AZ24))</f>
        <v>0</v>
      </c>
      <c r="BA6" s="173">
        <f>IF('GPS Anthro Tool'!$B$5=0,0,IF($I6=0,0,BA24))</f>
        <v>0</v>
      </c>
      <c r="BC6" s="173">
        <f>IF('GPS Anthro Tool'!$B$5=0,0,IF($G6=0,0,BC24))</f>
        <v>0</v>
      </c>
      <c r="BD6" s="173">
        <f>IF('GPS Anthro Tool'!$B$5=0,0,IF($H6=0,0,BD24))</f>
        <v>0</v>
      </c>
      <c r="BE6" s="173">
        <f>IF('GPS Anthro Tool'!$B$5=0,0,IF($I6=0,0,BE24))</f>
        <v>0</v>
      </c>
      <c r="BF6" s="208"/>
      <c r="BG6" s="157">
        <f t="shared" si="0"/>
        <v>0</v>
      </c>
      <c r="BH6" s="157">
        <f t="shared" si="1"/>
        <v>0</v>
      </c>
      <c r="BI6" s="157">
        <f t="shared" si="2"/>
        <v>0</v>
      </c>
      <c r="BJ6" s="213">
        <v>0</v>
      </c>
      <c r="BK6" s="157">
        <f t="shared" si="3"/>
        <v>0</v>
      </c>
      <c r="BL6" s="157">
        <f t="shared" si="4"/>
        <v>0</v>
      </c>
      <c r="BM6" s="157">
        <f t="shared" si="5"/>
        <v>0</v>
      </c>
      <c r="BN6" s="213">
        <v>0</v>
      </c>
      <c r="BO6" s="157">
        <f t="shared" si="6"/>
        <v>0</v>
      </c>
      <c r="BP6" s="157">
        <f t="shared" si="7"/>
        <v>0</v>
      </c>
      <c r="BQ6" s="157">
        <f t="shared" si="8"/>
        <v>0</v>
      </c>
      <c r="BR6" s="213"/>
      <c r="BS6" s="167">
        <f t="shared" si="9"/>
        <v>0</v>
      </c>
      <c r="BT6" s="167">
        <f t="shared" si="10"/>
        <v>0</v>
      </c>
      <c r="BU6" s="167">
        <f t="shared" si="11"/>
        <v>0</v>
      </c>
      <c r="BV6" s="213">
        <v>0</v>
      </c>
      <c r="BW6" s="168">
        <f t="shared" si="12"/>
        <v>0</v>
      </c>
      <c r="BX6" s="168">
        <f t="shared" si="13"/>
        <v>0</v>
      </c>
      <c r="BY6" s="168">
        <f t="shared" si="14"/>
        <v>0</v>
      </c>
      <c r="BZ6" s="210"/>
      <c r="CA6" s="169">
        <f t="shared" si="15"/>
        <v>0</v>
      </c>
      <c r="CB6" s="169">
        <f t="shared" si="16"/>
        <v>0</v>
      </c>
      <c r="CC6" s="169">
        <f t="shared" si="17"/>
        <v>0</v>
      </c>
      <c r="CD6" s="210"/>
      <c r="CE6" s="170">
        <f t="shared" si="18"/>
        <v>0</v>
      </c>
      <c r="CF6" s="170">
        <f t="shared" si="19"/>
        <v>0</v>
      </c>
      <c r="CG6" s="170">
        <f t="shared" si="20"/>
        <v>0</v>
      </c>
      <c r="CH6" s="210"/>
    </row>
    <row r="7" spans="1:86">
      <c r="A7" s="426" t="s">
        <v>493</v>
      </c>
      <c r="B7" s="153">
        <v>1</v>
      </c>
      <c r="C7" s="172">
        <f>IF('GPS Anthro Tool'!$B$5=0,0,IF('GPS Anthro Tool'!$B$11=0,0,IF('EU Child Data'!$B7=0,0,IF(C25&gt;'GPS Anthro Tool'!$B$16,0,IF(C25&lt;'GPS Anthro Tool'!$B$17,0,C25)))))</f>
        <v>0</v>
      </c>
      <c r="D7" s="172">
        <f>IF('GPS Anthro Tool'!$B$5=0,0,IF('GPS Anthro Tool'!$B$10=0,0,IF('EU Child Data'!$B7=0,0,IF(D25&gt;'GPS Anthro Tool'!$B$16,0,IF(D25&lt;'GPS Anthro Tool'!$B$17,0,D25)))))</f>
        <v>0</v>
      </c>
      <c r="E7" s="172">
        <f>IF('GPS Anthro Tool'!$B$5=0,0,IF('GPS Anthro Tool'!$B$9=0,0,IF('EU Child Data'!$B7=0,0,IF(E25&gt;'GPS Anthro Tool'!$B$16,0,IF(E25&lt;'GPS Anthro Tool'!$B$17,0,E25)))))</f>
        <v>0</v>
      </c>
      <c r="G7" s="173">
        <f>IF('GPS Anthro Tool'!$B$5=0,0,IF('GPS Anthro Tool'!$B$11=0,0,IF('EU Child Data'!$B7=0,0,IF(G25&gt;'GPS Anthro Tool'!$B$14,0,IF(G25&lt;'GPS Anthro Tool'!$B$15,0,G25)))))</f>
        <v>0</v>
      </c>
      <c r="H7" s="173">
        <f>IF('GPS Anthro Tool'!$B$5=0,0,IF('GPS Anthro Tool'!$B$10=0,0,IF('EU Child Data'!$B7=0,0,IF(H25&gt;'GPS Anthro Tool'!$B$14,0,IF(H25&lt;'GPS Anthro Tool'!$B$15,0,H25)))))</f>
        <v>0</v>
      </c>
      <c r="I7" s="173">
        <f>IF('GPS Anthro Tool'!$B$5=0,0,IF('GPS Anthro Tool'!$B$9=0,0,IF('EU Child Data'!$B7=0,0,IF(I25&gt;'GPS Anthro Tool'!$B$14,0,IF(I25&lt;'GPS Anthro Tool'!$B$15,0,I25)))))</f>
        <v>0</v>
      </c>
      <c r="K7" s="462">
        <f>IF('GPS Anthro Tool'!$B$5=0,0,IF($G7=0,0,K25+'GPS Anthro Tool'!$B$41))</f>
        <v>0</v>
      </c>
      <c r="L7" s="462">
        <f>IF('GPS Anthro Tool'!$B$5=0,0,IF($H7=0,0,L25+'GPS Anthro Tool'!$B$41))</f>
        <v>0</v>
      </c>
      <c r="M7" s="462">
        <f>IF('GPS Anthro Tool'!$B$5=0,0,IF($I7=0,0,M25+'GPS Anthro Tool'!$B$41))</f>
        <v>0</v>
      </c>
      <c r="N7" s="463"/>
      <c r="O7" s="462">
        <f>IF('GPS Anthro Tool'!$B$5=0,0,IF($G7=0,0,O25+'GPS Anthro Tool'!$B$41))</f>
        <v>0</v>
      </c>
      <c r="P7" s="462">
        <f>IF('GPS Anthro Tool'!$B$5=0,0,IF($H7=0,0,P25+'GPS Anthro Tool'!$B$41))</f>
        <v>0</v>
      </c>
      <c r="Q7" s="462">
        <f>IF('GPS Anthro Tool'!$B$5=0,0,IF($I7=0,0,Q25+'GPS Anthro Tool'!$B$41))</f>
        <v>0</v>
      </c>
      <c r="S7" s="173">
        <f>IF('GPS Anthro Tool'!$B$5=0,0,IF($G7=0,0,S25))</f>
        <v>0</v>
      </c>
      <c r="T7" s="173">
        <f>IF('GPS Anthro Tool'!$B$5=0,0,IF($H7=0,0,T25))</f>
        <v>0</v>
      </c>
      <c r="U7" s="173">
        <f>IF('GPS Anthro Tool'!$B$5=0,0,IF($I7=0,0,U25))</f>
        <v>0</v>
      </c>
      <c r="W7" s="173">
        <f>IF('GPS Anthro Tool'!$B$5=0,0,IF($G7=0,0,W25))</f>
        <v>0</v>
      </c>
      <c r="X7" s="173">
        <f>IF('GPS Anthro Tool'!$B$5=0,0,IF($H7=0,0,X25))</f>
        <v>0</v>
      </c>
      <c r="Y7" s="173">
        <f>IF('GPS Anthro Tool'!$B$5=0,0,IF($I7=0,0,Y25))</f>
        <v>0</v>
      </c>
      <c r="Z7" s="283">
        <v>0</v>
      </c>
      <c r="AA7" s="173">
        <f>IF('GPS Anthro Tool'!$B$5=0,0,IF($G7=0,0,AA25))</f>
        <v>0</v>
      </c>
      <c r="AB7" s="173">
        <f>IF('GPS Anthro Tool'!$B$5=0,0,IF($H7=0,0,AB25))</f>
        <v>0</v>
      </c>
      <c r="AC7" s="173">
        <f>IF('GPS Anthro Tool'!$B$5=0,0,IF($I7=0,0,AC25))</f>
        <v>0</v>
      </c>
      <c r="AE7" s="173">
        <f>IF('GPS Anthro Tool'!$B$5=0,0,IF($G7=0,0,AE25))</f>
        <v>0</v>
      </c>
      <c r="AF7" s="173">
        <f>IF('GPS Anthro Tool'!$B$5=0,0,IF($H7=0,0,AF25))</f>
        <v>0</v>
      </c>
      <c r="AG7" s="173">
        <f>IF('GPS Anthro Tool'!$B$5=0,0,IF($I7=0,0,AG25))</f>
        <v>0</v>
      </c>
      <c r="AI7" s="462">
        <f>IF('GPS Anthro Tool'!$B$5=0,0,IF($G7=0,0,AI25+'GPS Anthro Tool'!$B$42))</f>
        <v>0</v>
      </c>
      <c r="AJ7" s="462">
        <f>IF('GPS Anthro Tool'!$B$5=0,0,IF($H7=0,0,AJ25+'GPS Anthro Tool'!$B$42))</f>
        <v>0</v>
      </c>
      <c r="AK7" s="462">
        <f>IF('GPS Anthro Tool'!$B$5=0,0,IF($I7=0,0,AK25+'GPS Anthro Tool'!$B$42))</f>
        <v>0</v>
      </c>
      <c r="AM7" s="173">
        <f>IF('GPS Anthro Tool'!$B$5=0,0,IF($G7=0,0,-AM25-'GPS Anthro Tool'!$B$42))</f>
        <v>0</v>
      </c>
      <c r="AN7" s="173">
        <f>IF('GPS Anthro Tool'!$B$5=0,0,IF($H7=0,0,-AN25-'GPS Anthro Tool'!$B$42))</f>
        <v>0</v>
      </c>
      <c r="AO7" s="173">
        <f>IF('GPS Anthro Tool'!$B$5=0,0,IF($I7=0,0,-AO25-'GPS Anthro Tool'!$B$42))</f>
        <v>0</v>
      </c>
      <c r="AQ7" s="173">
        <f>IF('GPS Anthro Tool'!$B$5=0,0,IF($G7=0,0,AQ25-'GPS Anthro Tool'!$B$41))</f>
        <v>0</v>
      </c>
      <c r="AR7" s="173">
        <f>IF('GPS Anthro Tool'!$B$5=0,0,IF($H7=0,0,AR25-'GPS Anthro Tool'!$B$41))</f>
        <v>0</v>
      </c>
      <c r="AS7" s="173">
        <f>IF('GPS Anthro Tool'!$B$5=0,0,IF($I7=0,0,AS25-'GPS Anthro Tool'!$B$41))</f>
        <v>0</v>
      </c>
      <c r="AU7" s="173">
        <f>IF('GPS Anthro Tool'!$B$5=0,0,IF($G7=0,0,AU25))</f>
        <v>0</v>
      </c>
      <c r="AV7" s="173">
        <f>IF('GPS Anthro Tool'!$B$5=0,0,IF($H7=0,0,AV25))</f>
        <v>0</v>
      </c>
      <c r="AW7" s="173">
        <f>IF('GPS Anthro Tool'!$B$5=0,0,IF($I7=0,0,AW25))</f>
        <v>0</v>
      </c>
      <c r="AY7" s="173">
        <f>IF('GPS Anthro Tool'!$B$5=0,0,IF($G7=0,0,AY25))</f>
        <v>0</v>
      </c>
      <c r="AZ7" s="173">
        <f>IF('GPS Anthro Tool'!$B$5=0,0,IF($H7=0,0,AZ25))</f>
        <v>0</v>
      </c>
      <c r="BA7" s="173">
        <f>IF('GPS Anthro Tool'!$B$5=0,0,IF($I7=0,0,BA25))</f>
        <v>0</v>
      </c>
      <c r="BC7" s="173">
        <f>IF('GPS Anthro Tool'!$B$5=0,0,IF($G7=0,0,BC25))</f>
        <v>0</v>
      </c>
      <c r="BD7" s="173">
        <f>IF('GPS Anthro Tool'!$B$5=0,0,IF($H7=0,0,BD25))</f>
        <v>0</v>
      </c>
      <c r="BE7" s="173">
        <f>IF('GPS Anthro Tool'!$B$5=0,0,IF($I7=0,0,BE25))</f>
        <v>0</v>
      </c>
      <c r="BF7" s="208"/>
      <c r="BG7" s="157">
        <f t="shared" si="0"/>
        <v>0</v>
      </c>
      <c r="BH7" s="157">
        <f t="shared" si="1"/>
        <v>0</v>
      </c>
      <c r="BI7" s="157">
        <f t="shared" si="2"/>
        <v>0</v>
      </c>
      <c r="BJ7" s="213">
        <v>0</v>
      </c>
      <c r="BK7" s="157">
        <f t="shared" si="3"/>
        <v>0</v>
      </c>
      <c r="BL7" s="157">
        <f t="shared" si="4"/>
        <v>0</v>
      </c>
      <c r="BM7" s="157">
        <f t="shared" si="5"/>
        <v>0</v>
      </c>
      <c r="BN7" s="213">
        <v>0</v>
      </c>
      <c r="BO7" s="157">
        <f t="shared" si="6"/>
        <v>0</v>
      </c>
      <c r="BP7" s="157">
        <f t="shared" si="7"/>
        <v>0</v>
      </c>
      <c r="BQ7" s="157">
        <f t="shared" si="8"/>
        <v>0</v>
      </c>
      <c r="BR7" s="213"/>
      <c r="BS7" s="167">
        <f t="shared" si="9"/>
        <v>0</v>
      </c>
      <c r="BT7" s="167">
        <f t="shared" si="10"/>
        <v>0</v>
      </c>
      <c r="BU7" s="167">
        <f t="shared" si="11"/>
        <v>0</v>
      </c>
      <c r="BV7" s="213">
        <v>0</v>
      </c>
      <c r="BW7" s="168">
        <f t="shared" si="12"/>
        <v>0</v>
      </c>
      <c r="BX7" s="168">
        <f t="shared" si="13"/>
        <v>0</v>
      </c>
      <c r="BY7" s="168">
        <f t="shared" si="14"/>
        <v>0</v>
      </c>
      <c r="BZ7" s="210"/>
      <c r="CA7" s="169">
        <f t="shared" si="15"/>
        <v>0</v>
      </c>
      <c r="CB7" s="169">
        <f t="shared" si="16"/>
        <v>0</v>
      </c>
      <c r="CC7" s="169">
        <f t="shared" si="17"/>
        <v>0</v>
      </c>
      <c r="CD7" s="210"/>
      <c r="CE7" s="170">
        <f t="shared" si="18"/>
        <v>0</v>
      </c>
      <c r="CF7" s="170">
        <f t="shared" si="19"/>
        <v>0</v>
      </c>
      <c r="CG7" s="170">
        <f t="shared" si="20"/>
        <v>0</v>
      </c>
      <c r="CH7" s="210"/>
    </row>
    <row r="8" spans="1:86">
      <c r="A8" s="426">
        <v>2</v>
      </c>
      <c r="B8" s="153">
        <v>1</v>
      </c>
      <c r="C8" s="172">
        <f>IF('GPS Anthro Tool'!$B$5=0,0,IF('GPS Anthro Tool'!$B$11=0,0,IF('EU Child Data'!$B8=0,0,IF(C26&gt;'GPS Anthro Tool'!$B$16,0,IF(C26&lt;'GPS Anthro Tool'!$B$17,0,C26)))))</f>
        <v>0</v>
      </c>
      <c r="D8" s="172">
        <f>IF('GPS Anthro Tool'!$B$5=0,0,IF('GPS Anthro Tool'!$B$10=0,0,IF('EU Child Data'!$B8=0,0,IF(D26&gt;'GPS Anthro Tool'!$B$16,0,IF(D26&lt;'GPS Anthro Tool'!$B$17,0,D26)))))</f>
        <v>0</v>
      </c>
      <c r="E8" s="172">
        <f>IF('GPS Anthro Tool'!$B$5=0,0,IF('GPS Anthro Tool'!$B$9=0,0,IF('EU Child Data'!$B8=0,0,IF(E26&gt;'GPS Anthro Tool'!$B$16,0,IF(E26&lt;'GPS Anthro Tool'!$B$17,0,E26)))))</f>
        <v>0</v>
      </c>
      <c r="G8" s="173">
        <f>IF('GPS Anthro Tool'!$B$5=0,0,IF('GPS Anthro Tool'!$B$11=0,0,IF('EU Child Data'!$B8=0,0,IF(G26&gt;'GPS Anthro Tool'!$B$14,0,IF(G26&lt;'GPS Anthro Tool'!$B$15,0,G26)))))</f>
        <v>0</v>
      </c>
      <c r="H8" s="173">
        <f>IF('GPS Anthro Tool'!$B$5=0,0,IF('GPS Anthro Tool'!$B$10=0,0,IF('EU Child Data'!$B8=0,0,IF(H26&gt;'GPS Anthro Tool'!$B$14,0,IF(H26&lt;'GPS Anthro Tool'!$B$15,0,H26)))))</f>
        <v>0</v>
      </c>
      <c r="I8" s="173">
        <f>IF('GPS Anthro Tool'!$B$5=0,0,IF('GPS Anthro Tool'!$B$9=0,0,IF('EU Child Data'!$B8=0,0,IF(I26&gt;'GPS Anthro Tool'!$B$14,0,IF(I26&lt;'GPS Anthro Tool'!$B$15,0,I26)))))</f>
        <v>0</v>
      </c>
      <c r="K8" s="462">
        <f>IF('GPS Anthro Tool'!$B$5=0,0,IF($G8=0,0,K26+'GPS Anthro Tool'!$B$41))</f>
        <v>0</v>
      </c>
      <c r="L8" s="462">
        <f>IF('GPS Anthro Tool'!$B$5=0,0,IF($H8=0,0,L26+'GPS Anthro Tool'!$B$41))</f>
        <v>0</v>
      </c>
      <c r="M8" s="462">
        <f>IF('GPS Anthro Tool'!$B$5=0,0,IF($I8=0,0,M26+'GPS Anthro Tool'!$B$41))</f>
        <v>0</v>
      </c>
      <c r="N8" s="463"/>
      <c r="O8" s="462">
        <f>IF('GPS Anthro Tool'!$B$5=0,0,IF($G8=0,0,O26+'GPS Anthro Tool'!$B$41))</f>
        <v>0</v>
      </c>
      <c r="P8" s="462">
        <f>IF('GPS Anthro Tool'!$B$5=0,0,IF($H8=0,0,P26+'GPS Anthro Tool'!$B$41))</f>
        <v>0</v>
      </c>
      <c r="Q8" s="462">
        <f>IF('GPS Anthro Tool'!$B$5=0,0,IF($I8=0,0,Q26+'GPS Anthro Tool'!$B$41))</f>
        <v>0</v>
      </c>
      <c r="S8" s="173">
        <f>IF('GPS Anthro Tool'!$B$5=0,0,IF($G8=0,0,S26))</f>
        <v>0</v>
      </c>
      <c r="T8" s="173">
        <f>IF('GPS Anthro Tool'!$B$5=0,0,IF($H8=0,0,T26))</f>
        <v>0</v>
      </c>
      <c r="U8" s="173">
        <f>IF('GPS Anthro Tool'!$B$5=0,0,IF($I8=0,0,U26))</f>
        <v>0</v>
      </c>
      <c r="W8" s="173">
        <f>IF('GPS Anthro Tool'!$B$5=0,0,IF($G8=0,0,W26))</f>
        <v>0</v>
      </c>
      <c r="X8" s="173">
        <f>IF('GPS Anthro Tool'!$B$5=0,0,IF($H8=0,0,X26))</f>
        <v>0</v>
      </c>
      <c r="Y8" s="173">
        <f>IF('GPS Anthro Tool'!$B$5=0,0,IF($I8=0,0,Y26))</f>
        <v>0</v>
      </c>
      <c r="Z8" s="283">
        <v>0</v>
      </c>
      <c r="AA8" s="173">
        <f>IF('GPS Anthro Tool'!$B$5=0,0,IF($G8=0,0,AA26))</f>
        <v>0</v>
      </c>
      <c r="AB8" s="173">
        <f>IF('GPS Anthro Tool'!$B$5=0,0,IF($H8=0,0,AB26))</f>
        <v>0</v>
      </c>
      <c r="AC8" s="173">
        <f>IF('GPS Anthro Tool'!$B$5=0,0,IF($I8=0,0,AC26))</f>
        <v>0</v>
      </c>
      <c r="AE8" s="173">
        <f>IF('GPS Anthro Tool'!$B$5=0,0,IF($G8=0,0,AE26))</f>
        <v>0</v>
      </c>
      <c r="AF8" s="173">
        <f>IF('GPS Anthro Tool'!$B$5=0,0,IF($H8=0,0,AF26))</f>
        <v>0</v>
      </c>
      <c r="AG8" s="173">
        <f>IF('GPS Anthro Tool'!$B$5=0,0,IF($I8=0,0,AG26))</f>
        <v>0</v>
      </c>
      <c r="AI8" s="462">
        <f>IF('GPS Anthro Tool'!$B$5=0,0,IF($G8=0,0,AI26+'GPS Anthro Tool'!$B$42))</f>
        <v>0</v>
      </c>
      <c r="AJ8" s="462">
        <f>IF('GPS Anthro Tool'!$B$5=0,0,IF($H8=0,0,AJ26+'GPS Anthro Tool'!$B$42))</f>
        <v>0</v>
      </c>
      <c r="AK8" s="462">
        <f>IF('GPS Anthro Tool'!$B$5=0,0,IF($I8=0,0,AK26+'GPS Anthro Tool'!$B$42))</f>
        <v>0</v>
      </c>
      <c r="AM8" s="173">
        <f>IF('GPS Anthro Tool'!$B$5=0,0,IF($G8=0,0,-AM26-'GPS Anthro Tool'!$B$42))</f>
        <v>0</v>
      </c>
      <c r="AN8" s="173">
        <f>IF('GPS Anthro Tool'!$B$5=0,0,IF($H8=0,0,-AN26-'GPS Anthro Tool'!$B$42))</f>
        <v>0</v>
      </c>
      <c r="AO8" s="173">
        <f>IF('GPS Anthro Tool'!$B$5=0,0,IF($I8=0,0,-AO26-'GPS Anthro Tool'!$B$42))</f>
        <v>0</v>
      </c>
      <c r="AQ8" s="173">
        <f>IF('GPS Anthro Tool'!$B$5=0,0,IF($G8=0,0,AQ26-'GPS Anthro Tool'!$B$41))</f>
        <v>0</v>
      </c>
      <c r="AR8" s="173">
        <f>IF('GPS Anthro Tool'!$B$5=0,0,IF($H8=0,0,AR26-'GPS Anthro Tool'!$B$41))</f>
        <v>0</v>
      </c>
      <c r="AS8" s="173">
        <f>IF('GPS Anthro Tool'!$B$5=0,0,IF($I8=0,0,AS26-'GPS Anthro Tool'!$B$41))</f>
        <v>0</v>
      </c>
      <c r="AU8" s="173">
        <f>IF('GPS Anthro Tool'!$B$5=0,0,IF($G8=0,0,AU26))</f>
        <v>0</v>
      </c>
      <c r="AV8" s="173">
        <f>IF('GPS Anthro Tool'!$B$5=0,0,IF($H8=0,0,AV26))</f>
        <v>0</v>
      </c>
      <c r="AW8" s="173">
        <f>IF('GPS Anthro Tool'!$B$5=0,0,IF($I8=0,0,AW26))</f>
        <v>0</v>
      </c>
      <c r="AY8" s="173">
        <f>IF('GPS Anthro Tool'!$B$5=0,0,IF($G8=0,0,AY26))</f>
        <v>0</v>
      </c>
      <c r="AZ8" s="173">
        <f>IF('GPS Anthro Tool'!$B$5=0,0,IF($H8=0,0,AZ26))</f>
        <v>0</v>
      </c>
      <c r="BA8" s="173">
        <f>IF('GPS Anthro Tool'!$B$5=0,0,IF($I8=0,0,BA26))</f>
        <v>0</v>
      </c>
      <c r="BC8" s="173">
        <f>IF('GPS Anthro Tool'!$B$5=0,0,IF($G8=0,0,BC26))</f>
        <v>0</v>
      </c>
      <c r="BD8" s="173">
        <f>IF('GPS Anthro Tool'!$B$5=0,0,IF($H8=0,0,BD26))</f>
        <v>0</v>
      </c>
      <c r="BE8" s="173">
        <f>IF('GPS Anthro Tool'!$B$5=0,0,IF($I8=0,0,BE26))</f>
        <v>0</v>
      </c>
      <c r="BF8" s="208"/>
      <c r="BG8" s="157">
        <f t="shared" si="0"/>
        <v>0</v>
      </c>
      <c r="BH8" s="157">
        <f t="shared" si="1"/>
        <v>0</v>
      </c>
      <c r="BI8" s="157">
        <f t="shared" si="2"/>
        <v>0</v>
      </c>
      <c r="BJ8" s="213">
        <v>0</v>
      </c>
      <c r="BK8" s="157">
        <f t="shared" si="3"/>
        <v>0</v>
      </c>
      <c r="BL8" s="157">
        <f t="shared" si="4"/>
        <v>0</v>
      </c>
      <c r="BM8" s="157">
        <f t="shared" si="5"/>
        <v>0</v>
      </c>
      <c r="BN8" s="213">
        <v>0</v>
      </c>
      <c r="BO8" s="157">
        <f t="shared" si="6"/>
        <v>0</v>
      </c>
      <c r="BP8" s="157">
        <f t="shared" si="7"/>
        <v>0</v>
      </c>
      <c r="BQ8" s="157">
        <f t="shared" si="8"/>
        <v>0</v>
      </c>
      <c r="BR8" s="213"/>
      <c r="BS8" s="167">
        <f t="shared" si="9"/>
        <v>0</v>
      </c>
      <c r="BT8" s="167">
        <f t="shared" si="10"/>
        <v>0</v>
      </c>
      <c r="BU8" s="167">
        <f t="shared" si="11"/>
        <v>0</v>
      </c>
      <c r="BV8" s="213">
        <v>0</v>
      </c>
      <c r="BW8" s="168">
        <f t="shared" si="12"/>
        <v>0</v>
      </c>
      <c r="BX8" s="168">
        <f t="shared" si="13"/>
        <v>0</v>
      </c>
      <c r="BY8" s="168">
        <f t="shared" si="14"/>
        <v>0</v>
      </c>
      <c r="BZ8" s="210"/>
      <c r="CA8" s="169">
        <f t="shared" si="15"/>
        <v>0</v>
      </c>
      <c r="CB8" s="169">
        <f t="shared" si="16"/>
        <v>0</v>
      </c>
      <c r="CC8" s="169">
        <f t="shared" si="17"/>
        <v>0</v>
      </c>
      <c r="CD8" s="210"/>
      <c r="CE8" s="170">
        <f t="shared" si="18"/>
        <v>0</v>
      </c>
      <c r="CF8" s="170">
        <f t="shared" si="19"/>
        <v>0</v>
      </c>
      <c r="CG8" s="170">
        <f t="shared" si="20"/>
        <v>0</v>
      </c>
      <c r="CH8" s="210"/>
    </row>
    <row r="9" spans="1:86">
      <c r="A9" s="426">
        <v>3</v>
      </c>
      <c r="B9" s="153">
        <v>1</v>
      </c>
      <c r="C9" s="172">
        <f>IF('GPS Anthro Tool'!$B$5=0,0,IF('GPS Anthro Tool'!$B$11=0,0,IF('EU Child Data'!$B9=0,0,IF(C27&gt;'GPS Anthro Tool'!$B$16,0,IF(C27&lt;'GPS Anthro Tool'!$B$17,0,C27)))))</f>
        <v>0</v>
      </c>
      <c r="D9" s="172">
        <f>IF('GPS Anthro Tool'!$B$5=0,0,IF('GPS Anthro Tool'!$B$10=0,0,IF('EU Child Data'!$B9=0,0,IF(D27&gt;'GPS Anthro Tool'!$B$16,0,IF(D27&lt;'GPS Anthro Tool'!$B$17,0,D27)))))</f>
        <v>0</v>
      </c>
      <c r="E9" s="172">
        <f>IF('GPS Anthro Tool'!$B$5=0,0,IF('GPS Anthro Tool'!$B$9=0,0,IF('EU Child Data'!$B9=0,0,IF(E27&gt;'GPS Anthro Tool'!$B$16,0,IF(E27&lt;'GPS Anthro Tool'!$B$17,0,E27)))))</f>
        <v>0</v>
      </c>
      <c r="G9" s="173">
        <f>IF('GPS Anthro Tool'!$B$5=0,0,IF('GPS Anthro Tool'!$B$11=0,0,IF('EU Child Data'!$B9=0,0,IF(G27&gt;'GPS Anthro Tool'!$B$14,0,IF(G27&lt;'GPS Anthro Tool'!$B$15,0,G27)))))</f>
        <v>0</v>
      </c>
      <c r="H9" s="173">
        <f>IF('GPS Anthro Tool'!$B$5=0,0,IF('GPS Anthro Tool'!$B$10=0,0,IF('EU Child Data'!$B9=0,0,IF(H27&gt;'GPS Anthro Tool'!$B$14,0,IF(H27&lt;'GPS Anthro Tool'!$B$15,0,H27)))))</f>
        <v>0</v>
      </c>
      <c r="I9" s="173">
        <f>IF('GPS Anthro Tool'!$B$5=0,0,IF('GPS Anthro Tool'!$B$9=0,0,IF('EU Child Data'!$B9=0,0,IF(I27&gt;'GPS Anthro Tool'!$B$14,0,IF(I27&lt;'GPS Anthro Tool'!$B$15,0,I27)))))</f>
        <v>0</v>
      </c>
      <c r="K9" s="462">
        <f>IF('GPS Anthro Tool'!$B$5=0,0,IF($G9=0,0,K27+'GPS Anthro Tool'!$B$41))</f>
        <v>0</v>
      </c>
      <c r="L9" s="462">
        <f>IF('GPS Anthro Tool'!$B$5=0,0,IF($H9=0,0,L27+'GPS Anthro Tool'!$B$41))</f>
        <v>0</v>
      </c>
      <c r="M9" s="462">
        <f>IF('GPS Anthro Tool'!$B$5=0,0,IF($I9=0,0,M27+'GPS Anthro Tool'!$B$41))</f>
        <v>0</v>
      </c>
      <c r="N9" s="463"/>
      <c r="O9" s="462">
        <f>IF('GPS Anthro Tool'!$B$5=0,0,IF($G9=0,0,O27+'GPS Anthro Tool'!$B$41))</f>
        <v>0</v>
      </c>
      <c r="P9" s="462">
        <f>IF('GPS Anthro Tool'!$B$5=0,0,IF($H9=0,0,P27+'GPS Anthro Tool'!$B$41))</f>
        <v>0</v>
      </c>
      <c r="Q9" s="462">
        <f>IF('GPS Anthro Tool'!$B$5=0,0,IF($I9=0,0,Q27+'GPS Anthro Tool'!$B$41))</f>
        <v>0</v>
      </c>
      <c r="S9" s="173">
        <f>IF('GPS Anthro Tool'!$B$5=0,0,IF($G9=0,0,S27))</f>
        <v>0</v>
      </c>
      <c r="T9" s="173">
        <f>IF('GPS Anthro Tool'!$B$5=0,0,IF($H9=0,0,T27))</f>
        <v>0</v>
      </c>
      <c r="U9" s="173">
        <f>IF('GPS Anthro Tool'!$B$5=0,0,IF($I9=0,0,U27))</f>
        <v>0</v>
      </c>
      <c r="W9" s="173">
        <f>IF('GPS Anthro Tool'!$B$5=0,0,IF($G9=0,0,W27))</f>
        <v>0</v>
      </c>
      <c r="X9" s="173">
        <f>IF('GPS Anthro Tool'!$B$5=0,0,IF($H9=0,0,X27))</f>
        <v>0</v>
      </c>
      <c r="Y9" s="173">
        <f>IF('GPS Anthro Tool'!$B$5=0,0,IF($I9=0,0,Y27))</f>
        <v>0</v>
      </c>
      <c r="Z9" s="283">
        <v>0</v>
      </c>
      <c r="AA9" s="173">
        <f>IF('GPS Anthro Tool'!$B$5=0,0,IF($G9=0,0,AA27))</f>
        <v>0</v>
      </c>
      <c r="AB9" s="173">
        <f>IF('GPS Anthro Tool'!$B$5=0,0,IF($H9=0,0,AB27))</f>
        <v>0</v>
      </c>
      <c r="AC9" s="173">
        <f>IF('GPS Anthro Tool'!$B$5=0,0,IF($I9=0,0,AC27))</f>
        <v>0</v>
      </c>
      <c r="AE9" s="173">
        <f>IF('GPS Anthro Tool'!$B$5=0,0,IF($G9=0,0,AE27))</f>
        <v>0</v>
      </c>
      <c r="AF9" s="173">
        <f>IF('GPS Anthro Tool'!$B$5=0,0,IF($H9=0,0,AF27))</f>
        <v>0</v>
      </c>
      <c r="AG9" s="173">
        <f>IF('GPS Anthro Tool'!$B$5=0,0,IF($I9=0,0,AG27))</f>
        <v>0</v>
      </c>
      <c r="AI9" s="462">
        <f>IF('GPS Anthro Tool'!$B$5=0,0,IF($G9=0,0,AI27+'GPS Anthro Tool'!$B$42))</f>
        <v>0</v>
      </c>
      <c r="AJ9" s="462">
        <f>IF('GPS Anthro Tool'!$B$5=0,0,IF($H9=0,0,AJ27+'GPS Anthro Tool'!$B$42))</f>
        <v>0</v>
      </c>
      <c r="AK9" s="462">
        <f>IF('GPS Anthro Tool'!$B$5=0,0,IF($I9=0,0,AK27+'GPS Anthro Tool'!$B$42))</f>
        <v>0</v>
      </c>
      <c r="AM9" s="173">
        <f>IF('GPS Anthro Tool'!$B$5=0,0,IF($G9=0,0,-AM27-'GPS Anthro Tool'!$B$42))</f>
        <v>0</v>
      </c>
      <c r="AN9" s="173">
        <f>IF('GPS Anthro Tool'!$B$5=0,0,IF($H9=0,0,-AN27-'GPS Anthro Tool'!$B$42))</f>
        <v>0</v>
      </c>
      <c r="AO9" s="173">
        <f>IF('GPS Anthro Tool'!$B$5=0,0,IF($I9=0,0,-AO27-'GPS Anthro Tool'!$B$42))</f>
        <v>0</v>
      </c>
      <c r="AQ9" s="173">
        <f>IF('GPS Anthro Tool'!$B$5=0,0,IF($G9=0,0,AQ27-'GPS Anthro Tool'!$B$41))</f>
        <v>0</v>
      </c>
      <c r="AR9" s="173">
        <f>IF('GPS Anthro Tool'!$B$5=0,0,IF($H9=0,0,AR27-'GPS Anthro Tool'!$B$41))</f>
        <v>0</v>
      </c>
      <c r="AS9" s="173">
        <f>IF('GPS Anthro Tool'!$B$5=0,0,IF($I9=0,0,AS27-'GPS Anthro Tool'!$B$41))</f>
        <v>0</v>
      </c>
      <c r="AU9" s="173">
        <f>IF('GPS Anthro Tool'!$B$5=0,0,IF($G9=0,0,AU27))</f>
        <v>0</v>
      </c>
      <c r="AV9" s="173">
        <f>IF('GPS Anthro Tool'!$B$5=0,0,IF($H9=0,0,AV27))</f>
        <v>0</v>
      </c>
      <c r="AW9" s="173">
        <f>IF('GPS Anthro Tool'!$B$5=0,0,IF($I9=0,0,AW27))</f>
        <v>0</v>
      </c>
      <c r="AY9" s="173">
        <f>IF('GPS Anthro Tool'!$B$5=0,0,IF($G9=0,0,AY27))</f>
        <v>0</v>
      </c>
      <c r="AZ9" s="173">
        <f>IF('GPS Anthro Tool'!$B$5=0,0,IF($H9=0,0,AZ27))</f>
        <v>0</v>
      </c>
      <c r="BA9" s="173">
        <f>IF('GPS Anthro Tool'!$B$5=0,0,IF($I9=0,0,BA27))</f>
        <v>0</v>
      </c>
      <c r="BC9" s="173">
        <f>IF('GPS Anthro Tool'!$B$5=0,0,IF($G9=0,0,BC27))</f>
        <v>0</v>
      </c>
      <c r="BD9" s="173">
        <f>IF('GPS Anthro Tool'!$B$5=0,0,IF($H9=0,0,BD27))</f>
        <v>0</v>
      </c>
      <c r="BE9" s="173">
        <f>IF('GPS Anthro Tool'!$B$5=0,0,IF($I9=0,0,BE27))</f>
        <v>0</v>
      </c>
      <c r="BF9" s="208"/>
      <c r="BG9" s="157">
        <f t="shared" si="0"/>
        <v>0</v>
      </c>
      <c r="BH9" s="157">
        <f t="shared" si="1"/>
        <v>0</v>
      </c>
      <c r="BI9" s="157">
        <f t="shared" si="2"/>
        <v>0</v>
      </c>
      <c r="BJ9" s="213">
        <v>0</v>
      </c>
      <c r="BK9" s="157">
        <f t="shared" si="3"/>
        <v>0</v>
      </c>
      <c r="BL9" s="157">
        <f t="shared" si="4"/>
        <v>0</v>
      </c>
      <c r="BM9" s="157">
        <f t="shared" si="5"/>
        <v>0</v>
      </c>
      <c r="BN9" s="213">
        <v>0</v>
      </c>
      <c r="BO9" s="157">
        <f t="shared" si="6"/>
        <v>0</v>
      </c>
      <c r="BP9" s="157">
        <f t="shared" si="7"/>
        <v>0</v>
      </c>
      <c r="BQ9" s="157">
        <f t="shared" si="8"/>
        <v>0</v>
      </c>
      <c r="BR9" s="213"/>
      <c r="BS9" s="167">
        <f t="shared" si="9"/>
        <v>0</v>
      </c>
      <c r="BT9" s="167">
        <f t="shared" si="10"/>
        <v>0</v>
      </c>
      <c r="BU9" s="167">
        <f t="shared" si="11"/>
        <v>0</v>
      </c>
      <c r="BV9" s="213">
        <v>0</v>
      </c>
      <c r="BW9" s="168">
        <f t="shared" si="12"/>
        <v>0</v>
      </c>
      <c r="BX9" s="168">
        <f t="shared" si="13"/>
        <v>0</v>
      </c>
      <c r="BY9" s="168">
        <f t="shared" si="14"/>
        <v>0</v>
      </c>
      <c r="BZ9" s="210"/>
      <c r="CA9" s="169">
        <f t="shared" si="15"/>
        <v>0</v>
      </c>
      <c r="CB9" s="169">
        <f t="shared" si="16"/>
        <v>0</v>
      </c>
      <c r="CC9" s="169">
        <f t="shared" si="17"/>
        <v>0</v>
      </c>
      <c r="CD9" s="210"/>
      <c r="CE9" s="170">
        <f t="shared" si="18"/>
        <v>0</v>
      </c>
      <c r="CF9" s="170">
        <f t="shared" si="19"/>
        <v>0</v>
      </c>
      <c r="CG9" s="170">
        <f t="shared" si="20"/>
        <v>0</v>
      </c>
      <c r="CH9" s="210"/>
    </row>
    <row r="10" spans="1:86">
      <c r="A10" s="426">
        <v>4</v>
      </c>
      <c r="B10" s="153">
        <v>1</v>
      </c>
      <c r="C10" s="172">
        <f>IF('GPS Anthro Tool'!$B$5=0,0,IF('GPS Anthro Tool'!$B$11=0,0,IF('EU Child Data'!$B10=0,0,IF(C28&gt;'GPS Anthro Tool'!$B$16,0,IF(C28&lt;'GPS Anthro Tool'!$B$17,0,C28)))))</f>
        <v>0</v>
      </c>
      <c r="D10" s="172">
        <f>IF('GPS Anthro Tool'!$B$5=0,0,IF('GPS Anthro Tool'!$B$10=0,0,IF('EU Child Data'!$B10=0,0,IF(D28&gt;'GPS Anthro Tool'!$B$16,0,IF(D28&lt;'GPS Anthro Tool'!$B$17,0,D28)))))</f>
        <v>0</v>
      </c>
      <c r="E10" s="172">
        <f>IF('GPS Anthro Tool'!$B$5=0,0,IF('GPS Anthro Tool'!$B$9=0,0,IF('EU Child Data'!$B10=0,0,IF(E28&gt;'GPS Anthro Tool'!$B$16,0,IF(E28&lt;'GPS Anthro Tool'!$B$17,0,E28)))))</f>
        <v>0</v>
      </c>
      <c r="G10" s="173">
        <f>IF('GPS Anthro Tool'!$B$5=0,0,IF('GPS Anthro Tool'!$B$11=0,0,IF('EU Child Data'!$B10=0,0,IF(G28&gt;'GPS Anthro Tool'!$B$14,0,IF(G28&lt;'GPS Anthro Tool'!$B$15,0,G28)))))</f>
        <v>0</v>
      </c>
      <c r="H10" s="173">
        <f>IF('GPS Anthro Tool'!$B$5=0,0,IF('GPS Anthro Tool'!$B$10=0,0,IF('EU Child Data'!$B10=0,0,IF(H28&gt;'GPS Anthro Tool'!$B$14,0,IF(H28&lt;'GPS Anthro Tool'!$B$15,0,H28)))))</f>
        <v>0</v>
      </c>
      <c r="I10" s="173">
        <f>IF('GPS Anthro Tool'!$B$5=0,0,IF('GPS Anthro Tool'!$B$9=0,0,IF('EU Child Data'!$B10=0,0,IF(I28&gt;'GPS Anthro Tool'!$B$14,0,IF(I28&lt;'GPS Anthro Tool'!$B$15,0,I28)))))</f>
        <v>0</v>
      </c>
      <c r="K10" s="462">
        <f>IF('GPS Anthro Tool'!$B$5=0,0,IF($G10=0,0,K28+'GPS Anthro Tool'!$B$41))</f>
        <v>0</v>
      </c>
      <c r="L10" s="462">
        <f>IF('GPS Anthro Tool'!$B$5=0,0,IF($H10=0,0,L28+'GPS Anthro Tool'!$B$41))</f>
        <v>0</v>
      </c>
      <c r="M10" s="462">
        <f>IF('GPS Anthro Tool'!$B$5=0,0,IF($I10=0,0,M28+'GPS Anthro Tool'!$B$41))</f>
        <v>0</v>
      </c>
      <c r="N10" s="463"/>
      <c r="O10" s="462">
        <f>IF('GPS Anthro Tool'!$B$5=0,0,IF($G10=0,0,O28+'GPS Anthro Tool'!$B$41))</f>
        <v>0</v>
      </c>
      <c r="P10" s="462">
        <f>IF('GPS Anthro Tool'!$B$5=0,0,IF($H10=0,0,P28+'GPS Anthro Tool'!$B$41))</f>
        <v>0</v>
      </c>
      <c r="Q10" s="462">
        <f>IF('GPS Anthro Tool'!$B$5=0,0,IF($I10=0,0,Q28+'GPS Anthro Tool'!$B$41))</f>
        <v>0</v>
      </c>
      <c r="S10" s="173">
        <f>IF('GPS Anthro Tool'!$B$5=0,0,IF($G10=0,0,S28))</f>
        <v>0</v>
      </c>
      <c r="T10" s="173">
        <f>IF('GPS Anthro Tool'!$B$5=0,0,IF($H10=0,0,T28))</f>
        <v>0</v>
      </c>
      <c r="U10" s="173">
        <f>IF('GPS Anthro Tool'!$B$5=0,0,IF($I10=0,0,U28))</f>
        <v>0</v>
      </c>
      <c r="W10" s="173">
        <f>IF('GPS Anthro Tool'!$B$5=0,0,IF($G10=0,0,W28))</f>
        <v>0</v>
      </c>
      <c r="X10" s="173">
        <f>IF('GPS Anthro Tool'!$B$5=0,0,IF($H10=0,0,X28))</f>
        <v>0</v>
      </c>
      <c r="Y10" s="173">
        <f>IF('GPS Anthro Tool'!$B$5=0,0,IF($I10=0,0,Y28))</f>
        <v>0</v>
      </c>
      <c r="Z10" s="283">
        <v>0</v>
      </c>
      <c r="AA10" s="173">
        <f>IF('GPS Anthro Tool'!$B$5=0,0,IF($G10=0,0,AA28))</f>
        <v>0</v>
      </c>
      <c r="AB10" s="173">
        <f>IF('GPS Anthro Tool'!$B$5=0,0,IF($H10=0,0,AB28))</f>
        <v>0</v>
      </c>
      <c r="AC10" s="173">
        <f>IF('GPS Anthro Tool'!$B$5=0,0,IF($I10=0,0,AC28))</f>
        <v>0</v>
      </c>
      <c r="AE10" s="173">
        <f>IF('GPS Anthro Tool'!$B$5=0,0,IF($G10=0,0,AE28))</f>
        <v>0</v>
      </c>
      <c r="AF10" s="173">
        <f>IF('GPS Anthro Tool'!$B$5=0,0,IF($H10=0,0,AF28))</f>
        <v>0</v>
      </c>
      <c r="AG10" s="173">
        <f>IF('GPS Anthro Tool'!$B$5=0,0,IF($I10=0,0,AG28))</f>
        <v>0</v>
      </c>
      <c r="AI10" s="462">
        <f>IF('GPS Anthro Tool'!$B$5=0,0,IF($G10=0,0,AI28+'GPS Anthro Tool'!$B$42))</f>
        <v>0</v>
      </c>
      <c r="AJ10" s="462">
        <f>IF('GPS Anthro Tool'!$B$5=0,0,IF($H10=0,0,AJ28+'GPS Anthro Tool'!$B$42))</f>
        <v>0</v>
      </c>
      <c r="AK10" s="462">
        <f>IF('GPS Anthro Tool'!$B$5=0,0,IF($I10=0,0,AK28+'GPS Anthro Tool'!$B$42))</f>
        <v>0</v>
      </c>
      <c r="AM10" s="173">
        <f>IF('GPS Anthro Tool'!$B$5=0,0,IF($G10=0,0,-AM28-'GPS Anthro Tool'!$B$42))</f>
        <v>0</v>
      </c>
      <c r="AN10" s="173">
        <f>IF('GPS Anthro Tool'!$B$5=0,0,IF($H10=0,0,-AN28-'GPS Anthro Tool'!$B$42))</f>
        <v>0</v>
      </c>
      <c r="AO10" s="173">
        <f>IF('GPS Anthro Tool'!$B$5=0,0,IF($I10=0,0,-AO28-'GPS Anthro Tool'!$B$42))</f>
        <v>0</v>
      </c>
      <c r="AQ10" s="173">
        <f>IF('GPS Anthro Tool'!$B$5=0,0,IF($G10=0,0,AQ28-'GPS Anthro Tool'!$B$41))</f>
        <v>0</v>
      </c>
      <c r="AR10" s="173">
        <f>IF('GPS Anthro Tool'!$B$5=0,0,IF($H10=0,0,AR28-'GPS Anthro Tool'!$B$41))</f>
        <v>0</v>
      </c>
      <c r="AS10" s="173">
        <f>IF('GPS Anthro Tool'!$B$5=0,0,IF($I10=0,0,AS28-'GPS Anthro Tool'!$B$41))</f>
        <v>0</v>
      </c>
      <c r="AU10" s="173">
        <f>IF('GPS Anthro Tool'!$B$5=0,0,IF($G10=0,0,AU28))</f>
        <v>0</v>
      </c>
      <c r="AV10" s="173">
        <f>IF('GPS Anthro Tool'!$B$5=0,0,IF($H10=0,0,AV28))</f>
        <v>0</v>
      </c>
      <c r="AW10" s="173">
        <f>IF('GPS Anthro Tool'!$B$5=0,0,IF($I10=0,0,AW28))</f>
        <v>0</v>
      </c>
      <c r="AY10" s="173">
        <f>IF('GPS Anthro Tool'!$B$5=0,0,IF($G10=0,0,AY28))</f>
        <v>0</v>
      </c>
      <c r="AZ10" s="173">
        <f>IF('GPS Anthro Tool'!$B$5=0,0,IF($H10=0,0,AZ28))</f>
        <v>0</v>
      </c>
      <c r="BA10" s="173">
        <f>IF('GPS Anthro Tool'!$B$5=0,0,IF($I10=0,0,BA28))</f>
        <v>0</v>
      </c>
      <c r="BC10" s="173">
        <f>IF('GPS Anthro Tool'!$B$5=0,0,IF($G10=0,0,BC28))</f>
        <v>0</v>
      </c>
      <c r="BD10" s="173">
        <f>IF('GPS Anthro Tool'!$B$5=0,0,IF($H10=0,0,BD28))</f>
        <v>0</v>
      </c>
      <c r="BE10" s="173">
        <f>IF('GPS Anthro Tool'!$B$5=0,0,IF($I10=0,0,BE28))</f>
        <v>0</v>
      </c>
      <c r="BF10" s="208"/>
      <c r="BG10" s="157">
        <f t="shared" si="0"/>
        <v>0</v>
      </c>
      <c r="BH10" s="157">
        <f t="shared" si="1"/>
        <v>0</v>
      </c>
      <c r="BI10" s="157">
        <f t="shared" si="2"/>
        <v>0</v>
      </c>
      <c r="BJ10" s="213">
        <v>0</v>
      </c>
      <c r="BK10" s="157">
        <f t="shared" si="3"/>
        <v>0</v>
      </c>
      <c r="BL10" s="157">
        <f t="shared" si="4"/>
        <v>0</v>
      </c>
      <c r="BM10" s="157">
        <f t="shared" si="5"/>
        <v>0</v>
      </c>
      <c r="BN10" s="213">
        <v>0</v>
      </c>
      <c r="BO10" s="157">
        <f t="shared" si="6"/>
        <v>0</v>
      </c>
      <c r="BP10" s="157">
        <f t="shared" si="7"/>
        <v>0</v>
      </c>
      <c r="BQ10" s="157">
        <f t="shared" si="8"/>
        <v>0</v>
      </c>
      <c r="BR10" s="213"/>
      <c r="BS10" s="167">
        <f t="shared" si="9"/>
        <v>0</v>
      </c>
      <c r="BT10" s="167">
        <f t="shared" si="10"/>
        <v>0</v>
      </c>
      <c r="BU10" s="167">
        <f t="shared" si="11"/>
        <v>0</v>
      </c>
      <c r="BV10" s="213">
        <v>0</v>
      </c>
      <c r="BW10" s="168">
        <f t="shared" si="12"/>
        <v>0</v>
      </c>
      <c r="BX10" s="168">
        <f t="shared" si="13"/>
        <v>0</v>
      </c>
      <c r="BY10" s="168">
        <f t="shared" si="14"/>
        <v>0</v>
      </c>
      <c r="BZ10" s="210"/>
      <c r="CA10" s="169">
        <f t="shared" si="15"/>
        <v>0</v>
      </c>
      <c r="CB10" s="169">
        <f t="shared" si="16"/>
        <v>0</v>
      </c>
      <c r="CC10" s="169">
        <f t="shared" si="17"/>
        <v>0</v>
      </c>
      <c r="CD10" s="210"/>
      <c r="CE10" s="170">
        <f t="shared" si="18"/>
        <v>0</v>
      </c>
      <c r="CF10" s="170">
        <f t="shared" si="19"/>
        <v>0</v>
      </c>
      <c r="CG10" s="170">
        <f t="shared" si="20"/>
        <v>0</v>
      </c>
      <c r="CH10" s="210"/>
    </row>
    <row r="11" spans="1:86">
      <c r="A11" s="426">
        <v>5</v>
      </c>
      <c r="B11" s="153">
        <v>1</v>
      </c>
      <c r="C11" s="172">
        <f>IF('GPS Anthro Tool'!$B$5=0,0,IF('GPS Anthro Tool'!$B$11=0,0,IF('EU Child Data'!$B11=0,0,IF(C29&gt;'GPS Anthro Tool'!$B$16,0,IF(C29&lt;'GPS Anthro Tool'!$B$17,0,C29)))))</f>
        <v>0</v>
      </c>
      <c r="D11" s="172">
        <f>IF('GPS Anthro Tool'!$B$5=0,0,IF('GPS Anthro Tool'!$B$10=0,0,IF('EU Child Data'!$B11=0,0,IF(D29&gt;'GPS Anthro Tool'!$B$16,0,IF(D29&lt;'GPS Anthro Tool'!$B$17,0,D29)))))</f>
        <v>0</v>
      </c>
      <c r="E11" s="172">
        <f>IF('GPS Anthro Tool'!$B$5=0,0,IF('GPS Anthro Tool'!$B$9=0,0,IF('EU Child Data'!$B11=0,0,IF(E29&gt;'GPS Anthro Tool'!$B$16,0,IF(E29&lt;'GPS Anthro Tool'!$B$17,0,E29)))))</f>
        <v>0</v>
      </c>
      <c r="G11" s="173">
        <f>IF('GPS Anthro Tool'!$B$5=0,0,IF('GPS Anthro Tool'!$B$11=0,0,IF('EU Child Data'!$B11=0,0,IF(G29&gt;'GPS Anthro Tool'!$B$14,0,IF(G29&lt;'GPS Anthro Tool'!$B$15,0,G29)))))</f>
        <v>0</v>
      </c>
      <c r="H11" s="173">
        <f>IF('GPS Anthro Tool'!$B$5=0,0,IF('GPS Anthro Tool'!$B$10=0,0,IF('EU Child Data'!$B11=0,0,IF(H29&gt;'GPS Anthro Tool'!$B$14,0,IF(H29&lt;'GPS Anthro Tool'!$B$15,0,H29)))))</f>
        <v>0</v>
      </c>
      <c r="I11" s="173">
        <f>IF('GPS Anthro Tool'!$B$5=0,0,IF('GPS Anthro Tool'!$B$9=0,0,IF('EU Child Data'!$B11=0,0,IF(I29&gt;'GPS Anthro Tool'!$B$14,0,IF(I29&lt;'GPS Anthro Tool'!$B$15,0,I29)))))</f>
        <v>0</v>
      </c>
      <c r="K11" s="462">
        <f>IF('GPS Anthro Tool'!$B$5=0,0,IF($G11=0,0,K29+'GPS Anthro Tool'!$B$41))</f>
        <v>0</v>
      </c>
      <c r="L11" s="462">
        <f>IF('GPS Anthro Tool'!$B$5=0,0,IF($H11=0,0,L29+'GPS Anthro Tool'!$B$41))</f>
        <v>0</v>
      </c>
      <c r="M11" s="462">
        <f>IF('GPS Anthro Tool'!$B$5=0,0,IF($I11=0,0,M29+'GPS Anthro Tool'!$B$41))</f>
        <v>0</v>
      </c>
      <c r="N11" s="463"/>
      <c r="O11" s="462">
        <f>IF('GPS Anthro Tool'!$B$5=0,0,IF($G11=0,0,O29+'GPS Anthro Tool'!$B$41))</f>
        <v>0</v>
      </c>
      <c r="P11" s="462">
        <f>IF('GPS Anthro Tool'!$B$5=0,0,IF($H11=0,0,P29+'GPS Anthro Tool'!$B$41))</f>
        <v>0</v>
      </c>
      <c r="Q11" s="462">
        <f>IF('GPS Anthro Tool'!$B$5=0,0,IF($I11=0,0,Q29+'GPS Anthro Tool'!$B$41))</f>
        <v>0</v>
      </c>
      <c r="S11" s="173">
        <f>IF('GPS Anthro Tool'!$B$5=0,0,IF($G11=0,0,S29))</f>
        <v>0</v>
      </c>
      <c r="T11" s="173">
        <f>IF('GPS Anthro Tool'!$B$5=0,0,IF($H11=0,0,T29))</f>
        <v>0</v>
      </c>
      <c r="U11" s="173">
        <f>IF('GPS Anthro Tool'!$B$5=0,0,IF($I11=0,0,U29))</f>
        <v>0</v>
      </c>
      <c r="W11" s="173">
        <f>IF('GPS Anthro Tool'!$B$5=0,0,IF($G11=0,0,W29))</f>
        <v>0</v>
      </c>
      <c r="X11" s="173">
        <f>IF('GPS Anthro Tool'!$B$5=0,0,IF($H11=0,0,X29))</f>
        <v>0</v>
      </c>
      <c r="Y11" s="173">
        <f>IF('GPS Anthro Tool'!$B$5=0,0,IF($I11=0,0,Y29))</f>
        <v>0</v>
      </c>
      <c r="Z11" s="283">
        <v>0</v>
      </c>
      <c r="AA11" s="173">
        <f>IF('GPS Anthro Tool'!$B$5=0,0,IF($G11=0,0,AA29))</f>
        <v>0</v>
      </c>
      <c r="AB11" s="173">
        <f>IF('GPS Anthro Tool'!$B$5=0,0,IF($H11=0,0,AB29))</f>
        <v>0</v>
      </c>
      <c r="AC11" s="173">
        <f>IF('GPS Anthro Tool'!$B$5=0,0,IF($I11=0,0,AC29))</f>
        <v>0</v>
      </c>
      <c r="AE11" s="173">
        <f>IF('GPS Anthro Tool'!$B$5=0,0,IF($G11=0,0,AE29))</f>
        <v>0</v>
      </c>
      <c r="AF11" s="173">
        <f>IF('GPS Anthro Tool'!$B$5=0,0,IF($H11=0,0,AF29))</f>
        <v>0</v>
      </c>
      <c r="AG11" s="173">
        <f>IF('GPS Anthro Tool'!$B$5=0,0,IF($I11=0,0,AG29))</f>
        <v>0</v>
      </c>
      <c r="AI11" s="462">
        <f>IF('GPS Anthro Tool'!$B$5=0,0,IF($G11=0,0,AI29+'GPS Anthro Tool'!$B$42))</f>
        <v>0</v>
      </c>
      <c r="AJ11" s="462">
        <f>IF('GPS Anthro Tool'!$B$5=0,0,IF($H11=0,0,AJ29+'GPS Anthro Tool'!$B$42))</f>
        <v>0</v>
      </c>
      <c r="AK11" s="462">
        <f>IF('GPS Anthro Tool'!$B$5=0,0,IF($I11=0,0,AK29+'GPS Anthro Tool'!$B$42))</f>
        <v>0</v>
      </c>
      <c r="AM11" s="173">
        <f>IF('GPS Anthro Tool'!$B$5=0,0,IF($G11=0,0,-AM29-'GPS Anthro Tool'!$B$42))</f>
        <v>0</v>
      </c>
      <c r="AN11" s="173">
        <f>IF('GPS Anthro Tool'!$B$5=0,0,IF($H11=0,0,-AN29-'GPS Anthro Tool'!$B$42))</f>
        <v>0</v>
      </c>
      <c r="AO11" s="173">
        <f>IF('GPS Anthro Tool'!$B$5=0,0,IF($I11=0,0,-AO29-'GPS Anthro Tool'!$B$42))</f>
        <v>0</v>
      </c>
      <c r="AQ11" s="173">
        <f>IF('GPS Anthro Tool'!$B$5=0,0,IF($G11=0,0,AQ29-'GPS Anthro Tool'!$B$41))</f>
        <v>0</v>
      </c>
      <c r="AR11" s="173">
        <f>IF('GPS Anthro Tool'!$B$5=0,0,IF($H11=0,0,AR29-'GPS Anthro Tool'!$B$41))</f>
        <v>0</v>
      </c>
      <c r="AS11" s="173">
        <f>IF('GPS Anthro Tool'!$B$5=0,0,IF($I11=0,0,AS29-'GPS Anthro Tool'!$B$41))</f>
        <v>0</v>
      </c>
      <c r="AU11" s="173">
        <f>IF('GPS Anthro Tool'!$B$5=0,0,IF($G11=0,0,AU29))</f>
        <v>0</v>
      </c>
      <c r="AV11" s="173">
        <f>IF('GPS Anthro Tool'!$B$5=0,0,IF($H11=0,0,AV29))</f>
        <v>0</v>
      </c>
      <c r="AW11" s="173">
        <f>IF('GPS Anthro Tool'!$B$5=0,0,IF($I11=0,0,AW29))</f>
        <v>0</v>
      </c>
      <c r="AY11" s="173">
        <f>IF('GPS Anthro Tool'!$B$5=0,0,IF($G11=0,0,AY29))</f>
        <v>0</v>
      </c>
      <c r="AZ11" s="173">
        <f>IF('GPS Anthro Tool'!$B$5=0,0,IF($H11=0,0,AZ29))</f>
        <v>0</v>
      </c>
      <c r="BA11" s="173">
        <f>IF('GPS Anthro Tool'!$B$5=0,0,IF($I11=0,0,BA29))</f>
        <v>0</v>
      </c>
      <c r="BC11" s="173">
        <f>IF('GPS Anthro Tool'!$B$5=0,0,IF($G11=0,0,BC29))</f>
        <v>0</v>
      </c>
      <c r="BD11" s="173">
        <f>IF('GPS Anthro Tool'!$B$5=0,0,IF($H11=0,0,BD29))</f>
        <v>0</v>
      </c>
      <c r="BE11" s="173">
        <f>IF('GPS Anthro Tool'!$B$5=0,0,IF($I11=0,0,BE29))</f>
        <v>0</v>
      </c>
      <c r="BF11" s="208"/>
      <c r="BG11" s="157">
        <f t="shared" si="0"/>
        <v>0</v>
      </c>
      <c r="BH11" s="157">
        <f t="shared" si="1"/>
        <v>0</v>
      </c>
      <c r="BI11" s="157">
        <f t="shared" si="2"/>
        <v>0</v>
      </c>
      <c r="BJ11" s="213">
        <v>0</v>
      </c>
      <c r="BK11" s="157">
        <f t="shared" si="3"/>
        <v>0</v>
      </c>
      <c r="BL11" s="157">
        <f t="shared" si="4"/>
        <v>0</v>
      </c>
      <c r="BM11" s="157">
        <f t="shared" si="5"/>
        <v>0</v>
      </c>
      <c r="BN11" s="213">
        <v>0</v>
      </c>
      <c r="BO11" s="157">
        <f t="shared" si="6"/>
        <v>0</v>
      </c>
      <c r="BP11" s="157">
        <f t="shared" si="7"/>
        <v>0</v>
      </c>
      <c r="BQ11" s="157">
        <f t="shared" si="8"/>
        <v>0</v>
      </c>
      <c r="BR11" s="213"/>
      <c r="BS11" s="167">
        <f t="shared" si="9"/>
        <v>0</v>
      </c>
      <c r="BT11" s="167">
        <f t="shared" si="10"/>
        <v>0</v>
      </c>
      <c r="BU11" s="167">
        <f t="shared" si="11"/>
        <v>0</v>
      </c>
      <c r="BV11" s="213">
        <v>0</v>
      </c>
      <c r="BW11" s="168">
        <f t="shared" si="12"/>
        <v>0</v>
      </c>
      <c r="BX11" s="168">
        <f t="shared" si="13"/>
        <v>0</v>
      </c>
      <c r="BY11" s="168">
        <f t="shared" si="14"/>
        <v>0</v>
      </c>
      <c r="BZ11" s="210"/>
      <c r="CA11" s="169">
        <f t="shared" si="15"/>
        <v>0</v>
      </c>
      <c r="CB11" s="169">
        <f t="shared" si="16"/>
        <v>0</v>
      </c>
      <c r="CC11" s="169">
        <f t="shared" si="17"/>
        <v>0</v>
      </c>
      <c r="CD11" s="210"/>
      <c r="CE11" s="170">
        <f t="shared" si="18"/>
        <v>0</v>
      </c>
      <c r="CF11" s="170">
        <f t="shared" si="19"/>
        <v>0</v>
      </c>
      <c r="CG11" s="170">
        <f t="shared" si="20"/>
        <v>0</v>
      </c>
      <c r="CH11" s="210"/>
    </row>
    <row r="12" spans="1:86">
      <c r="A12" s="426">
        <v>6</v>
      </c>
      <c r="B12" s="153">
        <v>1</v>
      </c>
      <c r="C12" s="172">
        <f>IF('GPS Anthro Tool'!$B$5=0,0,IF('GPS Anthro Tool'!$B$11=0,0,IF('EU Child Data'!$B12=0,0,IF(C30&gt;'GPS Anthro Tool'!$B$16,0,IF(C30&lt;'GPS Anthro Tool'!$B$17,0,C30)))))</f>
        <v>0</v>
      </c>
      <c r="D12" s="172">
        <f>IF('GPS Anthro Tool'!$B$5=0,0,IF('GPS Anthro Tool'!$B$10=0,0,IF('EU Child Data'!$B12=0,0,IF(D30&gt;'GPS Anthro Tool'!$B$16,0,IF(D30&lt;'GPS Anthro Tool'!$B$17,0,D30)))))</f>
        <v>0</v>
      </c>
      <c r="E12" s="172">
        <f>IF('GPS Anthro Tool'!$B$5=0,0,IF('GPS Anthro Tool'!$B$9=0,0,IF('EU Child Data'!$B12=0,0,IF(E30&gt;'GPS Anthro Tool'!$B$16,0,IF(E30&lt;'GPS Anthro Tool'!$B$17,0,E30)))))</f>
        <v>0</v>
      </c>
      <c r="G12" s="173">
        <f>IF('GPS Anthro Tool'!$B$5=0,0,IF('GPS Anthro Tool'!$B$11=0,0,IF('EU Child Data'!$B12=0,0,IF(G30&gt;'GPS Anthro Tool'!$B$14,0,IF(G30&lt;'GPS Anthro Tool'!$B$15,0,G30)))))</f>
        <v>0</v>
      </c>
      <c r="H12" s="173">
        <f>IF('GPS Anthro Tool'!$B$5=0,0,IF('GPS Anthro Tool'!$B$10=0,0,IF('EU Child Data'!$B12=0,0,IF(H30&gt;'GPS Anthro Tool'!$B$14,0,IF(H30&lt;'GPS Anthro Tool'!$B$15,0,H30)))))</f>
        <v>0</v>
      </c>
      <c r="I12" s="173">
        <f>IF('GPS Anthro Tool'!$B$5=0,0,IF('GPS Anthro Tool'!$B$9=0,0,IF('EU Child Data'!$B12=0,0,IF(I30&gt;'GPS Anthro Tool'!$B$14,0,IF(I30&lt;'GPS Anthro Tool'!$B$15,0,I30)))))</f>
        <v>0</v>
      </c>
      <c r="K12" s="462">
        <f>IF('GPS Anthro Tool'!$B$5=0,0,IF($G12=0,0,K30+'GPS Anthro Tool'!$B$41))</f>
        <v>0</v>
      </c>
      <c r="L12" s="462">
        <f>IF('GPS Anthro Tool'!$B$5=0,0,IF($H12=0,0,L30+'GPS Anthro Tool'!$B$41))</f>
        <v>0</v>
      </c>
      <c r="M12" s="462">
        <f>IF('GPS Anthro Tool'!$B$5=0,0,IF($I12=0,0,M30+'GPS Anthro Tool'!$B$41))</f>
        <v>0</v>
      </c>
      <c r="N12" s="463"/>
      <c r="O12" s="462">
        <f>IF('GPS Anthro Tool'!$B$5=0,0,IF($G12=0,0,O30+'GPS Anthro Tool'!$B$41))</f>
        <v>0</v>
      </c>
      <c r="P12" s="462">
        <f>IF('GPS Anthro Tool'!$B$5=0,0,IF($H12=0,0,P30+'GPS Anthro Tool'!$B$41))</f>
        <v>0</v>
      </c>
      <c r="Q12" s="462">
        <f>IF('GPS Anthro Tool'!$B$5=0,0,IF($I12=0,0,Q30+'GPS Anthro Tool'!$B$41))</f>
        <v>0</v>
      </c>
      <c r="S12" s="173">
        <f>IF('GPS Anthro Tool'!$B$5=0,0,IF($G12=0,0,S30))</f>
        <v>0</v>
      </c>
      <c r="T12" s="173">
        <f>IF('GPS Anthro Tool'!$B$5=0,0,IF($H12=0,0,T30))</f>
        <v>0</v>
      </c>
      <c r="U12" s="173">
        <f>IF('GPS Anthro Tool'!$B$5=0,0,IF($I12=0,0,U30))</f>
        <v>0</v>
      </c>
      <c r="W12" s="173">
        <f>IF('GPS Anthro Tool'!$B$5=0,0,IF($G12=0,0,W30))</f>
        <v>0</v>
      </c>
      <c r="X12" s="173">
        <f>IF('GPS Anthro Tool'!$B$5=0,0,IF($H12=0,0,X30))</f>
        <v>0</v>
      </c>
      <c r="Y12" s="173">
        <f>IF('GPS Anthro Tool'!$B$5=0,0,IF($I12=0,0,Y30))</f>
        <v>0</v>
      </c>
      <c r="Z12" s="283">
        <v>0</v>
      </c>
      <c r="AA12" s="173">
        <f>IF('GPS Anthro Tool'!$B$5=0,0,IF($G12=0,0,AA30))</f>
        <v>0</v>
      </c>
      <c r="AB12" s="173">
        <f>IF('GPS Anthro Tool'!$B$5=0,0,IF($H12=0,0,AB30))</f>
        <v>0</v>
      </c>
      <c r="AC12" s="173">
        <f>IF('GPS Anthro Tool'!$B$5=0,0,IF($I12=0,0,AC30))</f>
        <v>0</v>
      </c>
      <c r="AE12" s="173">
        <f>IF('GPS Anthro Tool'!$B$5=0,0,IF($G12=0,0,AE30))</f>
        <v>0</v>
      </c>
      <c r="AF12" s="173">
        <f>IF('GPS Anthro Tool'!$B$5=0,0,IF($H12=0,0,AF30))</f>
        <v>0</v>
      </c>
      <c r="AG12" s="173">
        <f>IF('GPS Anthro Tool'!$B$5=0,0,IF($I12=0,0,AG30))</f>
        <v>0</v>
      </c>
      <c r="AI12" s="462">
        <f>IF('GPS Anthro Tool'!$B$5=0,0,IF($G12=0,0,AI30+'GPS Anthro Tool'!$B$42))</f>
        <v>0</v>
      </c>
      <c r="AJ12" s="462">
        <f>IF('GPS Anthro Tool'!$B$5=0,0,IF($H12=0,0,AJ30+'GPS Anthro Tool'!$B$42))</f>
        <v>0</v>
      </c>
      <c r="AK12" s="462">
        <f>IF('GPS Anthro Tool'!$B$5=0,0,IF($I12=0,0,AK30+'GPS Anthro Tool'!$B$42))</f>
        <v>0</v>
      </c>
      <c r="AM12" s="173">
        <f>IF('GPS Anthro Tool'!$B$5=0,0,IF($G12=0,0,-AM30-'GPS Anthro Tool'!$B$42))</f>
        <v>0</v>
      </c>
      <c r="AN12" s="173">
        <f>IF('GPS Anthro Tool'!$B$5=0,0,IF($H12=0,0,-AN30-'GPS Anthro Tool'!$B$42))</f>
        <v>0</v>
      </c>
      <c r="AO12" s="173">
        <f>IF('GPS Anthro Tool'!$B$5=0,0,IF($I12=0,0,-AO30-'GPS Anthro Tool'!$B$42))</f>
        <v>0</v>
      </c>
      <c r="AQ12" s="173">
        <f>IF('GPS Anthro Tool'!$B$5=0,0,IF($G12=0,0,AQ30-'GPS Anthro Tool'!$B$41))</f>
        <v>0</v>
      </c>
      <c r="AR12" s="173">
        <f>IF('GPS Anthro Tool'!$B$5=0,0,IF($H12=0,0,AR30-'GPS Anthro Tool'!$B$41))</f>
        <v>0</v>
      </c>
      <c r="AS12" s="173">
        <f>IF('GPS Anthro Tool'!$B$5=0,0,IF($I12=0,0,AS30-'GPS Anthro Tool'!$B$41))</f>
        <v>0</v>
      </c>
      <c r="AU12" s="173">
        <f>IF('GPS Anthro Tool'!$B$5=0,0,IF($G12=0,0,AU30))</f>
        <v>0</v>
      </c>
      <c r="AV12" s="173">
        <f>IF('GPS Anthro Tool'!$B$5=0,0,IF($H12=0,0,AV30))</f>
        <v>0</v>
      </c>
      <c r="AW12" s="173">
        <f>IF('GPS Anthro Tool'!$B$5=0,0,IF($I12=0,0,AW30))</f>
        <v>0</v>
      </c>
      <c r="AY12" s="173">
        <f>IF('GPS Anthro Tool'!$B$5=0,0,IF($G12=0,0,AY30))</f>
        <v>0</v>
      </c>
      <c r="AZ12" s="173">
        <f>IF('GPS Anthro Tool'!$B$5=0,0,IF($H12=0,0,AZ30))</f>
        <v>0</v>
      </c>
      <c r="BA12" s="173">
        <f>IF('GPS Anthro Tool'!$B$5=0,0,IF($I12=0,0,BA30))</f>
        <v>0</v>
      </c>
      <c r="BC12" s="173">
        <f>IF('GPS Anthro Tool'!$B$5=0,0,IF($G12=0,0,BC30))</f>
        <v>0</v>
      </c>
      <c r="BD12" s="173">
        <f>IF('GPS Anthro Tool'!$B$5=0,0,IF($H12=0,0,BD30))</f>
        <v>0</v>
      </c>
      <c r="BE12" s="173">
        <f>IF('GPS Anthro Tool'!$B$5=0,0,IF($I12=0,0,BE30))</f>
        <v>0</v>
      </c>
      <c r="BF12" s="208"/>
      <c r="BG12" s="157">
        <f t="shared" si="0"/>
        <v>0</v>
      </c>
      <c r="BH12" s="157">
        <f t="shared" si="1"/>
        <v>0</v>
      </c>
      <c r="BI12" s="157">
        <f t="shared" si="2"/>
        <v>0</v>
      </c>
      <c r="BJ12" s="213">
        <v>0</v>
      </c>
      <c r="BK12" s="157">
        <f t="shared" si="3"/>
        <v>0</v>
      </c>
      <c r="BL12" s="157">
        <f t="shared" si="4"/>
        <v>0</v>
      </c>
      <c r="BM12" s="157">
        <f t="shared" si="5"/>
        <v>0</v>
      </c>
      <c r="BN12" s="213">
        <v>0</v>
      </c>
      <c r="BO12" s="157">
        <f t="shared" si="6"/>
        <v>0</v>
      </c>
      <c r="BP12" s="157">
        <f t="shared" si="7"/>
        <v>0</v>
      </c>
      <c r="BQ12" s="157">
        <f t="shared" si="8"/>
        <v>0</v>
      </c>
      <c r="BR12" s="213"/>
      <c r="BS12" s="167">
        <f t="shared" si="9"/>
        <v>0</v>
      </c>
      <c r="BT12" s="167">
        <f t="shared" si="10"/>
        <v>0</v>
      </c>
      <c r="BU12" s="167">
        <f t="shared" si="11"/>
        <v>0</v>
      </c>
      <c r="BV12" s="213">
        <v>0</v>
      </c>
      <c r="BW12" s="168">
        <f t="shared" si="12"/>
        <v>0</v>
      </c>
      <c r="BX12" s="168">
        <f t="shared" si="13"/>
        <v>0</v>
      </c>
      <c r="BY12" s="168">
        <f t="shared" si="14"/>
        <v>0</v>
      </c>
      <c r="BZ12" s="210"/>
      <c r="CA12" s="169">
        <f t="shared" si="15"/>
        <v>0</v>
      </c>
      <c r="CB12" s="169">
        <f t="shared" si="16"/>
        <v>0</v>
      </c>
      <c r="CC12" s="169">
        <f t="shared" si="17"/>
        <v>0</v>
      </c>
      <c r="CD12" s="210"/>
      <c r="CE12" s="170">
        <f t="shared" si="18"/>
        <v>0</v>
      </c>
      <c r="CF12" s="170">
        <f t="shared" si="19"/>
        <v>0</v>
      </c>
      <c r="CG12" s="170">
        <f t="shared" si="20"/>
        <v>0</v>
      </c>
      <c r="CH12" s="210"/>
    </row>
    <row r="13" spans="1:86">
      <c r="A13" s="426">
        <v>7</v>
      </c>
      <c r="B13" s="153">
        <v>1</v>
      </c>
      <c r="C13" s="172">
        <f>IF('GPS Anthro Tool'!$B$5=0,0,IF('GPS Anthro Tool'!$B$11=0,0,IF('EU Child Data'!$B13=0,0,IF(C31&gt;'GPS Anthro Tool'!$B$16,0,IF(C31&lt;'GPS Anthro Tool'!$B$17,0,C31)))))</f>
        <v>0</v>
      </c>
      <c r="D13" s="172">
        <f>IF('GPS Anthro Tool'!$B$5=0,0,IF('GPS Anthro Tool'!$B$10=0,0,IF('EU Child Data'!$B13=0,0,IF(D31&gt;'GPS Anthro Tool'!$B$16,0,IF(D31&lt;'GPS Anthro Tool'!$B$17,0,D31)))))</f>
        <v>0</v>
      </c>
      <c r="E13" s="172">
        <f>IF('GPS Anthro Tool'!$B$5=0,0,IF('GPS Anthro Tool'!$B$9=0,0,IF('EU Child Data'!$B13=0,0,IF(E31&gt;'GPS Anthro Tool'!$B$16,0,IF(E31&lt;'GPS Anthro Tool'!$B$17,0,E31)))))</f>
        <v>0</v>
      </c>
      <c r="G13" s="173">
        <f>IF('GPS Anthro Tool'!$B$5=0,0,IF('GPS Anthro Tool'!$B$11=0,0,IF('EU Child Data'!$B13=0,0,IF(G31&gt;'GPS Anthro Tool'!$B$14,0,IF(G31&lt;'GPS Anthro Tool'!$B$15,0,G31)))))</f>
        <v>0</v>
      </c>
      <c r="H13" s="173">
        <f>IF('GPS Anthro Tool'!$B$5=0,0,IF('GPS Anthro Tool'!$B$10=0,0,IF('EU Child Data'!$B13=0,0,IF(H31&gt;'GPS Anthro Tool'!$B$14,0,IF(H31&lt;'GPS Anthro Tool'!$B$15,0,H31)))))</f>
        <v>0</v>
      </c>
      <c r="I13" s="173">
        <f>IF('GPS Anthro Tool'!$B$5=0,0,IF('GPS Anthro Tool'!$B$9=0,0,IF('EU Child Data'!$B13=0,0,IF(I31&gt;'GPS Anthro Tool'!$B$14,0,IF(I31&lt;'GPS Anthro Tool'!$B$15,0,I31)))))</f>
        <v>0</v>
      </c>
      <c r="K13" s="462">
        <f>IF('GPS Anthro Tool'!$B$5=0,0,IF($G13=0,0,K31+'GPS Anthro Tool'!$B$41))</f>
        <v>0</v>
      </c>
      <c r="L13" s="462">
        <f>IF('GPS Anthro Tool'!$B$5=0,0,IF($H13=0,0,L31+'GPS Anthro Tool'!$B$41))</f>
        <v>0</v>
      </c>
      <c r="M13" s="462">
        <f>IF('GPS Anthro Tool'!$B$5=0,0,IF($I13=0,0,M31+'GPS Anthro Tool'!$B$41))</f>
        <v>0</v>
      </c>
      <c r="N13" s="463"/>
      <c r="O13" s="462">
        <f>IF('GPS Anthro Tool'!$B$5=0,0,IF($G13=0,0,O31+'GPS Anthro Tool'!$B$41))</f>
        <v>0</v>
      </c>
      <c r="P13" s="462">
        <f>IF('GPS Anthro Tool'!$B$5=0,0,IF($H13=0,0,P31+'GPS Anthro Tool'!$B$41))</f>
        <v>0</v>
      </c>
      <c r="Q13" s="462">
        <f>IF('GPS Anthro Tool'!$B$5=0,0,IF($I13=0,0,Q31+'GPS Anthro Tool'!$B$41))</f>
        <v>0</v>
      </c>
      <c r="S13" s="173">
        <f>IF('GPS Anthro Tool'!$B$5=0,0,IF($G13=0,0,S31))</f>
        <v>0</v>
      </c>
      <c r="T13" s="173">
        <f>IF('GPS Anthro Tool'!$B$5=0,0,IF($H13=0,0,T31))</f>
        <v>0</v>
      </c>
      <c r="U13" s="173">
        <f>IF('GPS Anthro Tool'!$B$5=0,0,IF($I13=0,0,U31))</f>
        <v>0</v>
      </c>
      <c r="W13" s="173">
        <f>IF('GPS Anthro Tool'!$B$5=0,0,IF($G13=0,0,W31))</f>
        <v>0</v>
      </c>
      <c r="X13" s="173">
        <f>IF('GPS Anthro Tool'!$B$5=0,0,IF($H13=0,0,X31))</f>
        <v>0</v>
      </c>
      <c r="Y13" s="173">
        <f>IF('GPS Anthro Tool'!$B$5=0,0,IF($I13=0,0,Y31))</f>
        <v>0</v>
      </c>
      <c r="Z13" s="283">
        <v>0</v>
      </c>
      <c r="AA13" s="173">
        <f>IF('GPS Anthro Tool'!$B$5=0,0,IF($G13=0,0,AA31))</f>
        <v>0</v>
      </c>
      <c r="AB13" s="173">
        <f>IF('GPS Anthro Tool'!$B$5=0,0,IF($H13=0,0,AB31))</f>
        <v>0</v>
      </c>
      <c r="AC13" s="173">
        <f>IF('GPS Anthro Tool'!$B$5=0,0,IF($I13=0,0,AC31))</f>
        <v>0</v>
      </c>
      <c r="AE13" s="173">
        <f>IF('GPS Anthro Tool'!$B$5=0,0,IF($G13=0,0,AE31))</f>
        <v>0</v>
      </c>
      <c r="AF13" s="173">
        <f>IF('GPS Anthro Tool'!$B$5=0,0,IF($H13=0,0,AF31))</f>
        <v>0</v>
      </c>
      <c r="AG13" s="173">
        <f>IF('GPS Anthro Tool'!$B$5=0,0,IF($I13=0,0,AG31))</f>
        <v>0</v>
      </c>
      <c r="AI13" s="462">
        <f>IF('GPS Anthro Tool'!$B$5=0,0,IF($G13=0,0,AI31+'GPS Anthro Tool'!$B$42))</f>
        <v>0</v>
      </c>
      <c r="AJ13" s="462">
        <f>IF('GPS Anthro Tool'!$B$5=0,0,IF($H13=0,0,AJ31+'GPS Anthro Tool'!$B$42))</f>
        <v>0</v>
      </c>
      <c r="AK13" s="462">
        <f>IF('GPS Anthro Tool'!$B$5=0,0,IF($I13=0,0,AK31+'GPS Anthro Tool'!$B$42))</f>
        <v>0</v>
      </c>
      <c r="AM13" s="173">
        <f>IF('GPS Anthro Tool'!$B$5=0,0,IF($G13=0,0,-AM31-'GPS Anthro Tool'!$B$42))</f>
        <v>0</v>
      </c>
      <c r="AN13" s="173">
        <f>IF('GPS Anthro Tool'!$B$5=0,0,IF($H13=0,0,-AN31-'GPS Anthro Tool'!$B$42))</f>
        <v>0</v>
      </c>
      <c r="AO13" s="173">
        <f>IF('GPS Anthro Tool'!$B$5=0,0,IF($I13=0,0,-AO31-'GPS Anthro Tool'!$B$42))</f>
        <v>0</v>
      </c>
      <c r="AQ13" s="173">
        <f>IF('GPS Anthro Tool'!$B$5=0,0,IF($G13=0,0,AQ31-'GPS Anthro Tool'!$B$41))</f>
        <v>0</v>
      </c>
      <c r="AR13" s="173">
        <f>IF('GPS Anthro Tool'!$B$5=0,0,IF($H13=0,0,AR31-'GPS Anthro Tool'!$B$41))</f>
        <v>0</v>
      </c>
      <c r="AS13" s="173">
        <f>IF('GPS Anthro Tool'!$B$5=0,0,IF($I13=0,0,AS31-'GPS Anthro Tool'!$B$41))</f>
        <v>0</v>
      </c>
      <c r="AU13" s="173">
        <f>IF('GPS Anthro Tool'!$B$5=0,0,IF($G13=0,0,AU31))</f>
        <v>0</v>
      </c>
      <c r="AV13" s="173">
        <f>IF('GPS Anthro Tool'!$B$5=0,0,IF($H13=0,0,AV31))</f>
        <v>0</v>
      </c>
      <c r="AW13" s="173">
        <f>IF('GPS Anthro Tool'!$B$5=0,0,IF($I13=0,0,AW31))</f>
        <v>0</v>
      </c>
      <c r="AY13" s="173">
        <f>IF('GPS Anthro Tool'!$B$5=0,0,IF($G13=0,0,AY31))</f>
        <v>0</v>
      </c>
      <c r="AZ13" s="173">
        <f>IF('GPS Anthro Tool'!$B$5=0,0,IF($H13=0,0,AZ31))</f>
        <v>0</v>
      </c>
      <c r="BA13" s="173">
        <f>IF('GPS Anthro Tool'!$B$5=0,0,IF($I13=0,0,BA31))</f>
        <v>0</v>
      </c>
      <c r="BC13" s="173">
        <f>IF('GPS Anthro Tool'!$B$5=0,0,IF($G13=0,0,BC31))</f>
        <v>0</v>
      </c>
      <c r="BD13" s="173">
        <f>IF('GPS Anthro Tool'!$B$5=0,0,IF($H13=0,0,BD31))</f>
        <v>0</v>
      </c>
      <c r="BE13" s="173">
        <f>IF('GPS Anthro Tool'!$B$5=0,0,IF($I13=0,0,BE31))</f>
        <v>0</v>
      </c>
      <c r="BF13" s="208"/>
      <c r="BG13" s="157">
        <f t="shared" si="0"/>
        <v>0</v>
      </c>
      <c r="BH13" s="157">
        <f t="shared" si="1"/>
        <v>0</v>
      </c>
      <c r="BI13" s="157">
        <f t="shared" si="2"/>
        <v>0</v>
      </c>
      <c r="BJ13" s="213">
        <v>0</v>
      </c>
      <c r="BK13" s="157">
        <f t="shared" si="3"/>
        <v>0</v>
      </c>
      <c r="BL13" s="157">
        <f t="shared" si="4"/>
        <v>0</v>
      </c>
      <c r="BM13" s="157">
        <f t="shared" si="5"/>
        <v>0</v>
      </c>
      <c r="BN13" s="213">
        <v>0</v>
      </c>
      <c r="BO13" s="157">
        <f t="shared" si="6"/>
        <v>0</v>
      </c>
      <c r="BP13" s="157">
        <f t="shared" si="7"/>
        <v>0</v>
      </c>
      <c r="BQ13" s="157">
        <f t="shared" si="8"/>
        <v>0</v>
      </c>
      <c r="BR13" s="213"/>
      <c r="BS13" s="167">
        <f t="shared" si="9"/>
        <v>0</v>
      </c>
      <c r="BT13" s="167">
        <f t="shared" si="10"/>
        <v>0</v>
      </c>
      <c r="BU13" s="167">
        <f t="shared" si="11"/>
        <v>0</v>
      </c>
      <c r="BV13" s="213">
        <v>0</v>
      </c>
      <c r="BW13" s="168">
        <f t="shared" si="12"/>
        <v>0</v>
      </c>
      <c r="BX13" s="168">
        <f t="shared" si="13"/>
        <v>0</v>
      </c>
      <c r="BY13" s="168">
        <f t="shared" si="14"/>
        <v>0</v>
      </c>
      <c r="BZ13" s="210"/>
      <c r="CA13" s="169">
        <f t="shared" si="15"/>
        <v>0</v>
      </c>
      <c r="CB13" s="169">
        <f t="shared" si="16"/>
        <v>0</v>
      </c>
      <c r="CC13" s="169">
        <f t="shared" si="17"/>
        <v>0</v>
      </c>
      <c r="CD13" s="210"/>
      <c r="CE13" s="170">
        <f t="shared" si="18"/>
        <v>0</v>
      </c>
      <c r="CF13" s="170">
        <f t="shared" si="19"/>
        <v>0</v>
      </c>
      <c r="CG13" s="170">
        <f t="shared" si="20"/>
        <v>0</v>
      </c>
      <c r="CH13" s="210"/>
    </row>
    <row r="14" spans="1:86">
      <c r="A14" s="426">
        <v>8</v>
      </c>
      <c r="B14" s="153">
        <v>1</v>
      </c>
      <c r="C14" s="172">
        <f>IF('GPS Anthro Tool'!$B$5=0,0,IF('GPS Anthro Tool'!$B$11=0,0,IF('EU Child Data'!$B14=0,0,IF(C32&gt;'GPS Anthro Tool'!$B$16,0,IF(C32&lt;'GPS Anthro Tool'!$B$17,0,C32)))))</f>
        <v>0</v>
      </c>
      <c r="D14" s="172">
        <f>IF('GPS Anthro Tool'!$B$5=0,0,IF('GPS Anthro Tool'!$B$10=0,0,IF('EU Child Data'!$B14=0,0,IF(D32&gt;'GPS Anthro Tool'!$B$16,0,IF(D32&lt;'GPS Anthro Tool'!$B$17,0,D32)))))</f>
        <v>0</v>
      </c>
      <c r="E14" s="172">
        <f>IF('GPS Anthro Tool'!$B$5=0,0,IF('GPS Anthro Tool'!$B$9=0,0,IF('EU Child Data'!$B14=0,0,IF(E32&gt;'GPS Anthro Tool'!$B$16,0,IF(E32&lt;'GPS Anthro Tool'!$B$17,0,E32)))))</f>
        <v>0</v>
      </c>
      <c r="G14" s="173">
        <f>IF('GPS Anthro Tool'!$B$5=0,0,IF('GPS Anthro Tool'!$B$11=0,0,IF('EU Child Data'!$B14=0,0,IF(G32&gt;'GPS Anthro Tool'!$B$14,0,IF(G32&lt;'GPS Anthro Tool'!$B$15,0,G32)))))</f>
        <v>0</v>
      </c>
      <c r="H14" s="173">
        <f>IF('GPS Anthro Tool'!$B$5=0,0,IF('GPS Anthro Tool'!$B$10=0,0,IF('EU Child Data'!$B14=0,0,IF(H32&gt;'GPS Anthro Tool'!$B$14,0,IF(H32&lt;'GPS Anthro Tool'!$B$15,0,H32)))))</f>
        <v>0</v>
      </c>
      <c r="I14" s="173">
        <f>IF('GPS Anthro Tool'!$B$5=0,0,IF('GPS Anthro Tool'!$B$9=0,0,IF('EU Child Data'!$B14=0,0,IF(I32&gt;'GPS Anthro Tool'!$B$14,0,IF(I32&lt;'GPS Anthro Tool'!$B$15,0,I32)))))</f>
        <v>0</v>
      </c>
      <c r="K14" s="462">
        <f>IF('GPS Anthro Tool'!$B$5=0,0,IF($G14=0,0,K32+'GPS Anthro Tool'!$B$41))</f>
        <v>0</v>
      </c>
      <c r="L14" s="462">
        <f>IF('GPS Anthro Tool'!$B$5=0,0,IF($H14=0,0,L32+'GPS Anthro Tool'!$B$41))</f>
        <v>0</v>
      </c>
      <c r="M14" s="462">
        <f>IF('GPS Anthro Tool'!$B$5=0,0,IF($I14=0,0,M32+'GPS Anthro Tool'!$B$41))</f>
        <v>0</v>
      </c>
      <c r="N14" s="463"/>
      <c r="O14" s="462">
        <f>IF('GPS Anthro Tool'!$B$5=0,0,IF($G14=0,0,O32+'GPS Anthro Tool'!$B$41))</f>
        <v>0</v>
      </c>
      <c r="P14" s="462">
        <f>IF('GPS Anthro Tool'!$B$5=0,0,IF($H14=0,0,P32+'GPS Anthro Tool'!$B$41))</f>
        <v>0</v>
      </c>
      <c r="Q14" s="462">
        <f>IF('GPS Anthro Tool'!$B$5=0,0,IF($I14=0,0,Q32+'GPS Anthro Tool'!$B$41))</f>
        <v>0</v>
      </c>
      <c r="S14" s="173">
        <f>IF('GPS Anthro Tool'!$B$5=0,0,IF($G14=0,0,S32))</f>
        <v>0</v>
      </c>
      <c r="T14" s="173">
        <f>IF('GPS Anthro Tool'!$B$5=0,0,IF($H14=0,0,T32))</f>
        <v>0</v>
      </c>
      <c r="U14" s="173">
        <f>IF('GPS Anthro Tool'!$B$5=0,0,IF($I14=0,0,U32))</f>
        <v>0</v>
      </c>
      <c r="W14" s="173">
        <f>IF('GPS Anthro Tool'!$B$5=0,0,IF($G14=0,0,W32))</f>
        <v>0</v>
      </c>
      <c r="X14" s="173">
        <f>IF('GPS Anthro Tool'!$B$5=0,0,IF($H14=0,0,X32))</f>
        <v>0</v>
      </c>
      <c r="Y14" s="173">
        <f>IF('GPS Anthro Tool'!$B$5=0,0,IF($I14=0,0,Y32))</f>
        <v>0</v>
      </c>
      <c r="Z14" s="283">
        <v>0</v>
      </c>
      <c r="AA14" s="173">
        <f>IF('GPS Anthro Tool'!$B$5=0,0,IF($G14=0,0,AA32))</f>
        <v>0</v>
      </c>
      <c r="AB14" s="173">
        <f>IF('GPS Anthro Tool'!$B$5=0,0,IF($H14=0,0,AB32))</f>
        <v>0</v>
      </c>
      <c r="AC14" s="173">
        <f>IF('GPS Anthro Tool'!$B$5=0,0,IF($I14=0,0,AC32))</f>
        <v>0</v>
      </c>
      <c r="AE14" s="173">
        <f>IF('GPS Anthro Tool'!$B$5=0,0,IF($G14=0,0,AE32))</f>
        <v>0</v>
      </c>
      <c r="AF14" s="173">
        <f>IF('GPS Anthro Tool'!$B$5=0,0,IF($H14=0,0,AF32))</f>
        <v>0</v>
      </c>
      <c r="AG14" s="173">
        <f>IF('GPS Anthro Tool'!$B$5=0,0,IF($I14=0,0,AG32))</f>
        <v>0</v>
      </c>
      <c r="AI14" s="462">
        <f>IF('GPS Anthro Tool'!$B$5=0,0,IF($G14=0,0,AI32+'GPS Anthro Tool'!$B$42))</f>
        <v>0</v>
      </c>
      <c r="AJ14" s="462">
        <f>IF('GPS Anthro Tool'!$B$5=0,0,IF($H14=0,0,AJ32+'GPS Anthro Tool'!$B$42))</f>
        <v>0</v>
      </c>
      <c r="AK14" s="462">
        <f>IF('GPS Anthro Tool'!$B$5=0,0,IF($I14=0,0,AK32+'GPS Anthro Tool'!$B$42))</f>
        <v>0</v>
      </c>
      <c r="AM14" s="173">
        <f>IF('GPS Anthro Tool'!$B$5=0,0,IF($G14=0,0,-AM32-'GPS Anthro Tool'!$B$42))</f>
        <v>0</v>
      </c>
      <c r="AN14" s="173">
        <f>IF('GPS Anthro Tool'!$B$5=0,0,IF($H14=0,0,-AN32-'GPS Anthro Tool'!$B$42))</f>
        <v>0</v>
      </c>
      <c r="AO14" s="173">
        <f>IF('GPS Anthro Tool'!$B$5=0,0,IF($I14=0,0,-AO32-'GPS Anthro Tool'!$B$42))</f>
        <v>0</v>
      </c>
      <c r="AQ14" s="173">
        <f>IF('GPS Anthro Tool'!$B$5=0,0,IF($G14=0,0,AQ32-'GPS Anthro Tool'!$B$41))</f>
        <v>0</v>
      </c>
      <c r="AR14" s="173">
        <f>IF('GPS Anthro Tool'!$B$5=0,0,IF($H14=0,0,AR32-'GPS Anthro Tool'!$B$41))</f>
        <v>0</v>
      </c>
      <c r="AS14" s="173">
        <f>IF('GPS Anthro Tool'!$B$5=0,0,IF($I14=0,0,AS32-'GPS Anthro Tool'!$B$41))</f>
        <v>0</v>
      </c>
      <c r="AU14" s="173">
        <f>IF('GPS Anthro Tool'!$B$5=0,0,IF($G14=0,0,AU32))</f>
        <v>0</v>
      </c>
      <c r="AV14" s="173">
        <f>IF('GPS Anthro Tool'!$B$5=0,0,IF($H14=0,0,AV32))</f>
        <v>0</v>
      </c>
      <c r="AW14" s="173">
        <f>IF('GPS Anthro Tool'!$B$5=0,0,IF($I14=0,0,AW32))</f>
        <v>0</v>
      </c>
      <c r="AY14" s="173">
        <f>IF('GPS Anthro Tool'!$B$5=0,0,IF($G14=0,0,AY32))</f>
        <v>0</v>
      </c>
      <c r="AZ14" s="173">
        <f>IF('GPS Anthro Tool'!$B$5=0,0,IF($H14=0,0,AZ32))</f>
        <v>0</v>
      </c>
      <c r="BA14" s="173">
        <f>IF('GPS Anthro Tool'!$B$5=0,0,IF($I14=0,0,BA32))</f>
        <v>0</v>
      </c>
      <c r="BC14" s="173">
        <f>IF('GPS Anthro Tool'!$B$5=0,0,IF($G14=0,0,BC32))</f>
        <v>0</v>
      </c>
      <c r="BD14" s="173">
        <f>IF('GPS Anthro Tool'!$B$5=0,0,IF($H14=0,0,BD32))</f>
        <v>0</v>
      </c>
      <c r="BE14" s="173">
        <f>IF('GPS Anthro Tool'!$B$5=0,0,IF($I14=0,0,BE32))</f>
        <v>0</v>
      </c>
      <c r="BF14" s="208"/>
      <c r="BG14" s="157">
        <f t="shared" si="0"/>
        <v>0</v>
      </c>
      <c r="BH14" s="157">
        <f t="shared" si="1"/>
        <v>0</v>
      </c>
      <c r="BI14" s="157">
        <f t="shared" si="2"/>
        <v>0</v>
      </c>
      <c r="BJ14" s="213">
        <v>0</v>
      </c>
      <c r="BK14" s="157">
        <f t="shared" si="3"/>
        <v>0</v>
      </c>
      <c r="BL14" s="157">
        <f t="shared" si="4"/>
        <v>0</v>
      </c>
      <c r="BM14" s="157">
        <f t="shared" si="5"/>
        <v>0</v>
      </c>
      <c r="BN14" s="213">
        <v>0</v>
      </c>
      <c r="BO14" s="157">
        <f t="shared" si="6"/>
        <v>0</v>
      </c>
      <c r="BP14" s="157">
        <f t="shared" si="7"/>
        <v>0</v>
      </c>
      <c r="BQ14" s="157">
        <f t="shared" si="8"/>
        <v>0</v>
      </c>
      <c r="BR14" s="213"/>
      <c r="BS14" s="167">
        <f t="shared" si="9"/>
        <v>0</v>
      </c>
      <c r="BT14" s="167">
        <f t="shared" si="10"/>
        <v>0</v>
      </c>
      <c r="BU14" s="167">
        <f t="shared" si="11"/>
        <v>0</v>
      </c>
      <c r="BV14" s="213">
        <v>0</v>
      </c>
      <c r="BW14" s="168">
        <f t="shared" si="12"/>
        <v>0</v>
      </c>
      <c r="BX14" s="168">
        <f t="shared" si="13"/>
        <v>0</v>
      </c>
      <c r="BY14" s="168">
        <f t="shared" si="14"/>
        <v>0</v>
      </c>
      <c r="BZ14" s="210"/>
      <c r="CA14" s="169">
        <f t="shared" si="15"/>
        <v>0</v>
      </c>
      <c r="CB14" s="169">
        <f t="shared" si="16"/>
        <v>0</v>
      </c>
      <c r="CC14" s="169">
        <f t="shared" si="17"/>
        <v>0</v>
      </c>
      <c r="CD14" s="210"/>
      <c r="CE14" s="170">
        <f t="shared" si="18"/>
        <v>0</v>
      </c>
      <c r="CF14" s="170">
        <f t="shared" si="19"/>
        <v>0</v>
      </c>
      <c r="CG14" s="170">
        <f t="shared" si="20"/>
        <v>0</v>
      </c>
      <c r="CH14" s="210"/>
    </row>
    <row r="15" spans="1:86">
      <c r="A15" s="426">
        <v>9</v>
      </c>
      <c r="B15" s="153">
        <v>1</v>
      </c>
      <c r="C15" s="172">
        <f>IF('GPS Anthro Tool'!$B$5=0,0,IF('GPS Anthro Tool'!$B$11=0,0,IF('EU Child Data'!$B15=0,0,IF(C33&gt;'GPS Anthro Tool'!$B$16,0,IF(C33&lt;'GPS Anthro Tool'!$B$17,0,C33)))))</f>
        <v>0</v>
      </c>
      <c r="D15" s="172">
        <f>IF('GPS Anthro Tool'!$B$5=0,0,IF('GPS Anthro Tool'!$B$10=0,0,IF('EU Child Data'!$B15=0,0,IF(D33&gt;'GPS Anthro Tool'!$B$16,0,IF(D33&lt;'GPS Anthro Tool'!$B$17,0,D33)))))</f>
        <v>0</v>
      </c>
      <c r="E15" s="172">
        <f>IF('GPS Anthro Tool'!$B$5=0,0,IF('GPS Anthro Tool'!$B$9=0,0,IF('EU Child Data'!$B15=0,0,IF(E33&gt;'GPS Anthro Tool'!$B$16,0,IF(E33&lt;'GPS Anthro Tool'!$B$17,0,E33)))))</f>
        <v>0</v>
      </c>
      <c r="G15" s="173">
        <f>IF('GPS Anthro Tool'!$B$5=0,0,IF('GPS Anthro Tool'!$B$11=0,0,IF('EU Child Data'!$B15=0,0,IF(G33&gt;'GPS Anthro Tool'!$B$14,0,IF(G33&lt;'GPS Anthro Tool'!$B$15,0,G33)))))</f>
        <v>0</v>
      </c>
      <c r="H15" s="173">
        <f>IF('GPS Anthro Tool'!$B$5=0,0,IF('GPS Anthro Tool'!$B$10=0,0,IF('EU Child Data'!$B15=0,0,IF(H33&gt;'GPS Anthro Tool'!$B$14,0,IF(H33&lt;'GPS Anthro Tool'!$B$15,0,H33)))))</f>
        <v>0</v>
      </c>
      <c r="I15" s="173">
        <f>IF('GPS Anthro Tool'!$B$5=0,0,IF('GPS Anthro Tool'!$B$9=0,0,IF('EU Child Data'!$B15=0,0,IF(I33&gt;'GPS Anthro Tool'!$B$14,0,IF(I33&lt;'GPS Anthro Tool'!$B$15,0,I33)))))</f>
        <v>0</v>
      </c>
      <c r="K15" s="462">
        <f>IF('GPS Anthro Tool'!$B$5=0,0,IF($G15=0,0,K33+'GPS Anthro Tool'!$B$41))</f>
        <v>0</v>
      </c>
      <c r="L15" s="462">
        <f>IF('GPS Anthro Tool'!$B$5=0,0,IF($H15=0,0,L33+'GPS Anthro Tool'!$B$41))</f>
        <v>0</v>
      </c>
      <c r="M15" s="462">
        <f>IF('GPS Anthro Tool'!$B$5=0,0,IF($I15=0,0,M33+'GPS Anthro Tool'!$B$41))</f>
        <v>0</v>
      </c>
      <c r="N15" s="463"/>
      <c r="O15" s="462">
        <f>IF('GPS Anthro Tool'!$B$5=0,0,IF($G15=0,0,O33+'GPS Anthro Tool'!$B$41))</f>
        <v>0</v>
      </c>
      <c r="P15" s="462">
        <f>IF('GPS Anthro Tool'!$B$5=0,0,IF($H15=0,0,P33+'GPS Anthro Tool'!$B$41))</f>
        <v>0</v>
      </c>
      <c r="Q15" s="462">
        <f>IF('GPS Anthro Tool'!$B$5=0,0,IF($I15=0,0,Q33+'GPS Anthro Tool'!$B$41))</f>
        <v>0</v>
      </c>
      <c r="S15" s="173">
        <f>IF('GPS Anthro Tool'!$B$5=0,0,IF($G15=0,0,S33))</f>
        <v>0</v>
      </c>
      <c r="T15" s="173">
        <f>IF('GPS Anthro Tool'!$B$5=0,0,IF($H15=0,0,T33))</f>
        <v>0</v>
      </c>
      <c r="U15" s="173">
        <f>IF('GPS Anthro Tool'!$B$5=0,0,IF($I15=0,0,U33))</f>
        <v>0</v>
      </c>
      <c r="W15" s="173">
        <f>IF('GPS Anthro Tool'!$B$5=0,0,IF($G15=0,0,W33))</f>
        <v>0</v>
      </c>
      <c r="X15" s="173">
        <f>IF('GPS Anthro Tool'!$B$5=0,0,IF($H15=0,0,X33))</f>
        <v>0</v>
      </c>
      <c r="Y15" s="173">
        <f>IF('GPS Anthro Tool'!$B$5=0,0,IF($I15=0,0,Y33))</f>
        <v>0</v>
      </c>
      <c r="Z15" s="283">
        <v>0</v>
      </c>
      <c r="AA15" s="173">
        <f>IF('GPS Anthro Tool'!$B$5=0,0,IF($G15=0,0,AA33))</f>
        <v>0</v>
      </c>
      <c r="AB15" s="173">
        <f>IF('GPS Anthro Tool'!$B$5=0,0,IF($H15=0,0,AB33))</f>
        <v>0</v>
      </c>
      <c r="AC15" s="173">
        <f>IF('GPS Anthro Tool'!$B$5=0,0,IF($I15=0,0,AC33))</f>
        <v>0</v>
      </c>
      <c r="AE15" s="173">
        <f>IF('GPS Anthro Tool'!$B$5=0,0,IF($G15=0,0,AE33))</f>
        <v>0</v>
      </c>
      <c r="AF15" s="173">
        <f>IF('GPS Anthro Tool'!$B$5=0,0,IF($H15=0,0,AF33))</f>
        <v>0</v>
      </c>
      <c r="AG15" s="173">
        <f>IF('GPS Anthro Tool'!$B$5=0,0,IF($I15=0,0,AG33))</f>
        <v>0</v>
      </c>
      <c r="AI15" s="462">
        <f>IF('GPS Anthro Tool'!$B$5=0,0,IF($G15=0,0,AI33+'GPS Anthro Tool'!$B$42))</f>
        <v>0</v>
      </c>
      <c r="AJ15" s="462">
        <f>IF('GPS Anthro Tool'!$B$5=0,0,IF($H15=0,0,AJ33+'GPS Anthro Tool'!$B$42))</f>
        <v>0</v>
      </c>
      <c r="AK15" s="462">
        <f>IF('GPS Anthro Tool'!$B$5=0,0,IF($I15=0,0,AK33+'GPS Anthro Tool'!$B$42))</f>
        <v>0</v>
      </c>
      <c r="AM15" s="173">
        <f>IF('GPS Anthro Tool'!$B$5=0,0,IF($G15=0,0,-AM33-'GPS Anthro Tool'!$B$42))</f>
        <v>0</v>
      </c>
      <c r="AN15" s="173">
        <f>IF('GPS Anthro Tool'!$B$5=0,0,IF($H15=0,0,-AN33-'GPS Anthro Tool'!$B$42))</f>
        <v>0</v>
      </c>
      <c r="AO15" s="173">
        <f>IF('GPS Anthro Tool'!$B$5=0,0,IF($I15=0,0,-AO33-'GPS Anthro Tool'!$B$42))</f>
        <v>0</v>
      </c>
      <c r="AQ15" s="173">
        <f>IF('GPS Anthro Tool'!$B$5=0,0,IF($G15=0,0,AQ33-'GPS Anthro Tool'!$B$41))</f>
        <v>0</v>
      </c>
      <c r="AR15" s="173">
        <f>IF('GPS Anthro Tool'!$B$5=0,0,IF($H15=0,0,AR33-'GPS Anthro Tool'!$B$41))</f>
        <v>0</v>
      </c>
      <c r="AS15" s="173">
        <f>IF('GPS Anthro Tool'!$B$5=0,0,IF($I15=0,0,AS33-'GPS Anthro Tool'!$B$41))</f>
        <v>0</v>
      </c>
      <c r="AU15" s="173">
        <f>IF('GPS Anthro Tool'!$B$5=0,0,IF($G15=0,0,AU33))</f>
        <v>0</v>
      </c>
      <c r="AV15" s="173">
        <f>IF('GPS Anthro Tool'!$B$5=0,0,IF($H15=0,0,AV33))</f>
        <v>0</v>
      </c>
      <c r="AW15" s="173">
        <f>IF('GPS Anthro Tool'!$B$5=0,0,IF($I15=0,0,AW33))</f>
        <v>0</v>
      </c>
      <c r="AY15" s="173">
        <f>IF('GPS Anthro Tool'!$B$5=0,0,IF($G15=0,0,AY33))</f>
        <v>0</v>
      </c>
      <c r="AZ15" s="173">
        <f>IF('GPS Anthro Tool'!$B$5=0,0,IF($H15=0,0,AZ33))</f>
        <v>0</v>
      </c>
      <c r="BA15" s="173">
        <f>IF('GPS Anthro Tool'!$B$5=0,0,IF($I15=0,0,BA33))</f>
        <v>0</v>
      </c>
      <c r="BC15" s="173">
        <f>IF('GPS Anthro Tool'!$B$5=0,0,IF($G15=0,0,BC33))</f>
        <v>0</v>
      </c>
      <c r="BD15" s="173">
        <f>IF('GPS Anthro Tool'!$B$5=0,0,IF($H15=0,0,BD33))</f>
        <v>0</v>
      </c>
      <c r="BE15" s="173">
        <f>IF('GPS Anthro Tool'!$B$5=0,0,IF($I15=0,0,BE33))</f>
        <v>0</v>
      </c>
      <c r="BF15" s="208"/>
      <c r="BG15" s="157">
        <f t="shared" si="0"/>
        <v>0</v>
      </c>
      <c r="BH15" s="157">
        <f t="shared" si="1"/>
        <v>0</v>
      </c>
      <c r="BI15" s="157">
        <f t="shared" si="2"/>
        <v>0</v>
      </c>
      <c r="BJ15" s="213">
        <v>0</v>
      </c>
      <c r="BK15" s="157">
        <f t="shared" si="3"/>
        <v>0</v>
      </c>
      <c r="BL15" s="157">
        <f t="shared" si="4"/>
        <v>0</v>
      </c>
      <c r="BM15" s="157">
        <f t="shared" si="5"/>
        <v>0</v>
      </c>
      <c r="BN15" s="213">
        <v>0</v>
      </c>
      <c r="BO15" s="157">
        <f t="shared" si="6"/>
        <v>0</v>
      </c>
      <c r="BP15" s="157">
        <f t="shared" si="7"/>
        <v>0</v>
      </c>
      <c r="BQ15" s="157">
        <f t="shared" si="8"/>
        <v>0</v>
      </c>
      <c r="BR15" s="213"/>
      <c r="BS15" s="167">
        <f t="shared" si="9"/>
        <v>0</v>
      </c>
      <c r="BT15" s="167">
        <f t="shared" si="10"/>
        <v>0</v>
      </c>
      <c r="BU15" s="167">
        <f t="shared" si="11"/>
        <v>0</v>
      </c>
      <c r="BV15" s="213">
        <v>0</v>
      </c>
      <c r="BW15" s="168">
        <f t="shared" si="12"/>
        <v>0</v>
      </c>
      <c r="BX15" s="168">
        <f t="shared" si="13"/>
        <v>0</v>
      </c>
      <c r="BY15" s="168">
        <f t="shared" si="14"/>
        <v>0</v>
      </c>
      <c r="BZ15" s="210"/>
      <c r="CA15" s="169">
        <f t="shared" si="15"/>
        <v>0</v>
      </c>
      <c r="CB15" s="169">
        <f t="shared" si="16"/>
        <v>0</v>
      </c>
      <c r="CC15" s="169">
        <f t="shared" si="17"/>
        <v>0</v>
      </c>
      <c r="CD15" s="210"/>
      <c r="CE15" s="170">
        <f t="shared" si="18"/>
        <v>0</v>
      </c>
      <c r="CF15" s="170">
        <f t="shared" si="19"/>
        <v>0</v>
      </c>
      <c r="CG15" s="170">
        <f t="shared" si="20"/>
        <v>0</v>
      </c>
      <c r="CH15" s="210"/>
    </row>
    <row r="16" spans="1:86">
      <c r="A16" s="426">
        <v>10</v>
      </c>
      <c r="B16" s="153">
        <v>1</v>
      </c>
      <c r="C16" s="172">
        <f>IF('GPS Anthro Tool'!$B$5=0,0,IF('GPS Anthro Tool'!$B$11=0,0,IF('EU Child Data'!$B16=0,0,IF(C34&gt;'GPS Anthro Tool'!$B$16,0,IF(C34&lt;'GPS Anthro Tool'!$B$17,0,C34)))))</f>
        <v>0</v>
      </c>
      <c r="D16" s="172">
        <f>IF('GPS Anthro Tool'!$B$5=0,0,IF('GPS Anthro Tool'!$B$10=0,0,IF('EU Child Data'!$B16=0,0,IF(D34&gt;'GPS Anthro Tool'!$B$16,0,IF(D34&lt;'GPS Anthro Tool'!$B$17,0,D34)))))</f>
        <v>0</v>
      </c>
      <c r="E16" s="172">
        <f>IF('GPS Anthro Tool'!$B$5=0,0,IF('GPS Anthro Tool'!$B$9=0,0,IF('EU Child Data'!$B16=0,0,IF(E34&gt;'GPS Anthro Tool'!$B$16,0,IF(E34&lt;'GPS Anthro Tool'!$B$17,0,E34)))))</f>
        <v>0</v>
      </c>
      <c r="G16" s="173">
        <f>IF('GPS Anthro Tool'!$B$5=0,0,IF('GPS Anthro Tool'!$B$11=0,0,IF('EU Child Data'!$B16=0,0,IF(G34&gt;'GPS Anthro Tool'!$B$14,0,IF(G34&lt;'GPS Anthro Tool'!$B$15,0,G34)))))</f>
        <v>0</v>
      </c>
      <c r="H16" s="173">
        <f>IF('GPS Anthro Tool'!$B$5=0,0,IF('GPS Anthro Tool'!$B$10=0,0,IF('EU Child Data'!$B16=0,0,IF(H34&gt;'GPS Anthro Tool'!$B$14,0,IF(H34&lt;'GPS Anthro Tool'!$B$15,0,H34)))))</f>
        <v>0</v>
      </c>
      <c r="I16" s="173">
        <f>IF('GPS Anthro Tool'!$B$5=0,0,IF('GPS Anthro Tool'!$B$9=0,0,IF('EU Child Data'!$B16=0,0,IF(I34&gt;'GPS Anthro Tool'!$B$14,0,IF(I34&lt;'GPS Anthro Tool'!$B$15,0,I34)))))</f>
        <v>0</v>
      </c>
      <c r="K16" s="462">
        <f>IF('GPS Anthro Tool'!$B$5=0,0,IF($G16=0,0,K34+'GPS Anthro Tool'!$B$41))</f>
        <v>0</v>
      </c>
      <c r="L16" s="462">
        <f>IF('GPS Anthro Tool'!$B$5=0,0,IF($H16=0,0,L34+'GPS Anthro Tool'!$B$41))</f>
        <v>0</v>
      </c>
      <c r="M16" s="462">
        <f>IF('GPS Anthro Tool'!$B$5=0,0,IF($I16=0,0,M34+'GPS Anthro Tool'!$B$41))</f>
        <v>0</v>
      </c>
      <c r="N16" s="463"/>
      <c r="O16" s="462">
        <f>IF('GPS Anthro Tool'!$B$5=0,0,IF($G16=0,0,O34+'GPS Anthro Tool'!$B$41))</f>
        <v>0</v>
      </c>
      <c r="P16" s="462">
        <f>IF('GPS Anthro Tool'!$B$5=0,0,IF($H16=0,0,P34+'GPS Anthro Tool'!$B$41))</f>
        <v>0</v>
      </c>
      <c r="Q16" s="462">
        <f>IF('GPS Anthro Tool'!$B$5=0,0,IF($I16=0,0,Q34+'GPS Anthro Tool'!$B$41))</f>
        <v>0</v>
      </c>
      <c r="S16" s="173">
        <f>IF('GPS Anthro Tool'!$B$5=0,0,IF($G16=0,0,S34))</f>
        <v>0</v>
      </c>
      <c r="T16" s="173">
        <f>IF('GPS Anthro Tool'!$B$5=0,0,IF($H16=0,0,T34))</f>
        <v>0</v>
      </c>
      <c r="U16" s="173">
        <f>IF('GPS Anthro Tool'!$B$5=0,0,IF($I16=0,0,U34))</f>
        <v>0</v>
      </c>
      <c r="W16" s="173">
        <f>IF('GPS Anthro Tool'!$B$5=0,0,IF($G16=0,0,W34))</f>
        <v>0</v>
      </c>
      <c r="X16" s="173">
        <f>IF('GPS Anthro Tool'!$B$5=0,0,IF($H16=0,0,X34))</f>
        <v>0</v>
      </c>
      <c r="Y16" s="173">
        <f>IF('GPS Anthro Tool'!$B$5=0,0,IF($I16=0,0,Y34))</f>
        <v>0</v>
      </c>
      <c r="Z16" s="283">
        <v>0</v>
      </c>
      <c r="AA16" s="173">
        <f>IF('GPS Anthro Tool'!$B$5=0,0,IF($G16=0,0,AA34))</f>
        <v>0</v>
      </c>
      <c r="AB16" s="173">
        <f>IF('GPS Anthro Tool'!$B$5=0,0,IF($H16=0,0,AB34))</f>
        <v>0</v>
      </c>
      <c r="AC16" s="173">
        <f>IF('GPS Anthro Tool'!$B$5=0,0,IF($I16=0,0,AC34))</f>
        <v>0</v>
      </c>
      <c r="AE16" s="173">
        <f>IF('GPS Anthro Tool'!$B$5=0,0,IF($G16=0,0,AE34))</f>
        <v>0</v>
      </c>
      <c r="AF16" s="173">
        <f>IF('GPS Anthro Tool'!$B$5=0,0,IF($H16=0,0,AF34))</f>
        <v>0</v>
      </c>
      <c r="AG16" s="173">
        <f>IF('GPS Anthro Tool'!$B$5=0,0,IF($I16=0,0,AG34))</f>
        <v>0</v>
      </c>
      <c r="AI16" s="462">
        <f>IF('GPS Anthro Tool'!$B$5=0,0,IF($G16=0,0,AI34+'GPS Anthro Tool'!$B$42))</f>
        <v>0</v>
      </c>
      <c r="AJ16" s="462">
        <f>IF('GPS Anthro Tool'!$B$5=0,0,IF($H16=0,0,AJ34+'GPS Anthro Tool'!$B$42))</f>
        <v>0</v>
      </c>
      <c r="AK16" s="462">
        <f>IF('GPS Anthro Tool'!$B$5=0,0,IF($I16=0,0,AK34+'GPS Anthro Tool'!$B$42))</f>
        <v>0</v>
      </c>
      <c r="AM16" s="173">
        <f>IF('GPS Anthro Tool'!$B$5=0,0,IF($G16=0,0,-AM34-'GPS Anthro Tool'!$B$42))</f>
        <v>0</v>
      </c>
      <c r="AN16" s="173">
        <f>IF('GPS Anthro Tool'!$B$5=0,0,IF($H16=0,0,-AN34-'GPS Anthro Tool'!$B$42))</f>
        <v>0</v>
      </c>
      <c r="AO16" s="173">
        <f>IF('GPS Anthro Tool'!$B$5=0,0,IF($I16=0,0,-AO34-'GPS Anthro Tool'!$B$42))</f>
        <v>0</v>
      </c>
      <c r="AQ16" s="173">
        <f>IF('GPS Anthro Tool'!$B$5=0,0,IF($G16=0,0,AQ34-'GPS Anthro Tool'!$B$41))</f>
        <v>0</v>
      </c>
      <c r="AR16" s="173">
        <f>IF('GPS Anthro Tool'!$B$5=0,0,IF($H16=0,0,AR34-'GPS Anthro Tool'!$B$41))</f>
        <v>0</v>
      </c>
      <c r="AS16" s="173">
        <f>IF('GPS Anthro Tool'!$B$5=0,0,IF($I16=0,0,AS34-'GPS Anthro Tool'!$B$41))</f>
        <v>0</v>
      </c>
      <c r="AU16" s="173">
        <f>IF('GPS Anthro Tool'!$B$5=0,0,IF($G16=0,0,AU34))</f>
        <v>0</v>
      </c>
      <c r="AV16" s="173">
        <f>IF('GPS Anthro Tool'!$B$5=0,0,IF($H16=0,0,AV34))</f>
        <v>0</v>
      </c>
      <c r="AW16" s="173">
        <f>IF('GPS Anthro Tool'!$B$5=0,0,IF($I16=0,0,AW34))</f>
        <v>0</v>
      </c>
      <c r="AY16" s="173">
        <f>IF('GPS Anthro Tool'!$B$5=0,0,IF($G16=0,0,AY34))</f>
        <v>0</v>
      </c>
      <c r="AZ16" s="173">
        <f>IF('GPS Anthro Tool'!$B$5=0,0,IF($H16=0,0,AZ34))</f>
        <v>0</v>
      </c>
      <c r="BA16" s="173">
        <f>IF('GPS Anthro Tool'!$B$5=0,0,IF($I16=0,0,BA34))</f>
        <v>0</v>
      </c>
      <c r="BC16" s="173">
        <f>IF('GPS Anthro Tool'!$B$5=0,0,IF($G16=0,0,BC34))</f>
        <v>0</v>
      </c>
      <c r="BD16" s="173">
        <f>IF('GPS Anthro Tool'!$B$5=0,0,IF($H16=0,0,BD34))</f>
        <v>0</v>
      </c>
      <c r="BE16" s="173">
        <f>IF('GPS Anthro Tool'!$B$5=0,0,IF($I16=0,0,BE34))</f>
        <v>0</v>
      </c>
      <c r="BF16" s="208"/>
      <c r="BG16" s="157">
        <f t="shared" si="0"/>
        <v>0</v>
      </c>
      <c r="BH16" s="157">
        <f t="shared" si="1"/>
        <v>0</v>
      </c>
      <c r="BI16" s="157">
        <f t="shared" si="2"/>
        <v>0</v>
      </c>
      <c r="BJ16" s="213">
        <v>0</v>
      </c>
      <c r="BK16" s="157">
        <f t="shared" si="3"/>
        <v>0</v>
      </c>
      <c r="BL16" s="157">
        <f t="shared" si="4"/>
        <v>0</v>
      </c>
      <c r="BM16" s="157">
        <f t="shared" si="5"/>
        <v>0</v>
      </c>
      <c r="BN16" s="213">
        <v>0</v>
      </c>
      <c r="BO16" s="157">
        <f t="shared" si="6"/>
        <v>0</v>
      </c>
      <c r="BP16" s="157">
        <f t="shared" si="7"/>
        <v>0</v>
      </c>
      <c r="BQ16" s="157">
        <f t="shared" si="8"/>
        <v>0</v>
      </c>
      <c r="BR16" s="213"/>
      <c r="BS16" s="167">
        <f t="shared" si="9"/>
        <v>0</v>
      </c>
      <c r="BT16" s="167">
        <f t="shared" si="10"/>
        <v>0</v>
      </c>
      <c r="BU16" s="167">
        <f t="shared" si="11"/>
        <v>0</v>
      </c>
      <c r="BV16" s="213">
        <v>0</v>
      </c>
      <c r="BW16" s="168">
        <f t="shared" si="12"/>
        <v>0</v>
      </c>
      <c r="BX16" s="168">
        <f t="shared" si="13"/>
        <v>0</v>
      </c>
      <c r="BY16" s="168">
        <f t="shared" si="14"/>
        <v>0</v>
      </c>
      <c r="BZ16" s="210"/>
      <c r="CA16" s="169">
        <f t="shared" si="15"/>
        <v>0</v>
      </c>
      <c r="CB16" s="169">
        <f t="shared" si="16"/>
        <v>0</v>
      </c>
      <c r="CC16" s="169">
        <f t="shared" si="17"/>
        <v>0</v>
      </c>
      <c r="CD16" s="210"/>
      <c r="CE16" s="170">
        <f t="shared" si="18"/>
        <v>0</v>
      </c>
      <c r="CF16" s="170">
        <f t="shared" si="19"/>
        <v>0</v>
      </c>
      <c r="CG16" s="170">
        <f t="shared" si="20"/>
        <v>0</v>
      </c>
      <c r="CH16" s="210"/>
    </row>
    <row r="17" spans="1:86">
      <c r="BF17" s="208"/>
      <c r="BG17" s="157"/>
      <c r="BH17" s="157"/>
      <c r="BI17" s="157"/>
      <c r="BJ17" s="213"/>
      <c r="BK17" s="157"/>
      <c r="BL17" s="157"/>
      <c r="BM17" s="157"/>
      <c r="BN17" s="213"/>
      <c r="BO17" s="157"/>
      <c r="BP17" s="157"/>
      <c r="BQ17" s="157"/>
      <c r="BR17" s="213"/>
      <c r="BS17" s="167"/>
      <c r="BT17" s="167"/>
      <c r="BU17" s="167"/>
      <c r="BV17" s="213"/>
      <c r="BW17" s="168"/>
      <c r="BX17" s="168"/>
      <c r="BY17" s="168"/>
      <c r="BZ17" s="210"/>
      <c r="CA17" s="169"/>
      <c r="CB17" s="169"/>
      <c r="CC17" s="169"/>
      <c r="CD17" s="210"/>
      <c r="CE17" s="170"/>
      <c r="CF17" s="170"/>
      <c r="CG17" s="170"/>
      <c r="CH17" s="210"/>
    </row>
    <row r="18" spans="1:86">
      <c r="BF18" s="208"/>
      <c r="BG18" s="157"/>
      <c r="BH18" s="157"/>
      <c r="BI18" s="157"/>
      <c r="BJ18" s="213"/>
      <c r="BK18" s="157"/>
      <c r="BL18" s="157"/>
      <c r="BM18" s="157"/>
      <c r="BN18" s="213"/>
      <c r="BO18" s="157"/>
      <c r="BP18" s="157"/>
      <c r="BQ18" s="157"/>
      <c r="BR18" s="213"/>
      <c r="BS18" s="167"/>
      <c r="BT18" s="167"/>
      <c r="BU18" s="167"/>
      <c r="BV18" s="210"/>
      <c r="BW18" s="168"/>
      <c r="BX18" s="168"/>
      <c r="BY18" s="168"/>
      <c r="BZ18" s="210"/>
      <c r="CA18" s="169"/>
      <c r="CB18" s="169"/>
      <c r="CC18" s="169"/>
      <c r="CD18" s="210"/>
      <c r="CE18" s="170"/>
      <c r="CF18" s="170"/>
      <c r="CG18" s="170"/>
      <c r="CH18" s="210"/>
    </row>
    <row r="19" spans="1:86" s="147" customFormat="1" ht="23.1" customHeight="1">
      <c r="C19" s="788" t="s">
        <v>479</v>
      </c>
      <c r="D19" s="788"/>
      <c r="E19" s="788"/>
      <c r="F19" s="282"/>
      <c r="G19" s="788" t="s">
        <v>480</v>
      </c>
      <c r="H19" s="788"/>
      <c r="I19" s="788"/>
      <c r="J19" s="282"/>
      <c r="K19" s="788" t="s">
        <v>481</v>
      </c>
      <c r="L19" s="788"/>
      <c r="M19" s="788"/>
      <c r="N19" s="282"/>
      <c r="O19" s="788" t="s">
        <v>482</v>
      </c>
      <c r="P19" s="788"/>
      <c r="Q19" s="788"/>
      <c r="R19" s="282"/>
      <c r="S19" s="788" t="s">
        <v>483</v>
      </c>
      <c r="T19" s="788"/>
      <c r="U19" s="788"/>
      <c r="V19" s="282"/>
      <c r="W19" s="788" t="s">
        <v>484</v>
      </c>
      <c r="X19" s="788"/>
      <c r="Y19" s="788"/>
      <c r="Z19" s="282"/>
      <c r="AA19" s="790" t="s">
        <v>485</v>
      </c>
      <c r="AB19" s="790"/>
      <c r="AC19" s="790"/>
      <c r="AD19" s="282"/>
      <c r="AE19" s="790" t="s">
        <v>497</v>
      </c>
      <c r="AF19" s="790"/>
      <c r="AG19" s="790"/>
      <c r="AH19" s="282"/>
      <c r="AI19" s="789" t="s">
        <v>486</v>
      </c>
      <c r="AJ19" s="789"/>
      <c r="AK19" s="789"/>
      <c r="AL19" s="282"/>
      <c r="AM19" s="789" t="s">
        <v>487</v>
      </c>
      <c r="AN19" s="789"/>
      <c r="AO19" s="789"/>
      <c r="AP19" s="282"/>
      <c r="AQ19" s="788" t="s">
        <v>488</v>
      </c>
      <c r="AR19" s="788"/>
      <c r="AS19" s="788"/>
      <c r="AT19" s="282"/>
      <c r="AU19" s="789" t="s">
        <v>539</v>
      </c>
      <c r="AV19" s="789"/>
      <c r="AW19" s="789"/>
      <c r="AX19" s="282"/>
      <c r="AY19" s="789" t="s">
        <v>540</v>
      </c>
      <c r="AZ19" s="789"/>
      <c r="BA19" s="789"/>
      <c r="BB19" s="282"/>
      <c r="BC19" s="788" t="s">
        <v>541</v>
      </c>
      <c r="BD19" s="788"/>
      <c r="BE19" s="788"/>
      <c r="BF19" s="207"/>
      <c r="BG19" s="156" t="s">
        <v>499</v>
      </c>
      <c r="BH19" s="156" t="s">
        <v>500</v>
      </c>
      <c r="BI19" s="156" t="s">
        <v>501</v>
      </c>
      <c r="BJ19" s="205"/>
      <c r="BK19" s="156" t="s">
        <v>502</v>
      </c>
      <c r="BL19" s="156" t="s">
        <v>503</v>
      </c>
      <c r="BM19" s="156" t="s">
        <v>504</v>
      </c>
      <c r="BN19" s="205"/>
      <c r="BO19" s="156" t="s">
        <v>505</v>
      </c>
      <c r="BP19" s="156" t="s">
        <v>506</v>
      </c>
      <c r="BQ19" s="156" t="s">
        <v>507</v>
      </c>
      <c r="BR19" s="205"/>
      <c r="BS19" s="156" t="s">
        <v>508</v>
      </c>
      <c r="BT19" s="156" t="s">
        <v>509</v>
      </c>
      <c r="BU19" s="156" t="s">
        <v>510</v>
      </c>
      <c r="BV19" s="210"/>
      <c r="BW19" s="156" t="s">
        <v>511</v>
      </c>
      <c r="BX19" s="156" t="s">
        <v>512</v>
      </c>
      <c r="BY19" s="156" t="s">
        <v>513</v>
      </c>
      <c r="BZ19" s="210"/>
      <c r="CA19" s="156" t="s">
        <v>514</v>
      </c>
      <c r="CB19" s="156" t="s">
        <v>515</v>
      </c>
      <c r="CC19" s="156" t="s">
        <v>516</v>
      </c>
      <c r="CD19" s="210"/>
      <c r="CE19" s="156" t="s">
        <v>517</v>
      </c>
      <c r="CF19" s="156" t="s">
        <v>518</v>
      </c>
      <c r="CG19" s="156" t="s">
        <v>519</v>
      </c>
      <c r="CH19" s="210"/>
    </row>
    <row r="20" spans="1:86">
      <c r="A20" s="42" t="s">
        <v>204</v>
      </c>
      <c r="C20" s="42" t="s">
        <v>308</v>
      </c>
      <c r="D20" s="42" t="s">
        <v>435</v>
      </c>
      <c r="E20" s="42" t="s">
        <v>309</v>
      </c>
      <c r="G20" s="42" t="s">
        <v>308</v>
      </c>
      <c r="H20" s="42" t="s">
        <v>435</v>
      </c>
      <c r="I20" s="42" t="s">
        <v>309</v>
      </c>
      <c r="K20" s="42" t="s">
        <v>308</v>
      </c>
      <c r="L20" s="42" t="s">
        <v>435</v>
      </c>
      <c r="M20" s="42" t="s">
        <v>309</v>
      </c>
      <c r="O20" s="42" t="s">
        <v>308</v>
      </c>
      <c r="P20" s="42" t="s">
        <v>435</v>
      </c>
      <c r="Q20" s="42" t="s">
        <v>309</v>
      </c>
      <c r="S20" s="42" t="s">
        <v>308</v>
      </c>
      <c r="T20" s="42" t="s">
        <v>435</v>
      </c>
      <c r="U20" s="42" t="s">
        <v>309</v>
      </c>
      <c r="W20" s="42" t="s">
        <v>308</v>
      </c>
      <c r="X20" s="42" t="s">
        <v>435</v>
      </c>
      <c r="Y20" s="42" t="s">
        <v>309</v>
      </c>
      <c r="AA20" s="42" t="s">
        <v>308</v>
      </c>
      <c r="AB20" s="42" t="s">
        <v>435</v>
      </c>
      <c r="AC20" s="42" t="s">
        <v>309</v>
      </c>
      <c r="AE20" s="42" t="s">
        <v>308</v>
      </c>
      <c r="AF20" s="42" t="s">
        <v>435</v>
      </c>
      <c r="AG20" s="42" t="s">
        <v>309</v>
      </c>
      <c r="AI20" s="42" t="s">
        <v>308</v>
      </c>
      <c r="AJ20" s="42" t="s">
        <v>435</v>
      </c>
      <c r="AK20" s="42" t="s">
        <v>309</v>
      </c>
      <c r="AM20" s="42" t="s">
        <v>308</v>
      </c>
      <c r="AN20" s="42" t="s">
        <v>435</v>
      </c>
      <c r="AO20" s="42" t="s">
        <v>309</v>
      </c>
      <c r="AQ20" s="42" t="s">
        <v>308</v>
      </c>
      <c r="AR20" s="42" t="s">
        <v>435</v>
      </c>
      <c r="AS20" s="42" t="s">
        <v>309</v>
      </c>
      <c r="AU20" s="42" t="s">
        <v>308</v>
      </c>
      <c r="AV20" s="42" t="s">
        <v>435</v>
      </c>
      <c r="AW20" s="42" t="s">
        <v>309</v>
      </c>
      <c r="AY20" s="42" t="s">
        <v>308</v>
      </c>
      <c r="AZ20" s="42" t="s">
        <v>435</v>
      </c>
      <c r="BA20" s="42" t="s">
        <v>309</v>
      </c>
      <c r="BC20" s="42" t="s">
        <v>308</v>
      </c>
      <c r="BD20" s="42" t="s">
        <v>435</v>
      </c>
      <c r="BE20" s="42" t="s">
        <v>309</v>
      </c>
      <c r="BF20" s="209"/>
      <c r="BG20" s="82"/>
      <c r="BH20" s="82"/>
      <c r="BI20" s="82"/>
      <c r="BJ20" s="210"/>
      <c r="BK20" s="82"/>
      <c r="BL20" s="82"/>
      <c r="BM20" s="82"/>
      <c r="BN20" s="210"/>
      <c r="BO20" s="82"/>
      <c r="BP20" s="82"/>
      <c r="BQ20" s="82"/>
      <c r="BR20" s="210"/>
      <c r="BS20" s="82"/>
      <c r="BT20" s="82"/>
      <c r="BU20" s="82"/>
      <c r="BV20" s="210"/>
      <c r="BW20" s="82"/>
      <c r="BX20" s="82"/>
      <c r="BY20" s="82"/>
      <c r="BZ20" s="210"/>
      <c r="CA20" s="82"/>
      <c r="CB20" s="82"/>
      <c r="CC20" s="82"/>
      <c r="CD20" s="210"/>
      <c r="CE20" s="82"/>
      <c r="CF20" s="82"/>
      <c r="CG20" s="82"/>
      <c r="CH20" s="210"/>
    </row>
    <row r="21" spans="1:86">
      <c r="A21" s="42" t="s">
        <v>489</v>
      </c>
      <c r="C21">
        <v>3.5999999999999996</v>
      </c>
      <c r="D21">
        <v>5.6</v>
      </c>
      <c r="E21">
        <v>7.6</v>
      </c>
      <c r="G21">
        <v>53.599999999999994</v>
      </c>
      <c r="H21">
        <v>59.8</v>
      </c>
      <c r="I21">
        <v>66</v>
      </c>
      <c r="K21">
        <v>37.199999999999996</v>
      </c>
      <c r="L21" s="50">
        <v>41.8</v>
      </c>
      <c r="M21">
        <v>46.4</v>
      </c>
      <c r="O21" s="50">
        <v>22.4</v>
      </c>
      <c r="P21" s="50">
        <v>27</v>
      </c>
      <c r="Q21" s="50">
        <v>31.6</v>
      </c>
      <c r="S21">
        <v>9.8000000000000007</v>
      </c>
      <c r="T21">
        <v>12.4</v>
      </c>
      <c r="U21">
        <v>15</v>
      </c>
      <c r="W21">
        <f>0.892*14.5</f>
        <v>12.934000000000001</v>
      </c>
      <c r="X21">
        <f>0.892*17.3</f>
        <v>15.431600000000001</v>
      </c>
      <c r="Y21">
        <f>0.892*20.1</f>
        <v>17.929200000000002</v>
      </c>
      <c r="AA21" s="285">
        <v>6</v>
      </c>
      <c r="AB21" s="285">
        <v>7.3</v>
      </c>
      <c r="AC21" s="285">
        <v>8.9</v>
      </c>
      <c r="AE21" s="285">
        <f>0.9*5.54458598726115</f>
        <v>4.9901273885350346</v>
      </c>
      <c r="AF21" s="285">
        <f>0.9*6.72292993630573</f>
        <v>6.0506369426751574</v>
      </c>
      <c r="AG21" s="285">
        <f>0.9*7.90127388535032</f>
        <v>7.1111464968152882</v>
      </c>
      <c r="AI21">
        <v>7.3</v>
      </c>
      <c r="AJ21">
        <v>10.1</v>
      </c>
      <c r="AK21">
        <v>12.899999999999999</v>
      </c>
      <c r="AM21">
        <v>7.9</v>
      </c>
      <c r="AN21">
        <v>11.9</v>
      </c>
      <c r="AO21">
        <v>15.9</v>
      </c>
      <c r="AQ21">
        <v>3.1000000000000005</v>
      </c>
      <c r="AR21">
        <v>4.9000000000000004</v>
      </c>
      <c r="AS21">
        <v>6.7</v>
      </c>
      <c r="AU21" s="80"/>
      <c r="AV21" s="80"/>
      <c r="AW21" s="80"/>
      <c r="AY21" s="80"/>
      <c r="AZ21" s="80"/>
      <c r="BA21" s="80"/>
      <c r="BC21" s="80"/>
      <c r="BD21" s="80"/>
      <c r="BE21" s="80"/>
      <c r="BF21" s="209"/>
      <c r="BG21" s="82"/>
      <c r="BH21" s="82"/>
      <c r="BI21" s="82"/>
      <c r="BJ21" s="210"/>
      <c r="BK21" s="82"/>
      <c r="BL21" s="82"/>
      <c r="BM21" s="82"/>
      <c r="BN21" s="210"/>
      <c r="BO21" s="82"/>
      <c r="BP21" s="82"/>
      <c r="BQ21" s="82"/>
      <c r="BR21" s="210"/>
      <c r="BS21" s="82"/>
      <c r="BT21" s="82"/>
      <c r="BU21" s="82"/>
      <c r="BV21" s="210"/>
      <c r="BW21" s="82"/>
      <c r="BX21" s="82"/>
      <c r="BY21" s="82"/>
      <c r="BZ21" s="210"/>
      <c r="CA21" s="82"/>
      <c r="CB21" s="82"/>
      <c r="CC21" s="82"/>
      <c r="CD21" s="210"/>
      <c r="CE21" s="82"/>
      <c r="CF21" s="82"/>
      <c r="CG21" s="82"/>
      <c r="CH21" s="210"/>
    </row>
    <row r="22" spans="1:86">
      <c r="A22" s="42" t="s">
        <v>490</v>
      </c>
      <c r="C22">
        <v>4.6999999999999993</v>
      </c>
      <c r="D22">
        <v>7.3</v>
      </c>
      <c r="E22">
        <v>9.9</v>
      </c>
      <c r="G22">
        <v>58.599999999999994</v>
      </c>
      <c r="H22">
        <v>65.599999999999994</v>
      </c>
      <c r="I22">
        <v>72.599999999999994</v>
      </c>
      <c r="K22">
        <v>39.200000000000003</v>
      </c>
      <c r="L22" s="50">
        <v>44.6</v>
      </c>
      <c r="M22">
        <v>50</v>
      </c>
      <c r="O22" s="50">
        <v>22.600000000000009</v>
      </c>
      <c r="P22" s="50">
        <v>28.400000000000006</v>
      </c>
      <c r="Q22" s="50">
        <v>34.200000000000003</v>
      </c>
      <c r="S22">
        <v>11.200000000000001</v>
      </c>
      <c r="T22">
        <v>13.8</v>
      </c>
      <c r="U22">
        <v>16.400000000000002</v>
      </c>
      <c r="W22">
        <f>0.892*16.5</f>
        <v>14.718</v>
      </c>
      <c r="X22">
        <f>0.892*18.7</f>
        <v>16.680399999999999</v>
      </c>
      <c r="Y22">
        <f>0.892*20.9</f>
        <v>18.642799999999998</v>
      </c>
      <c r="AA22" s="285">
        <v>7.7</v>
      </c>
      <c r="AB22" s="285">
        <v>8.8000000000000007</v>
      </c>
      <c r="AC22" s="285">
        <v>10.4</v>
      </c>
      <c r="AE22" s="285">
        <f>0.9*6.00636942675159</f>
        <v>5.4057324840764309</v>
      </c>
      <c r="AF22" s="285">
        <f>0.9*7.00636942675159</f>
        <v>6.3057324840764313</v>
      </c>
      <c r="AG22" s="285">
        <f>0.9*8.00636942675159</f>
        <v>7.2057324840764307</v>
      </c>
      <c r="AI22">
        <v>7.8999999999999995</v>
      </c>
      <c r="AJ22">
        <v>10.1</v>
      </c>
      <c r="AK22">
        <v>12.3</v>
      </c>
      <c r="AM22">
        <v>10.199999999999999</v>
      </c>
      <c r="AN22">
        <v>13.6</v>
      </c>
      <c r="AO22">
        <v>17</v>
      </c>
      <c r="AQ22">
        <v>4</v>
      </c>
      <c r="AR22">
        <v>5.8</v>
      </c>
      <c r="AS22">
        <v>7.6</v>
      </c>
      <c r="AU22" s="80"/>
      <c r="AV22" s="80"/>
      <c r="AW22" s="80"/>
      <c r="AY22" s="80"/>
      <c r="AZ22" s="80"/>
      <c r="BA22" s="80"/>
      <c r="BC22" s="80"/>
      <c r="BD22" s="80"/>
      <c r="BE22" s="80"/>
      <c r="BF22" s="207"/>
      <c r="BG22" s="156"/>
      <c r="BH22" s="156"/>
      <c r="BI22" s="156"/>
      <c r="BJ22" s="205"/>
      <c r="BK22" s="156"/>
      <c r="BL22" s="156"/>
      <c r="BM22" s="156"/>
      <c r="BN22" s="205"/>
      <c r="BO22" s="156"/>
      <c r="BP22" s="156"/>
      <c r="BQ22" s="156"/>
      <c r="BR22" s="205"/>
      <c r="BS22" s="156"/>
      <c r="BT22" s="156"/>
      <c r="BU22" s="156"/>
      <c r="BV22" s="210"/>
      <c r="BW22" s="156"/>
      <c r="BX22" s="156"/>
      <c r="BY22" s="156"/>
      <c r="BZ22" s="210"/>
      <c r="CA22" s="156"/>
      <c r="CB22" s="156"/>
      <c r="CC22" s="156"/>
      <c r="CD22" s="210"/>
      <c r="CE22" s="156"/>
      <c r="CF22" s="156"/>
      <c r="CG22" s="156"/>
      <c r="CH22" s="210"/>
    </row>
    <row r="23" spans="1:86">
      <c r="A23" s="42" t="s">
        <v>491</v>
      </c>
      <c r="C23">
        <v>7</v>
      </c>
      <c r="D23">
        <v>8.6</v>
      </c>
      <c r="E23">
        <v>10.199999999999999</v>
      </c>
      <c r="G23">
        <v>65.2</v>
      </c>
      <c r="H23">
        <v>71.2</v>
      </c>
      <c r="I23">
        <v>77.2</v>
      </c>
      <c r="K23">
        <v>43.699999999999996</v>
      </c>
      <c r="L23" s="50">
        <v>47.9</v>
      </c>
      <c r="M23">
        <v>52.1</v>
      </c>
      <c r="O23" s="50">
        <v>26.499999999999993</v>
      </c>
      <c r="P23" s="50">
        <v>30.699999999999996</v>
      </c>
      <c r="Q23" s="50">
        <v>34.9</v>
      </c>
      <c r="S23">
        <v>12.600000000000001</v>
      </c>
      <c r="T23">
        <v>15.4</v>
      </c>
      <c r="U23">
        <v>18.2</v>
      </c>
      <c r="W23">
        <f>0.892*17.8</f>
        <v>15.877600000000001</v>
      </c>
      <c r="X23">
        <f>0.892*19.6</f>
        <v>17.4832</v>
      </c>
      <c r="Y23">
        <f>0.892*21.4</f>
        <v>19.088799999999999</v>
      </c>
      <c r="AA23" s="285">
        <v>7.9</v>
      </c>
      <c r="AB23" s="285">
        <v>8.9</v>
      </c>
      <c r="AC23" s="285">
        <v>10.5</v>
      </c>
      <c r="AE23" s="285">
        <f>0.9*6.37579617834395</f>
        <v>5.7382165605095548</v>
      </c>
      <c r="AF23" s="285">
        <f>0.9*7.32484076433121</f>
        <v>6.5923566878980893</v>
      </c>
      <c r="AG23" s="285">
        <f>0.9*8.27388535031847</f>
        <v>7.4464968152866229</v>
      </c>
      <c r="AI23">
        <v>7.6</v>
      </c>
      <c r="AJ23">
        <v>10.199999999999999</v>
      </c>
      <c r="AK23">
        <v>12.799999999999999</v>
      </c>
      <c r="AM23">
        <v>12.3</v>
      </c>
      <c r="AN23">
        <v>15.5</v>
      </c>
      <c r="AO23">
        <v>18.7</v>
      </c>
      <c r="AQ23">
        <v>3.8</v>
      </c>
      <c r="AR23">
        <v>5.8</v>
      </c>
      <c r="AS23">
        <v>7.8</v>
      </c>
      <c r="AU23" s="80"/>
      <c r="AV23" s="80"/>
      <c r="AW23" s="80"/>
      <c r="AY23" s="80"/>
      <c r="AZ23" s="80"/>
      <c r="BA23" s="80"/>
      <c r="BC23" s="80"/>
      <c r="BD23" s="80"/>
      <c r="BE23" s="80"/>
      <c r="BF23" s="208"/>
      <c r="BG23" s="157"/>
      <c r="BH23" s="157"/>
      <c r="BI23" s="157"/>
      <c r="BJ23" s="213"/>
      <c r="BK23" s="157"/>
      <c r="BL23" s="157"/>
      <c r="BM23" s="157"/>
      <c r="BN23" s="213"/>
      <c r="BO23" s="157"/>
      <c r="BP23" s="157"/>
      <c r="BQ23" s="157"/>
      <c r="BR23" s="213"/>
      <c r="BS23" s="167"/>
      <c r="BT23" s="167"/>
      <c r="BU23" s="167"/>
      <c r="BV23" s="210"/>
      <c r="BW23" s="168"/>
      <c r="BX23" s="168"/>
      <c r="BY23" s="168"/>
      <c r="BZ23" s="210"/>
      <c r="CA23" s="169"/>
      <c r="CB23" s="169"/>
      <c r="CC23" s="169"/>
      <c r="CD23" s="210"/>
      <c r="CE23" s="170"/>
      <c r="CF23" s="170"/>
      <c r="CG23" s="170"/>
      <c r="CH23" s="210"/>
    </row>
    <row r="24" spans="1:86">
      <c r="A24" s="42" t="s">
        <v>492</v>
      </c>
      <c r="C24">
        <v>7.9</v>
      </c>
      <c r="D24">
        <v>9.5</v>
      </c>
      <c r="E24">
        <v>11.1</v>
      </c>
      <c r="G24">
        <v>70.099999999999994</v>
      </c>
      <c r="H24">
        <v>75.5</v>
      </c>
      <c r="I24">
        <v>80.900000000000006</v>
      </c>
      <c r="K24">
        <v>46.4</v>
      </c>
      <c r="L24" s="50">
        <v>49.8</v>
      </c>
      <c r="M24">
        <v>53.199999999999996</v>
      </c>
      <c r="O24" s="50">
        <v>28.500000000000007</v>
      </c>
      <c r="P24" s="50">
        <v>32.299999999999997</v>
      </c>
      <c r="Q24" s="50">
        <v>36.099999999999987</v>
      </c>
      <c r="S24">
        <v>13.399999999999999</v>
      </c>
      <c r="T24">
        <v>15.2</v>
      </c>
      <c r="U24">
        <v>17</v>
      </c>
      <c r="W24">
        <f>0.892*19.1</f>
        <v>17.037200000000002</v>
      </c>
      <c r="X24">
        <f>0.892*20.9</f>
        <v>18.642799999999998</v>
      </c>
      <c r="Y24">
        <f>0.892*22.7</f>
        <v>20.2484</v>
      </c>
      <c r="AA24" s="285">
        <v>7.9</v>
      </c>
      <c r="AB24" s="285">
        <v>9.1</v>
      </c>
      <c r="AC24" s="285">
        <v>10.7</v>
      </c>
      <c r="AE24" s="285">
        <f>0.9*6.60509554140127</f>
        <v>5.9445859872611431</v>
      </c>
      <c r="AF24" s="285">
        <f>0.9*7.43312101910828</f>
        <v>6.6898089171974524</v>
      </c>
      <c r="AG24" s="285">
        <f>0.9*8.26114649681529</f>
        <v>7.4350318471337609</v>
      </c>
      <c r="AI24">
        <v>7.3999999999999995</v>
      </c>
      <c r="AJ24">
        <v>10.6</v>
      </c>
      <c r="AK24">
        <v>13.8</v>
      </c>
      <c r="AM24">
        <v>14.5</v>
      </c>
      <c r="AN24">
        <v>16.899999999999999</v>
      </c>
      <c r="AO24">
        <v>19.3</v>
      </c>
      <c r="AQ24">
        <v>4</v>
      </c>
      <c r="AR24">
        <v>6</v>
      </c>
      <c r="AS24">
        <v>8</v>
      </c>
      <c r="AU24" s="80"/>
      <c r="AV24" s="80"/>
      <c r="AW24" s="80"/>
      <c r="AY24" s="80"/>
      <c r="AZ24" s="80"/>
      <c r="BA24" s="80"/>
      <c r="BC24" s="80"/>
      <c r="BD24" s="80"/>
      <c r="BE24" s="80"/>
      <c r="BF24" s="208"/>
      <c r="BG24" s="157"/>
      <c r="BH24" s="157"/>
      <c r="BI24" s="157"/>
      <c r="BJ24" s="213"/>
      <c r="BK24" s="157"/>
      <c r="BL24" s="157"/>
      <c r="BM24" s="157"/>
      <c r="BN24" s="213"/>
      <c r="BO24" s="157"/>
      <c r="BP24" s="157"/>
      <c r="BQ24" s="157"/>
      <c r="BR24" s="213"/>
      <c r="BS24" s="167"/>
      <c r="BT24" s="167"/>
      <c r="BU24" s="167"/>
      <c r="BV24" s="210"/>
      <c r="BW24" s="168"/>
      <c r="BX24" s="168"/>
      <c r="BY24" s="168"/>
      <c r="BZ24" s="210"/>
      <c r="CA24" s="169"/>
      <c r="CB24" s="169"/>
      <c r="CC24" s="169"/>
      <c r="CD24" s="210"/>
      <c r="CE24" s="170"/>
      <c r="CF24" s="170"/>
      <c r="CG24" s="170"/>
      <c r="CH24" s="210"/>
    </row>
    <row r="25" spans="1:86">
      <c r="A25" s="42" t="s">
        <v>493</v>
      </c>
      <c r="C25">
        <v>8.5</v>
      </c>
      <c r="D25">
        <v>10.7</v>
      </c>
      <c r="E25">
        <v>12.899999999999999</v>
      </c>
      <c r="G25">
        <v>71.899999999999991</v>
      </c>
      <c r="H25">
        <v>78.099999999999994</v>
      </c>
      <c r="I25">
        <v>84.3</v>
      </c>
      <c r="K25">
        <v>45.8</v>
      </c>
      <c r="L25" s="50">
        <v>50.8</v>
      </c>
      <c r="M25">
        <v>55.8</v>
      </c>
      <c r="O25" s="50">
        <v>28.800000000000011</v>
      </c>
      <c r="P25" s="50">
        <v>33.400000000000006</v>
      </c>
      <c r="Q25" s="50">
        <v>38</v>
      </c>
      <c r="S25">
        <v>12.9</v>
      </c>
      <c r="T25">
        <v>15.9</v>
      </c>
      <c r="U25">
        <v>18.899999999999999</v>
      </c>
      <c r="W25">
        <f>0.892*19.6</f>
        <v>17.4832</v>
      </c>
      <c r="X25">
        <f>0.892*21.6</f>
        <v>19.267200000000003</v>
      </c>
      <c r="Y25">
        <f>0.892*23.6</f>
        <v>21.051200000000001</v>
      </c>
      <c r="AA25" s="285">
        <v>7.4</v>
      </c>
      <c r="AB25" s="285">
        <v>9.8000000000000007</v>
      </c>
      <c r="AC25" s="285">
        <v>10.9</v>
      </c>
      <c r="AE25" s="285">
        <f>0.9*6.61464968152866</f>
        <v>5.9531847133757942</v>
      </c>
      <c r="AF25" s="285">
        <f>0.9*7.46815286624204</f>
        <v>6.7213375796178356</v>
      </c>
      <c r="AG25" s="285">
        <f>0.9*8.32165605095541</f>
        <v>7.489490445859869</v>
      </c>
      <c r="AI25">
        <v>9.4</v>
      </c>
      <c r="AJ25">
        <v>11.4</v>
      </c>
      <c r="AK25">
        <v>13.4</v>
      </c>
      <c r="AM25">
        <v>14.9</v>
      </c>
      <c r="AN25">
        <v>18.899999999999999</v>
      </c>
      <c r="AO25">
        <v>22.9</v>
      </c>
      <c r="AQ25">
        <v>4.7</v>
      </c>
      <c r="AR25">
        <v>6.7</v>
      </c>
      <c r="AS25">
        <v>8.6999999999999993</v>
      </c>
      <c r="AU25" s="80"/>
      <c r="AV25" s="80"/>
      <c r="AW25" s="80"/>
      <c r="AY25" s="80"/>
      <c r="AZ25" s="80"/>
      <c r="BA25" s="80"/>
      <c r="BC25" s="80"/>
      <c r="BD25" s="80"/>
      <c r="BE25" s="80"/>
      <c r="BF25" s="208"/>
      <c r="BG25" s="157"/>
      <c r="BH25" s="157"/>
      <c r="BI25" s="157"/>
      <c r="BJ25" s="213"/>
      <c r="BK25" s="157"/>
      <c r="BL25" s="157"/>
      <c r="BM25" s="157"/>
      <c r="BN25" s="213"/>
      <c r="BO25" s="157"/>
      <c r="BP25" s="157"/>
      <c r="BQ25" s="157"/>
      <c r="BR25" s="213"/>
      <c r="BS25" s="167"/>
      <c r="BT25" s="167"/>
      <c r="BU25" s="167"/>
      <c r="BV25" s="210"/>
      <c r="BW25" s="168"/>
      <c r="BX25" s="168"/>
      <c r="BY25" s="168"/>
      <c r="BZ25" s="210"/>
      <c r="CA25" s="169"/>
      <c r="CB25" s="169"/>
      <c r="CC25" s="169"/>
      <c r="CD25" s="210"/>
      <c r="CE25" s="170"/>
      <c r="CF25" s="170"/>
      <c r="CG25" s="170"/>
      <c r="CH25" s="210"/>
    </row>
    <row r="26" spans="1:86">
      <c r="A26" s="42">
        <v>2</v>
      </c>
      <c r="C26">
        <v>10.7</v>
      </c>
      <c r="D26">
        <v>14.5</v>
      </c>
      <c r="E26">
        <v>18.3</v>
      </c>
      <c r="G26">
        <v>84.9</v>
      </c>
      <c r="H26">
        <v>93.9</v>
      </c>
      <c r="I26">
        <v>102.9</v>
      </c>
      <c r="K26">
        <v>50.8</v>
      </c>
      <c r="L26">
        <v>55.4</v>
      </c>
      <c r="M26">
        <v>60</v>
      </c>
      <c r="O26">
        <v>29.6</v>
      </c>
      <c r="P26">
        <v>34</v>
      </c>
      <c r="Q26">
        <v>38.4</v>
      </c>
      <c r="S26">
        <v>16.3</v>
      </c>
      <c r="T26">
        <v>19.100000000000001</v>
      </c>
      <c r="U26">
        <v>21.900000000000002</v>
      </c>
      <c r="W26">
        <f>0.892*21.1</f>
        <v>18.821200000000001</v>
      </c>
      <c r="X26">
        <f>0.892*24.3</f>
        <v>21.675599999999999</v>
      </c>
      <c r="Y26">
        <f>0.892*27.5</f>
        <v>24.53</v>
      </c>
      <c r="AA26" s="285">
        <f>0.73*12.5</f>
        <v>9.125</v>
      </c>
      <c r="AB26" s="285">
        <f>0.73*14.5</f>
        <v>10.584999999999999</v>
      </c>
      <c r="AC26" s="285">
        <f>0.73*16.5</f>
        <v>12.045</v>
      </c>
      <c r="AE26" s="285">
        <f>0.9*6.62420382165605</f>
        <v>5.9617834394904454</v>
      </c>
      <c r="AF26" s="285">
        <f>0.9*7.51592356687898</f>
        <v>6.7643312101910826</v>
      </c>
      <c r="AG26" s="285">
        <f>0.9*8.40764331210191</f>
        <v>7.5668789808917198</v>
      </c>
      <c r="AI26">
        <v>11.6</v>
      </c>
      <c r="AJ26">
        <v>13</v>
      </c>
      <c r="AK26">
        <v>14.4</v>
      </c>
      <c r="AM26">
        <v>20.9</v>
      </c>
      <c r="AN26">
        <v>24.1</v>
      </c>
      <c r="AO26">
        <v>27.3</v>
      </c>
      <c r="AQ26">
        <v>6.1999999999999993</v>
      </c>
      <c r="AR26">
        <v>7.6</v>
      </c>
      <c r="AS26">
        <v>9</v>
      </c>
      <c r="AU26" s="80"/>
      <c r="AV26" s="80"/>
      <c r="AW26" s="80"/>
      <c r="AY26" s="80"/>
      <c r="AZ26" s="80"/>
      <c r="BA26" s="80"/>
      <c r="BC26" s="80"/>
      <c r="BD26" s="80"/>
      <c r="BE26" s="80"/>
      <c r="BF26" s="208"/>
      <c r="BG26" s="157"/>
      <c r="BH26" s="157"/>
      <c r="BI26" s="157"/>
      <c r="BJ26" s="213"/>
      <c r="BK26" s="157"/>
      <c r="BL26" s="157"/>
      <c r="BM26" s="157"/>
      <c r="BN26" s="213"/>
      <c r="BO26" s="157"/>
      <c r="BP26" s="157"/>
      <c r="BQ26" s="157"/>
      <c r="BR26" s="213"/>
      <c r="BS26" s="167"/>
      <c r="BT26" s="167"/>
      <c r="BU26" s="167"/>
      <c r="BV26" s="210"/>
      <c r="BW26" s="168"/>
      <c r="BX26" s="168"/>
      <c r="BY26" s="168"/>
      <c r="BZ26" s="210"/>
      <c r="CA26" s="169"/>
      <c r="CB26" s="169"/>
      <c r="CC26" s="169"/>
      <c r="CD26" s="210"/>
      <c r="CE26" s="170"/>
      <c r="CF26" s="170"/>
      <c r="CG26" s="170"/>
      <c r="CH26" s="210"/>
    </row>
    <row r="27" spans="1:86">
      <c r="A27" s="42">
        <v>3</v>
      </c>
      <c r="C27">
        <v>13</v>
      </c>
      <c r="D27">
        <v>17</v>
      </c>
      <c r="E27">
        <v>21</v>
      </c>
      <c r="G27">
        <v>93.3</v>
      </c>
      <c r="H27">
        <v>102.1</v>
      </c>
      <c r="I27">
        <v>110.89999999999999</v>
      </c>
      <c r="K27">
        <v>53.5</v>
      </c>
      <c r="L27">
        <v>58.1</v>
      </c>
      <c r="M27">
        <v>62.7</v>
      </c>
      <c r="O27">
        <v>30.4</v>
      </c>
      <c r="P27">
        <v>35</v>
      </c>
      <c r="Q27">
        <v>39.6</v>
      </c>
      <c r="S27">
        <v>17.5</v>
      </c>
      <c r="T27">
        <v>20.100000000000001</v>
      </c>
      <c r="U27">
        <v>22.700000000000003</v>
      </c>
      <c r="W27">
        <f>0.892*23.4</f>
        <v>20.872799999999998</v>
      </c>
      <c r="X27">
        <f>0.892*25.6</f>
        <v>22.8352</v>
      </c>
      <c r="Y27">
        <f>0.892*27.8</f>
        <v>24.797600000000003</v>
      </c>
      <c r="AA27" s="285">
        <f>0.73*13</f>
        <v>9.49</v>
      </c>
      <c r="AB27" s="285">
        <f>0.73*15</f>
        <v>10.95</v>
      </c>
      <c r="AC27" s="285">
        <f>0.73*17</f>
        <v>12.41</v>
      </c>
      <c r="AE27" s="285">
        <f>0.9*7.5</f>
        <v>6.75</v>
      </c>
      <c r="AF27" s="285">
        <f>0.9*8.42356687898089</f>
        <v>7.5812101910828016</v>
      </c>
      <c r="AG27" s="285">
        <f>0.9*9.34713375796178</f>
        <v>8.4124203821656014</v>
      </c>
      <c r="AI27">
        <v>11.799999999999999</v>
      </c>
      <c r="AJ27">
        <v>13.6</v>
      </c>
      <c r="AK27">
        <v>15.4</v>
      </c>
      <c r="AM27">
        <v>23.5</v>
      </c>
      <c r="AN27">
        <v>26.7</v>
      </c>
      <c r="AO27">
        <v>29.9</v>
      </c>
      <c r="AQ27">
        <v>6.3000000000000007</v>
      </c>
      <c r="AR27">
        <v>7.9</v>
      </c>
      <c r="AS27">
        <v>9.5</v>
      </c>
      <c r="AU27" s="80"/>
      <c r="AV27" s="80"/>
      <c r="AW27" s="80"/>
      <c r="AY27" s="80"/>
      <c r="AZ27" s="80"/>
      <c r="BA27" s="80"/>
      <c r="BC27" s="80"/>
      <c r="BD27" s="80"/>
      <c r="BE27" s="80"/>
      <c r="BF27" s="208"/>
      <c r="BG27" s="157"/>
      <c r="BH27" s="157"/>
      <c r="BI27" s="157"/>
      <c r="BJ27" s="213"/>
      <c r="BK27" s="157"/>
      <c r="BL27" s="157"/>
      <c r="BM27" s="157"/>
      <c r="BN27" s="213"/>
      <c r="BO27" s="157"/>
      <c r="BP27" s="157"/>
      <c r="BQ27" s="157"/>
      <c r="BR27" s="213"/>
      <c r="BS27" s="167"/>
      <c r="BT27" s="167"/>
      <c r="BU27" s="167"/>
      <c r="BV27" s="210"/>
      <c r="BW27" s="168"/>
      <c r="BX27" s="168"/>
      <c r="BY27" s="168"/>
      <c r="BZ27" s="210"/>
      <c r="CA27" s="169"/>
      <c r="CB27" s="169"/>
      <c r="CC27" s="169"/>
      <c r="CD27" s="210"/>
      <c r="CE27" s="170"/>
      <c r="CF27" s="170"/>
      <c r="CG27" s="170"/>
      <c r="CH27" s="210"/>
    </row>
    <row r="28" spans="1:86">
      <c r="A28" s="42">
        <v>4</v>
      </c>
      <c r="C28">
        <v>14.96</v>
      </c>
      <c r="D28">
        <v>18.96</v>
      </c>
      <c r="E28">
        <v>22.96</v>
      </c>
      <c r="G28">
        <v>99.1</v>
      </c>
      <c r="H28">
        <v>108.5</v>
      </c>
      <c r="I28">
        <v>117.9</v>
      </c>
      <c r="K28">
        <v>55.8</v>
      </c>
      <c r="L28">
        <v>60.8</v>
      </c>
      <c r="M28">
        <v>65.8</v>
      </c>
      <c r="O28">
        <v>31.2</v>
      </c>
      <c r="P28">
        <v>36</v>
      </c>
      <c r="Q28">
        <v>40.799999999999997</v>
      </c>
      <c r="S28">
        <v>18.599999999999998</v>
      </c>
      <c r="T28">
        <v>21.4</v>
      </c>
      <c r="U28">
        <v>24.2</v>
      </c>
      <c r="W28">
        <f>0.892*24.2</f>
        <v>21.586400000000001</v>
      </c>
      <c r="X28">
        <f>0.892*26.8</f>
        <v>23.9056</v>
      </c>
      <c r="Y28">
        <f>0.892*29.4</f>
        <v>26.224799999999998</v>
      </c>
      <c r="AA28" s="285">
        <f>0.73*13.5</f>
        <v>9.8550000000000004</v>
      </c>
      <c r="AB28" s="285">
        <f>0.73*15.5</f>
        <v>11.315</v>
      </c>
      <c r="AC28" s="285">
        <f>0.73*17.5</f>
        <v>12.775</v>
      </c>
      <c r="AE28" s="285">
        <f>0.9*7.82165605095541</f>
        <v>7.0394904458598688</v>
      </c>
      <c r="AF28" s="285">
        <f>0.9*8.68152866242038</f>
        <v>7.8133757961783425</v>
      </c>
      <c r="AG28" s="285">
        <f>0.9*9.54140127388535</f>
        <v>8.5872611464968163</v>
      </c>
      <c r="AI28">
        <v>12.2</v>
      </c>
      <c r="AJ28">
        <v>14</v>
      </c>
      <c r="AK28">
        <v>15.8</v>
      </c>
      <c r="AM28">
        <v>24.7</v>
      </c>
      <c r="AN28">
        <v>28.5</v>
      </c>
      <c r="AO28">
        <v>32.299999999999997</v>
      </c>
      <c r="AQ28">
        <v>6.4</v>
      </c>
      <c r="AR28">
        <v>8</v>
      </c>
      <c r="AS28">
        <v>9.6</v>
      </c>
      <c r="AU28" s="80"/>
      <c r="AV28" s="80"/>
      <c r="AW28" s="80"/>
      <c r="AY28" s="80"/>
      <c r="AZ28" s="80"/>
      <c r="BA28" s="80"/>
      <c r="BC28" s="80"/>
      <c r="BD28" s="80"/>
      <c r="BE28" s="80"/>
      <c r="BF28" s="208"/>
      <c r="BG28" s="157"/>
      <c r="BH28" s="157"/>
      <c r="BI28" s="157"/>
      <c r="BJ28" s="213"/>
      <c r="BK28" s="157"/>
      <c r="BL28" s="157"/>
      <c r="BM28" s="157"/>
      <c r="BN28" s="213"/>
      <c r="BO28" s="157"/>
      <c r="BP28" s="157"/>
      <c r="BQ28" s="157"/>
      <c r="BR28" s="213"/>
      <c r="BS28" s="167"/>
      <c r="BT28" s="167"/>
      <c r="BU28" s="167"/>
      <c r="BV28" s="210"/>
      <c r="BW28" s="168"/>
      <c r="BX28" s="168"/>
      <c r="BY28" s="168"/>
      <c r="BZ28" s="210"/>
      <c r="CA28" s="169"/>
      <c r="CB28" s="169"/>
      <c r="CC28" s="169"/>
      <c r="CD28" s="210"/>
      <c r="CE28" s="170"/>
      <c r="CF28" s="170"/>
      <c r="CG28" s="170"/>
      <c r="CH28" s="210"/>
    </row>
    <row r="29" spans="1:86">
      <c r="A29" s="42">
        <v>5</v>
      </c>
      <c r="C29">
        <v>16</v>
      </c>
      <c r="D29">
        <v>21.6</v>
      </c>
      <c r="E29">
        <v>27.200000000000003</v>
      </c>
      <c r="G29">
        <v>107.4</v>
      </c>
      <c r="H29">
        <v>117</v>
      </c>
      <c r="I29">
        <v>126.6</v>
      </c>
      <c r="K29">
        <v>59.5</v>
      </c>
      <c r="L29">
        <v>63.9</v>
      </c>
      <c r="M29">
        <v>68.3</v>
      </c>
      <c r="O29">
        <v>33</v>
      </c>
      <c r="P29">
        <v>38</v>
      </c>
      <c r="Q29">
        <v>43</v>
      </c>
      <c r="S29">
        <v>19.2</v>
      </c>
      <c r="T29">
        <v>22.4</v>
      </c>
      <c r="U29">
        <v>25.599999999999998</v>
      </c>
      <c r="W29">
        <f>0.892*25.4</f>
        <v>22.6568</v>
      </c>
      <c r="X29">
        <f>0.892*28.2</f>
        <v>25.154399999999999</v>
      </c>
      <c r="Y29">
        <f>0.892*31</f>
        <v>27.652000000000001</v>
      </c>
      <c r="AA29" s="285">
        <f>0.73*13.1</f>
        <v>9.5629999999999988</v>
      </c>
      <c r="AB29" s="285">
        <f>0.73*15.5</f>
        <v>11.315</v>
      </c>
      <c r="AC29" s="285">
        <f>0.73*17.9</f>
        <v>13.066999999999998</v>
      </c>
      <c r="AE29" s="285">
        <f>0.9*7.72292993630573</f>
        <v>6.9506369426751577</v>
      </c>
      <c r="AF29" s="285">
        <f>0.9*8.97770700636943</f>
        <v>8.0799363057324864</v>
      </c>
      <c r="AG29" s="285">
        <f>0.9*10.2324840764331</f>
        <v>9.2092356687897894</v>
      </c>
      <c r="AI29">
        <v>12.899999999999999</v>
      </c>
      <c r="AJ29">
        <v>14.7</v>
      </c>
      <c r="AK29">
        <v>16.5</v>
      </c>
      <c r="AM29">
        <v>27.3</v>
      </c>
      <c r="AN29">
        <v>31.5</v>
      </c>
      <c r="AO29">
        <v>35.700000000000003</v>
      </c>
      <c r="AQ29">
        <v>6.8000000000000007</v>
      </c>
      <c r="AR29">
        <v>8.4</v>
      </c>
      <c r="AS29">
        <v>10</v>
      </c>
      <c r="AU29" s="80"/>
      <c r="AV29" s="80"/>
      <c r="AW29" s="80"/>
      <c r="AY29" s="80"/>
      <c r="AZ29" s="80"/>
      <c r="BA29" s="80"/>
      <c r="BC29" s="80"/>
      <c r="BD29" s="80"/>
      <c r="BE29" s="80"/>
      <c r="BF29" s="208"/>
      <c r="BG29" s="157"/>
      <c r="BH29" s="157"/>
      <c r="BI29" s="157"/>
      <c r="BJ29" s="213"/>
      <c r="BK29" s="157"/>
      <c r="BL29" s="157"/>
      <c r="BM29" s="157"/>
      <c r="BN29" s="213"/>
      <c r="BO29" s="157"/>
      <c r="BP29" s="157"/>
      <c r="BQ29" s="157"/>
      <c r="BR29" s="213"/>
      <c r="BS29" s="167"/>
      <c r="BT29" s="167"/>
      <c r="BU29" s="167"/>
      <c r="BV29" s="210"/>
      <c r="BW29" s="168"/>
      <c r="BX29" s="168"/>
      <c r="BY29" s="168"/>
      <c r="BZ29" s="210"/>
      <c r="CA29" s="169"/>
      <c r="CB29" s="169"/>
      <c r="CC29" s="169"/>
      <c r="CD29" s="210"/>
      <c r="CE29" s="170"/>
      <c r="CF29" s="170"/>
      <c r="CG29" s="170"/>
      <c r="CH29" s="210"/>
    </row>
    <row r="30" spans="1:86">
      <c r="A30" s="42">
        <v>6</v>
      </c>
      <c r="C30">
        <v>18.5</v>
      </c>
      <c r="D30">
        <v>23.5</v>
      </c>
      <c r="E30">
        <v>28.5</v>
      </c>
      <c r="G30">
        <v>113.1</v>
      </c>
      <c r="H30">
        <v>122.5</v>
      </c>
      <c r="I30">
        <v>131.9</v>
      </c>
      <c r="K30">
        <v>61.000000000000007</v>
      </c>
      <c r="L30">
        <v>66.400000000000006</v>
      </c>
      <c r="M30">
        <v>71.800000000000011</v>
      </c>
      <c r="O30">
        <v>33.200000000000003</v>
      </c>
      <c r="P30">
        <v>39</v>
      </c>
      <c r="Q30">
        <v>44.8</v>
      </c>
      <c r="S30">
        <v>20</v>
      </c>
      <c r="T30">
        <v>22.8</v>
      </c>
      <c r="U30">
        <v>25.6</v>
      </c>
      <c r="W30">
        <f>0.892*26.5</f>
        <v>23.638000000000002</v>
      </c>
      <c r="X30">
        <f>0.892*29.1</f>
        <v>25.9572</v>
      </c>
      <c r="Y30">
        <f>0.892*31.7</f>
        <v>28.276399999999999</v>
      </c>
      <c r="AA30" s="285">
        <f>0.73*12.8</f>
        <v>9.3439999999999994</v>
      </c>
      <c r="AB30" s="285">
        <f>0.73*16</f>
        <v>11.68</v>
      </c>
      <c r="AC30" s="285">
        <f>0.73*19.2</f>
        <v>14.016</v>
      </c>
      <c r="AE30" s="285">
        <f>0.9*8.03821656050955</f>
        <v>7.2343949044585951</v>
      </c>
      <c r="AF30" s="285">
        <f>0.9*9.05732484076433</f>
        <v>8.1515923566878978</v>
      </c>
      <c r="AG30" s="285">
        <f>0.9*10.0764331210191</f>
        <v>9.0687898089171899</v>
      </c>
      <c r="AI30">
        <v>13.299999999999999</v>
      </c>
      <c r="AJ30">
        <v>15.1</v>
      </c>
      <c r="AK30">
        <v>16.899999999999999</v>
      </c>
      <c r="AM30">
        <v>29</v>
      </c>
      <c r="AN30">
        <v>33.200000000000003</v>
      </c>
      <c r="AO30">
        <v>37.4</v>
      </c>
      <c r="AQ30">
        <v>6.8999999999999995</v>
      </c>
      <c r="AR30">
        <v>8.6999999999999993</v>
      </c>
      <c r="AS30">
        <v>10.5</v>
      </c>
      <c r="AU30" s="80"/>
      <c r="AV30" s="80"/>
      <c r="AW30" s="80"/>
      <c r="AY30" s="80"/>
      <c r="AZ30" s="80"/>
      <c r="BA30" s="80"/>
      <c r="BC30" s="80"/>
      <c r="BD30" s="80"/>
      <c r="BE30" s="80"/>
      <c r="BF30" s="208"/>
      <c r="BG30" s="157"/>
      <c r="BH30" s="157"/>
      <c r="BI30" s="157"/>
      <c r="BJ30" s="213"/>
      <c r="BK30" s="157"/>
      <c r="BL30" s="157"/>
      <c r="BM30" s="157"/>
      <c r="BN30" s="213"/>
      <c r="BO30" s="157"/>
      <c r="BP30" s="157"/>
      <c r="BQ30" s="157"/>
      <c r="BR30" s="213"/>
      <c r="BS30" s="167"/>
      <c r="BT30" s="167"/>
      <c r="BU30" s="167"/>
      <c r="BV30" s="210"/>
      <c r="BW30" s="168"/>
      <c r="BX30" s="168"/>
      <c r="BY30" s="168"/>
      <c r="BZ30" s="210"/>
      <c r="CA30" s="169"/>
      <c r="CB30" s="169"/>
      <c r="CC30" s="169"/>
      <c r="CD30" s="210"/>
      <c r="CE30" s="170"/>
      <c r="CF30" s="170"/>
      <c r="CG30" s="170"/>
      <c r="CH30" s="210"/>
    </row>
    <row r="31" spans="1:86">
      <c r="A31" s="42">
        <v>7</v>
      </c>
      <c r="C31">
        <v>19.2</v>
      </c>
      <c r="D31">
        <v>26.4</v>
      </c>
      <c r="E31">
        <v>33.6</v>
      </c>
      <c r="G31">
        <v>118.1</v>
      </c>
      <c r="H31">
        <v>128.69999999999999</v>
      </c>
      <c r="I31">
        <v>139.29999999999998</v>
      </c>
      <c r="K31">
        <v>63.6</v>
      </c>
      <c r="L31">
        <v>69</v>
      </c>
      <c r="M31">
        <v>74.400000000000006</v>
      </c>
      <c r="O31">
        <v>35.1</v>
      </c>
      <c r="P31">
        <v>40.5</v>
      </c>
      <c r="Q31">
        <v>45.9</v>
      </c>
      <c r="S31">
        <v>20.5</v>
      </c>
      <c r="T31">
        <v>23.9</v>
      </c>
      <c r="U31">
        <v>27.299999999999997</v>
      </c>
      <c r="W31">
        <f>0.892*27.2</f>
        <v>24.2624</v>
      </c>
      <c r="X31">
        <f>0.892*30.4</f>
        <v>27.116799999999998</v>
      </c>
      <c r="Y31">
        <f>0.892*33.6</f>
        <v>29.971200000000003</v>
      </c>
      <c r="AA31" s="285">
        <f>0.73*12.7</f>
        <v>9.270999999999999</v>
      </c>
      <c r="AB31" s="285">
        <f>0.73*16.5</f>
        <v>12.045</v>
      </c>
      <c r="AC31" s="285">
        <f>0.73*20.3</f>
        <v>14.819000000000001</v>
      </c>
      <c r="AE31" s="285">
        <f>0.9*8.09872611464968</f>
        <v>7.2888535031847113</v>
      </c>
      <c r="AF31" s="285">
        <f>0.9*9.30891719745223</f>
        <v>8.3780254777070073</v>
      </c>
      <c r="AG31" s="285">
        <f>0.9*10.5191082802548</f>
        <v>9.4671974522293194</v>
      </c>
      <c r="AI31">
        <v>13.3</v>
      </c>
      <c r="AJ31">
        <v>15.5</v>
      </c>
      <c r="AK31">
        <v>17.7</v>
      </c>
      <c r="AM31">
        <v>31</v>
      </c>
      <c r="AN31">
        <v>35.4</v>
      </c>
      <c r="AO31">
        <v>39.799999999999997</v>
      </c>
      <c r="AQ31">
        <v>7.3000000000000007</v>
      </c>
      <c r="AR31">
        <v>9.3000000000000007</v>
      </c>
      <c r="AS31">
        <v>11.3</v>
      </c>
      <c r="AU31" s="80"/>
      <c r="AV31" s="80"/>
      <c r="AW31" s="80"/>
      <c r="AY31" s="80"/>
      <c r="AZ31" s="80"/>
      <c r="BA31" s="80"/>
      <c r="BC31" s="80"/>
      <c r="BD31" s="80"/>
      <c r="BE31" s="80"/>
      <c r="BF31" s="208"/>
      <c r="BG31" s="157"/>
      <c r="BH31" s="157"/>
      <c r="BI31" s="157"/>
      <c r="BJ31" s="213"/>
      <c r="BK31" s="157"/>
      <c r="BL31" s="157"/>
      <c r="BM31" s="157"/>
      <c r="BN31" s="213"/>
      <c r="BO31" s="157"/>
      <c r="BP31" s="157"/>
      <c r="BQ31" s="157"/>
      <c r="BR31" s="213"/>
      <c r="BS31" s="167"/>
      <c r="BT31" s="167"/>
      <c r="BU31" s="167"/>
      <c r="BV31" s="210"/>
      <c r="BW31" s="168"/>
      <c r="BX31" s="168"/>
      <c r="BY31" s="168"/>
      <c r="BZ31" s="210"/>
      <c r="CA31" s="169"/>
      <c r="CB31" s="169"/>
      <c r="CC31" s="169"/>
      <c r="CD31" s="210"/>
      <c r="CE31" s="170"/>
      <c r="CF31" s="170"/>
      <c r="CG31" s="170"/>
      <c r="CH31" s="210"/>
    </row>
    <row r="32" spans="1:86">
      <c r="A32" s="42">
        <v>8</v>
      </c>
      <c r="C32">
        <v>20.7</v>
      </c>
      <c r="D32">
        <v>28.9</v>
      </c>
      <c r="E32">
        <v>37.099999999999994</v>
      </c>
      <c r="G32">
        <v>124</v>
      </c>
      <c r="H32">
        <v>134</v>
      </c>
      <c r="I32">
        <v>144</v>
      </c>
      <c r="K32">
        <v>65.5</v>
      </c>
      <c r="L32">
        <v>70.900000000000006</v>
      </c>
      <c r="M32">
        <v>76.300000000000011</v>
      </c>
      <c r="O32">
        <v>37.1</v>
      </c>
      <c r="P32">
        <v>42.5</v>
      </c>
      <c r="Q32">
        <v>47.9</v>
      </c>
      <c r="S32">
        <v>22.4</v>
      </c>
      <c r="T32">
        <v>26</v>
      </c>
      <c r="U32">
        <v>29.6</v>
      </c>
      <c r="W32">
        <f>0.892*28.2</f>
        <v>25.154399999999999</v>
      </c>
      <c r="X32">
        <f>0.892*31.6</f>
        <v>28.187200000000001</v>
      </c>
      <c r="Y32">
        <f>0.892*35</f>
        <v>31.22</v>
      </c>
      <c r="AA32" s="285">
        <f>0.73*13</f>
        <v>9.49</v>
      </c>
      <c r="AB32" s="285">
        <f>0.73*17</f>
        <v>12.41</v>
      </c>
      <c r="AC32" s="285">
        <f>0.73*21</f>
        <v>15.33</v>
      </c>
      <c r="AE32" s="285">
        <f>0.9*8.328025477707</f>
        <v>7.4952229299362996</v>
      </c>
      <c r="AF32" s="285">
        <f>0.9*9.53184713375796</f>
        <v>8.5786624203821642</v>
      </c>
      <c r="AG32" s="285">
        <f>0.9*10.7356687898089</f>
        <v>9.6621019108280102</v>
      </c>
      <c r="AI32">
        <v>13.4</v>
      </c>
      <c r="AJ32">
        <v>15.8</v>
      </c>
      <c r="AK32">
        <v>18.2</v>
      </c>
      <c r="AM32">
        <v>32.200000000000003</v>
      </c>
      <c r="AN32">
        <v>37.200000000000003</v>
      </c>
      <c r="AO32">
        <v>42.2</v>
      </c>
      <c r="AQ32">
        <v>7.6999999999999993</v>
      </c>
      <c r="AR32">
        <v>9.6999999999999993</v>
      </c>
      <c r="AS32">
        <v>11.7</v>
      </c>
      <c r="AU32" s="80"/>
      <c r="AV32" s="80"/>
      <c r="AW32" s="80"/>
      <c r="AY32" s="80"/>
      <c r="AZ32" s="80"/>
      <c r="BA32" s="80"/>
      <c r="BC32" s="80"/>
      <c r="BD32" s="80"/>
      <c r="BE32" s="80"/>
      <c r="BF32" s="208"/>
      <c r="BG32" s="157"/>
      <c r="BH32" s="157"/>
      <c r="BI32" s="157"/>
      <c r="BJ32" s="213"/>
      <c r="BK32" s="157"/>
      <c r="BL32" s="157"/>
      <c r="BM32" s="157"/>
      <c r="BN32" s="213"/>
      <c r="BO32" s="157"/>
      <c r="BP32" s="157"/>
      <c r="BQ32" s="157"/>
      <c r="BR32" s="213"/>
      <c r="BS32" s="167"/>
      <c r="BT32" s="167"/>
      <c r="BU32" s="167"/>
      <c r="BV32" s="210"/>
      <c r="BW32" s="168"/>
      <c r="BX32" s="168"/>
      <c r="BY32" s="168"/>
      <c r="BZ32" s="210"/>
      <c r="CA32" s="169"/>
      <c r="CB32" s="169"/>
      <c r="CC32" s="169"/>
      <c r="CD32" s="210"/>
      <c r="CE32" s="170"/>
      <c r="CF32" s="170"/>
      <c r="CG32" s="170"/>
      <c r="CH32" s="210"/>
    </row>
    <row r="33" spans="1:86">
      <c r="A33" s="42">
        <v>9</v>
      </c>
      <c r="C33">
        <v>23.099999999999998</v>
      </c>
      <c r="D33">
        <v>32.9</v>
      </c>
      <c r="E33">
        <v>42.7</v>
      </c>
      <c r="G33">
        <v>130.80000000000001</v>
      </c>
      <c r="H33">
        <v>141.80000000000001</v>
      </c>
      <c r="I33">
        <v>152.80000000000001</v>
      </c>
      <c r="K33">
        <v>68.400000000000006</v>
      </c>
      <c r="L33">
        <v>74.2</v>
      </c>
      <c r="M33">
        <v>80</v>
      </c>
      <c r="O33">
        <v>38.200000000000003</v>
      </c>
      <c r="P33">
        <v>44</v>
      </c>
      <c r="Q33">
        <v>49.8</v>
      </c>
      <c r="S33">
        <v>21.8</v>
      </c>
      <c r="T33">
        <v>26</v>
      </c>
      <c r="U33">
        <v>30.2</v>
      </c>
      <c r="W33">
        <f>0.892*29.6</f>
        <v>26.403200000000002</v>
      </c>
      <c r="X33">
        <f>0.892*32.8</f>
        <v>29.257599999999996</v>
      </c>
      <c r="Y33">
        <f>0.892*36</f>
        <v>32.112000000000002</v>
      </c>
      <c r="AA33" s="285">
        <f>0.73*13.8</f>
        <v>10.074</v>
      </c>
      <c r="AB33" s="285">
        <f>0.73*18</f>
        <v>13.14</v>
      </c>
      <c r="AC33" s="285">
        <f>0.73*22.2</f>
        <v>16.206</v>
      </c>
      <c r="AE33" s="285">
        <f>0.9*8.37261146496815</f>
        <v>7.5353503184713357</v>
      </c>
      <c r="AF33" s="285">
        <f>0.9*9.7484076433121</f>
        <v>8.7735668789808905</v>
      </c>
      <c r="AG33" s="285">
        <f>0.9*11.1242038216561</f>
        <v>10.01178343949049</v>
      </c>
      <c r="AI33">
        <v>14.200000000000001</v>
      </c>
      <c r="AJ33">
        <v>16.600000000000001</v>
      </c>
      <c r="AK33">
        <v>19</v>
      </c>
      <c r="AM33">
        <v>34.799999999999997</v>
      </c>
      <c r="AN33">
        <v>39.799999999999997</v>
      </c>
      <c r="AO33">
        <v>44.8</v>
      </c>
      <c r="AQ33">
        <v>8.5</v>
      </c>
      <c r="AR33">
        <v>10.3</v>
      </c>
      <c r="AS33">
        <v>12.100000000000001</v>
      </c>
      <c r="AU33" s="80"/>
      <c r="AV33" s="80"/>
      <c r="AW33" s="80"/>
      <c r="AY33" s="80"/>
      <c r="AZ33" s="80"/>
      <c r="BA33" s="80"/>
      <c r="BC33" s="80"/>
      <c r="BD33" s="80"/>
      <c r="BE33" s="80"/>
      <c r="BF33" s="208"/>
      <c r="BG33" s="157"/>
      <c r="BH33" s="157"/>
      <c r="BI33" s="157"/>
      <c r="BJ33" s="213"/>
      <c r="BK33" s="157"/>
      <c r="BL33" s="157"/>
      <c r="BM33" s="157"/>
      <c r="BN33" s="213"/>
      <c r="BO33" s="157"/>
      <c r="BP33" s="157"/>
      <c r="BQ33" s="157"/>
      <c r="BR33" s="213"/>
      <c r="BS33" s="167"/>
      <c r="BT33" s="167"/>
      <c r="BU33" s="167"/>
      <c r="BV33" s="210"/>
      <c r="BW33" s="168"/>
      <c r="BX33" s="168"/>
      <c r="BY33" s="168"/>
      <c r="BZ33" s="210"/>
      <c r="CA33" s="169"/>
      <c r="CB33" s="169"/>
      <c r="CC33" s="169"/>
      <c r="CD33" s="210"/>
      <c r="CE33" s="170"/>
      <c r="CF33" s="170"/>
      <c r="CG33" s="170"/>
      <c r="CH33" s="210"/>
    </row>
    <row r="34" spans="1:86">
      <c r="A34" s="42">
        <v>10</v>
      </c>
      <c r="C34">
        <v>24.2</v>
      </c>
      <c r="D34">
        <v>36.4</v>
      </c>
      <c r="E34">
        <v>48.599999999999994</v>
      </c>
      <c r="G34">
        <v>132.4</v>
      </c>
      <c r="H34">
        <v>146</v>
      </c>
      <c r="I34">
        <v>159.6</v>
      </c>
      <c r="K34">
        <v>68.7</v>
      </c>
      <c r="L34">
        <v>75.7</v>
      </c>
      <c r="M34">
        <v>82.7</v>
      </c>
      <c r="O34">
        <v>39.9</v>
      </c>
      <c r="P34">
        <v>45.5</v>
      </c>
      <c r="Q34">
        <v>51.1</v>
      </c>
      <c r="S34">
        <v>22.5</v>
      </c>
      <c r="T34">
        <v>27.1</v>
      </c>
      <c r="U34">
        <v>31.700000000000003</v>
      </c>
      <c r="W34">
        <f>0.892*30.4</f>
        <v>27.116799999999998</v>
      </c>
      <c r="X34">
        <f>0.892*34.2</f>
        <v>30.506400000000003</v>
      </c>
      <c r="Y34">
        <f>0.892*38</f>
        <v>33.896000000000001</v>
      </c>
      <c r="AA34" s="285">
        <f>0.73*13.5</f>
        <v>9.8550000000000004</v>
      </c>
      <c r="AB34" s="285">
        <f>0.73*18.5</f>
        <v>13.504999999999999</v>
      </c>
      <c r="AC34" s="285">
        <f>0.73*23.5</f>
        <v>17.155000000000001</v>
      </c>
      <c r="AE34" s="285">
        <f>0.9*8.6687898089172</f>
        <v>7.8019108280254805</v>
      </c>
      <c r="AF34" s="285">
        <f>0.9*9.9171974522293</f>
        <v>8.9254777070063689</v>
      </c>
      <c r="AG34" s="285">
        <f>0.9*11.1656050955414</f>
        <v>10.049044585987261</v>
      </c>
      <c r="AI34">
        <v>14.2</v>
      </c>
      <c r="AJ34">
        <v>17.2</v>
      </c>
      <c r="AK34">
        <v>20.2</v>
      </c>
      <c r="AM34">
        <v>36.200000000000003</v>
      </c>
      <c r="AN34">
        <v>41.4</v>
      </c>
      <c r="AO34">
        <v>46.6</v>
      </c>
      <c r="AQ34">
        <v>8.5</v>
      </c>
      <c r="AR34">
        <v>10.9</v>
      </c>
      <c r="AS34">
        <v>13.3</v>
      </c>
      <c r="AU34" s="80"/>
      <c r="AV34" s="80"/>
      <c r="AW34" s="80"/>
      <c r="AY34" s="80"/>
      <c r="AZ34" s="80"/>
      <c r="BA34" s="80"/>
      <c r="BC34" s="80"/>
      <c r="BD34" s="80"/>
      <c r="BE34" s="80"/>
      <c r="BF34" s="208"/>
      <c r="BG34" s="157"/>
      <c r="BH34" s="157"/>
      <c r="BI34" s="157"/>
      <c r="BJ34" s="213"/>
      <c r="BK34" s="157"/>
      <c r="BL34" s="157"/>
      <c r="BM34" s="157"/>
      <c r="BN34" s="213"/>
      <c r="BO34" s="157"/>
      <c r="BP34" s="157"/>
      <c r="BQ34" s="157"/>
      <c r="BR34" s="213"/>
      <c r="BS34" s="167"/>
      <c r="BT34" s="167"/>
      <c r="BU34" s="167"/>
      <c r="BV34" s="210"/>
      <c r="BW34" s="168"/>
      <c r="BX34" s="168"/>
      <c r="BY34" s="168"/>
      <c r="BZ34" s="210"/>
      <c r="CA34" s="169"/>
      <c r="CB34" s="169"/>
      <c r="CC34" s="169"/>
      <c r="CD34" s="210"/>
      <c r="CE34" s="170"/>
      <c r="CF34" s="170"/>
      <c r="CG34" s="170"/>
      <c r="CH34" s="210"/>
    </row>
    <row r="35" spans="1:86">
      <c r="BF35" s="208"/>
      <c r="BG35" s="157"/>
      <c r="BH35" s="157"/>
      <c r="BI35" s="157"/>
      <c r="BJ35" s="213"/>
      <c r="BK35" s="157"/>
      <c r="BL35" s="157"/>
      <c r="BM35" s="157"/>
      <c r="BN35" s="213"/>
      <c r="BO35" s="157"/>
      <c r="BP35" s="157"/>
      <c r="BQ35" s="157"/>
      <c r="BR35" s="213"/>
      <c r="BS35" s="167"/>
      <c r="BT35" s="167"/>
      <c r="BU35" s="167"/>
      <c r="BV35" s="210"/>
      <c r="BW35" s="168"/>
      <c r="BX35" s="168"/>
      <c r="BY35" s="168"/>
      <c r="BZ35" s="210"/>
      <c r="CA35" s="169"/>
      <c r="CB35" s="169"/>
      <c r="CC35" s="169"/>
      <c r="CD35" s="210"/>
      <c r="CE35" s="170"/>
      <c r="CF35" s="170"/>
      <c r="CG35" s="170"/>
      <c r="CH35" s="210"/>
    </row>
    <row r="36" spans="1:86">
      <c r="BF36" s="208"/>
      <c r="BG36" s="157"/>
      <c r="BH36" s="157"/>
      <c r="BI36" s="157"/>
      <c r="BJ36" s="213"/>
      <c r="BK36" s="157"/>
      <c r="BL36" s="157"/>
      <c r="BM36" s="157"/>
      <c r="BN36" s="213"/>
      <c r="BO36" s="157"/>
      <c r="BP36" s="157"/>
      <c r="BQ36" s="157"/>
      <c r="BR36" s="213"/>
      <c r="BS36" s="167"/>
      <c r="BT36" s="167"/>
      <c r="BU36" s="167"/>
      <c r="BV36" s="210"/>
      <c r="BW36" s="168"/>
      <c r="BX36" s="168"/>
      <c r="BY36" s="168"/>
      <c r="BZ36" s="210"/>
      <c r="CA36" s="169"/>
      <c r="CB36" s="169"/>
      <c r="CC36" s="169"/>
      <c r="CD36" s="210"/>
      <c r="CE36" s="170"/>
      <c r="CF36" s="170"/>
      <c r="CG36" s="170"/>
      <c r="CH36" s="210"/>
    </row>
    <row r="37" spans="1:86">
      <c r="BF37" s="208"/>
      <c r="BG37" s="157"/>
      <c r="BH37" s="157"/>
      <c r="BI37" s="157"/>
      <c r="BJ37" s="213"/>
      <c r="BK37" s="157"/>
      <c r="BL37" s="157"/>
      <c r="BM37" s="157"/>
      <c r="BN37" s="213"/>
      <c r="BO37" s="157"/>
      <c r="BP37" s="157"/>
      <c r="BQ37" s="157"/>
      <c r="BR37" s="213"/>
      <c r="BS37" s="167"/>
      <c r="BT37" s="167"/>
      <c r="BU37" s="167"/>
      <c r="BV37" s="210"/>
      <c r="BW37" s="168"/>
      <c r="BX37" s="168"/>
      <c r="BY37" s="168"/>
      <c r="BZ37" s="210"/>
      <c r="CA37" s="169"/>
      <c r="CB37" s="169"/>
      <c r="CC37" s="169"/>
      <c r="CD37" s="210"/>
      <c r="CE37" s="170"/>
      <c r="CF37" s="170"/>
      <c r="CG37" s="170"/>
      <c r="CH37" s="210"/>
    </row>
    <row r="38" spans="1:86">
      <c r="G38" s="82"/>
      <c r="H38" s="86"/>
      <c r="I38" s="82"/>
      <c r="AE38" s="226"/>
      <c r="AF38" s="226"/>
      <c r="AG38" s="226"/>
      <c r="BF38" s="208"/>
      <c r="BG38" s="157"/>
      <c r="BH38" s="157"/>
      <c r="BI38" s="157"/>
      <c r="BJ38" s="213"/>
      <c r="BK38" s="157"/>
      <c r="BL38" s="157"/>
      <c r="BM38" s="157"/>
      <c r="BN38" s="213"/>
      <c r="BO38" s="157"/>
      <c r="BP38" s="157"/>
      <c r="BQ38" s="157"/>
      <c r="BR38" s="213"/>
      <c r="BS38" s="167"/>
      <c r="BT38" s="167"/>
      <c r="BU38" s="167"/>
      <c r="BV38" s="210"/>
      <c r="BW38" s="168"/>
      <c r="BX38" s="168"/>
      <c r="BY38" s="168"/>
      <c r="BZ38" s="210"/>
      <c r="CA38" s="169"/>
      <c r="CB38" s="169"/>
      <c r="CC38" s="169"/>
      <c r="CD38" s="210"/>
      <c r="CE38" s="170"/>
      <c r="CF38" s="170"/>
      <c r="CG38" s="170"/>
      <c r="CH38" s="210"/>
    </row>
    <row r="39" spans="1:86">
      <c r="G39" s="82"/>
      <c r="H39" s="86"/>
      <c r="I39" s="82"/>
      <c r="AE39" s="226"/>
      <c r="AF39" s="226"/>
      <c r="AG39" s="226"/>
      <c r="BF39" s="209"/>
      <c r="BG39" s="82"/>
      <c r="BH39" s="82"/>
      <c r="BI39" s="82"/>
      <c r="BJ39" s="210"/>
      <c r="BK39" s="82"/>
      <c r="BL39" s="82"/>
      <c r="BM39" s="82"/>
      <c r="BN39" s="210"/>
      <c r="BO39" s="82"/>
      <c r="BP39" s="82"/>
      <c r="BQ39" s="82"/>
      <c r="BR39" s="210"/>
      <c r="BS39" s="82"/>
      <c r="BT39" s="82"/>
      <c r="BU39" s="82"/>
      <c r="BV39" s="210"/>
      <c r="BW39" s="82"/>
      <c r="BX39" s="82"/>
      <c r="BY39" s="82"/>
      <c r="BZ39" s="210"/>
      <c r="CA39" s="82"/>
      <c r="CB39" s="82"/>
      <c r="CC39" s="82"/>
      <c r="CD39" s="210"/>
      <c r="CE39" s="82"/>
      <c r="CF39" s="82"/>
      <c r="CG39" s="82"/>
      <c r="CH39" s="210"/>
    </row>
    <row r="40" spans="1:86">
      <c r="G40" s="82"/>
      <c r="H40" s="86"/>
      <c r="I40" s="82"/>
      <c r="AE40" s="226"/>
      <c r="AF40" s="226"/>
      <c r="AG40" s="226"/>
      <c r="BF40" s="209"/>
      <c r="BG40" s="82"/>
      <c r="BH40" s="82"/>
      <c r="BI40" s="82"/>
      <c r="BJ40" s="210"/>
      <c r="BK40" s="82"/>
      <c r="BL40" s="82"/>
      <c r="BM40" s="82"/>
      <c r="BN40" s="210"/>
      <c r="BO40" s="82"/>
      <c r="BP40" s="82"/>
      <c r="BQ40" s="82"/>
      <c r="BR40" s="210"/>
      <c r="BS40" s="82"/>
      <c r="BT40" s="82"/>
      <c r="BU40" s="82"/>
      <c r="BV40" s="210"/>
      <c r="BW40" s="82"/>
      <c r="BX40" s="82"/>
      <c r="BY40" s="82"/>
      <c r="BZ40" s="210"/>
      <c r="CA40" s="82"/>
      <c r="CB40" s="82"/>
      <c r="CC40" s="82"/>
      <c r="CD40" s="210"/>
      <c r="CE40" s="82"/>
      <c r="CF40" s="82"/>
      <c r="CG40" s="82"/>
      <c r="CH40" s="210"/>
    </row>
    <row r="41" spans="1:86">
      <c r="G41" s="82"/>
      <c r="H41" s="86"/>
      <c r="I41" s="82"/>
      <c r="AE41" s="226"/>
      <c r="AF41" s="226"/>
      <c r="AG41" s="226"/>
      <c r="BF41" s="209"/>
      <c r="BG41" s="82"/>
      <c r="BH41" s="82"/>
      <c r="BI41" s="82"/>
      <c r="BJ41" s="210"/>
      <c r="BK41" s="82"/>
      <c r="BL41" s="82"/>
      <c r="BM41" s="82"/>
      <c r="BN41" s="210"/>
      <c r="BO41" s="82"/>
      <c r="BP41" s="82"/>
      <c r="BQ41" s="82"/>
      <c r="BR41" s="210"/>
      <c r="BS41" s="82"/>
      <c r="BT41" s="82"/>
      <c r="BU41" s="82"/>
      <c r="BV41" s="210"/>
      <c r="BW41" s="82"/>
      <c r="BX41" s="82"/>
      <c r="BY41" s="82"/>
      <c r="BZ41" s="210"/>
      <c r="CA41" s="82"/>
      <c r="CB41" s="82"/>
      <c r="CC41" s="82"/>
      <c r="CD41" s="210"/>
      <c r="CE41" s="82"/>
      <c r="CF41" s="82"/>
      <c r="CG41" s="82"/>
      <c r="CH41" s="210"/>
    </row>
    <row r="42" spans="1:86">
      <c r="G42" s="82"/>
      <c r="H42" s="86"/>
      <c r="I42" s="82"/>
      <c r="AE42" s="226"/>
      <c r="AF42" s="226"/>
      <c r="AG42" s="226"/>
      <c r="BF42" s="209"/>
      <c r="BG42" s="82"/>
      <c r="BH42" s="82"/>
      <c r="BI42" s="82"/>
      <c r="BJ42" s="210"/>
      <c r="BK42" s="82"/>
      <c r="BL42" s="82"/>
      <c r="BM42" s="82"/>
      <c r="BN42" s="210"/>
      <c r="BO42" s="82"/>
      <c r="BP42" s="82"/>
      <c r="BQ42" s="82"/>
      <c r="BR42" s="210"/>
      <c r="BS42" s="82"/>
      <c r="BT42" s="82"/>
      <c r="BU42" s="82"/>
      <c r="BV42" s="210"/>
      <c r="BW42" s="82"/>
      <c r="BX42" s="82"/>
      <c r="BY42" s="82"/>
      <c r="BZ42" s="210"/>
      <c r="CA42" s="82"/>
      <c r="CB42" s="82"/>
      <c r="CC42" s="82"/>
      <c r="CD42" s="210"/>
      <c r="CE42" s="82"/>
      <c r="CF42" s="82"/>
      <c r="CG42" s="82"/>
      <c r="CH42" s="210"/>
    </row>
    <row r="43" spans="1:86">
      <c r="AE43" s="226"/>
      <c r="AF43" s="226"/>
      <c r="AG43" s="226"/>
      <c r="BF43" s="209"/>
      <c r="BG43" s="82"/>
      <c r="BH43" s="82"/>
      <c r="BI43" s="82"/>
      <c r="BJ43" s="210"/>
      <c r="BK43" s="82"/>
      <c r="BL43" s="82"/>
      <c r="BM43" s="82"/>
      <c r="BN43" s="210"/>
      <c r="BO43" s="82"/>
      <c r="BP43" s="82"/>
      <c r="BQ43" s="82"/>
      <c r="BR43" s="210"/>
      <c r="BS43" s="82"/>
      <c r="BT43" s="82"/>
      <c r="BU43" s="82"/>
      <c r="BV43" s="210"/>
      <c r="BW43" s="82"/>
      <c r="BX43" s="82"/>
      <c r="BY43" s="82"/>
      <c r="BZ43" s="210"/>
      <c r="CA43" s="82"/>
      <c r="CB43" s="82"/>
      <c r="CC43" s="82"/>
      <c r="CD43" s="210"/>
      <c r="CE43" s="82"/>
      <c r="CF43" s="82"/>
      <c r="CG43" s="82"/>
      <c r="CH43" s="210"/>
    </row>
    <row r="44" spans="1:86">
      <c r="AE44" s="226"/>
      <c r="AF44" s="226"/>
      <c r="AG44" s="226"/>
      <c r="BF44" s="209"/>
      <c r="BG44" s="82"/>
      <c r="BH44" s="82"/>
      <c r="BI44" s="82"/>
      <c r="BJ44" s="210"/>
      <c r="BK44" s="82"/>
      <c r="BL44" s="82"/>
      <c r="BM44" s="82"/>
      <c r="BN44" s="210"/>
      <c r="BO44" s="82"/>
      <c r="BP44" s="82"/>
      <c r="BQ44" s="82"/>
      <c r="BR44" s="210"/>
      <c r="BS44" s="82"/>
      <c r="BT44" s="82"/>
      <c r="BU44" s="82"/>
      <c r="BV44" s="210"/>
      <c r="BW44" s="82"/>
      <c r="BX44" s="82"/>
      <c r="BY44" s="82"/>
      <c r="BZ44" s="210"/>
      <c r="CA44" s="82"/>
      <c r="CB44" s="82"/>
      <c r="CC44" s="82"/>
      <c r="CD44" s="210"/>
      <c r="CE44" s="82"/>
      <c r="CF44" s="82"/>
      <c r="CG44" s="82"/>
      <c r="CH44" s="210"/>
    </row>
    <row r="45" spans="1:86">
      <c r="AE45" s="226"/>
      <c r="AF45" s="226"/>
      <c r="AG45" s="226"/>
      <c r="BF45" s="209"/>
      <c r="BG45" s="82"/>
      <c r="BH45" s="82"/>
      <c r="BI45" s="82"/>
      <c r="BJ45" s="210"/>
      <c r="BK45" s="82"/>
      <c r="BL45" s="82"/>
      <c r="BM45" s="82"/>
      <c r="BN45" s="210"/>
      <c r="BO45" s="82"/>
      <c r="BP45" s="82"/>
      <c r="BQ45" s="82"/>
      <c r="BR45" s="210"/>
      <c r="BS45" s="82"/>
      <c r="BT45" s="82"/>
      <c r="BU45" s="82"/>
      <c r="BV45" s="210"/>
      <c r="BW45" s="82"/>
      <c r="BX45" s="82"/>
      <c r="BY45" s="82"/>
      <c r="BZ45" s="210"/>
      <c r="CA45" s="82"/>
      <c r="CB45" s="82"/>
      <c r="CC45" s="82"/>
      <c r="CD45" s="210"/>
      <c r="CE45" s="82"/>
      <c r="CF45" s="82"/>
      <c r="CG45" s="82"/>
      <c r="CH45" s="210"/>
    </row>
    <row r="46" spans="1:86">
      <c r="AE46" s="226"/>
      <c r="AF46" s="226"/>
      <c r="AG46" s="226"/>
      <c r="BF46" s="209"/>
      <c r="BG46" s="82"/>
      <c r="BH46" s="82"/>
      <c r="BI46" s="82"/>
      <c r="BJ46" s="210"/>
      <c r="BK46" s="82"/>
      <c r="BL46" s="82"/>
      <c r="BM46" s="82"/>
      <c r="BN46" s="210"/>
      <c r="BO46" s="82"/>
      <c r="BP46" s="82"/>
      <c r="BQ46" s="82"/>
      <c r="BR46" s="210"/>
      <c r="BS46" s="82"/>
      <c r="BT46" s="82"/>
      <c r="BU46" s="82"/>
      <c r="BV46" s="210"/>
      <c r="BW46" s="82"/>
      <c r="BX46" s="82"/>
      <c r="BY46" s="82"/>
      <c r="BZ46" s="210"/>
      <c r="CA46" s="82"/>
      <c r="CB46" s="82"/>
      <c r="CC46" s="82"/>
      <c r="CD46" s="210"/>
      <c r="CE46" s="82"/>
      <c r="CF46" s="82"/>
      <c r="CG46" s="82"/>
      <c r="CH46" s="210"/>
    </row>
    <row r="47" spans="1:86">
      <c r="AE47" s="226"/>
      <c r="AF47" s="226"/>
      <c r="AG47" s="226"/>
      <c r="BF47" s="209"/>
      <c r="BG47" s="82"/>
      <c r="BH47" s="82"/>
      <c r="BI47" s="82"/>
      <c r="BJ47" s="210"/>
      <c r="BK47" s="82"/>
      <c r="BL47" s="82"/>
      <c r="BM47" s="82"/>
      <c r="BN47" s="210"/>
      <c r="BO47" s="82"/>
      <c r="BP47" s="82"/>
      <c r="BQ47" s="82"/>
      <c r="BR47" s="210"/>
      <c r="BS47" s="82"/>
      <c r="BT47" s="82"/>
      <c r="BU47" s="82"/>
      <c r="BV47" s="210"/>
      <c r="BW47" s="82"/>
      <c r="BX47" s="82"/>
      <c r="BY47" s="82"/>
      <c r="BZ47" s="210"/>
      <c r="CA47" s="82"/>
      <c r="CB47" s="82"/>
      <c r="CC47" s="82"/>
      <c r="CD47" s="210"/>
      <c r="CE47" s="82"/>
      <c r="CF47" s="82"/>
      <c r="CG47" s="82"/>
      <c r="CH47" s="210"/>
    </row>
    <row r="48" spans="1:86">
      <c r="AE48" s="226"/>
      <c r="AF48" s="226"/>
      <c r="AG48" s="226"/>
      <c r="BF48" s="209"/>
      <c r="BG48" s="82"/>
      <c r="BH48" s="82"/>
      <c r="BI48" s="82"/>
      <c r="BJ48" s="210"/>
      <c r="BK48" s="82"/>
      <c r="BL48" s="82"/>
      <c r="BM48" s="82"/>
      <c r="BN48" s="210"/>
      <c r="BO48" s="82"/>
      <c r="BP48" s="82"/>
      <c r="BQ48" s="82"/>
      <c r="BR48" s="210"/>
      <c r="BS48" s="82"/>
      <c r="BT48" s="82"/>
      <c r="BU48" s="82"/>
      <c r="BV48" s="210"/>
      <c r="BW48" s="82"/>
      <c r="BX48" s="82"/>
      <c r="BY48" s="82"/>
      <c r="BZ48" s="210"/>
      <c r="CA48" s="82"/>
      <c r="CB48" s="82"/>
      <c r="CC48" s="82"/>
      <c r="CD48" s="210"/>
      <c r="CE48" s="82"/>
      <c r="CF48" s="82"/>
      <c r="CG48" s="82"/>
      <c r="CH48" s="210"/>
    </row>
    <row r="49" spans="31:86">
      <c r="AE49" s="226"/>
      <c r="AF49" s="226"/>
      <c r="AG49" s="226"/>
      <c r="BF49" s="209"/>
      <c r="BG49" s="82"/>
      <c r="BH49" s="82"/>
      <c r="BI49" s="82"/>
      <c r="BJ49" s="210"/>
      <c r="BK49" s="82"/>
      <c r="BL49" s="82"/>
      <c r="BM49" s="82"/>
      <c r="BN49" s="210"/>
      <c r="BO49" s="82"/>
      <c r="BP49" s="82"/>
      <c r="BQ49" s="82"/>
      <c r="BR49" s="210"/>
      <c r="BS49" s="82"/>
      <c r="BT49" s="82"/>
      <c r="BU49" s="82"/>
      <c r="BV49" s="210"/>
      <c r="BW49" s="82"/>
      <c r="BX49" s="82"/>
      <c r="BY49" s="82"/>
      <c r="BZ49" s="210"/>
      <c r="CA49" s="82"/>
      <c r="CB49" s="82"/>
      <c r="CC49" s="82"/>
      <c r="CD49" s="210"/>
      <c r="CE49" s="82"/>
      <c r="CF49" s="82"/>
      <c r="CG49" s="82"/>
      <c r="CH49" s="210"/>
    </row>
    <row r="50" spans="31:86">
      <c r="AE50" s="226"/>
      <c r="AF50" s="226"/>
      <c r="AG50" s="226"/>
      <c r="BF50" s="209"/>
      <c r="BG50" s="82"/>
      <c r="BH50" s="82"/>
      <c r="BI50" s="82"/>
      <c r="BJ50" s="210"/>
      <c r="BK50" s="82"/>
      <c r="BL50" s="82"/>
      <c r="BM50" s="82"/>
      <c r="BN50" s="210"/>
      <c r="BO50" s="82"/>
      <c r="BP50" s="82"/>
      <c r="BQ50" s="82"/>
      <c r="BR50" s="210"/>
      <c r="BS50" s="82"/>
      <c r="BT50" s="82"/>
      <c r="BU50" s="82"/>
      <c r="BV50" s="210"/>
      <c r="BW50" s="82"/>
      <c r="BX50" s="82"/>
      <c r="BY50" s="82"/>
      <c r="BZ50" s="210"/>
      <c r="CA50" s="82"/>
      <c r="CB50" s="82"/>
      <c r="CC50" s="82"/>
      <c r="CD50" s="210"/>
      <c r="CE50" s="82"/>
      <c r="CF50" s="82"/>
      <c r="CG50" s="82"/>
      <c r="CH50" s="210"/>
    </row>
    <row r="51" spans="31:86">
      <c r="AE51" s="226"/>
      <c r="AF51" s="226"/>
      <c r="AG51" s="226"/>
      <c r="BF51" s="209"/>
      <c r="BG51" s="82"/>
      <c r="BH51" s="82"/>
      <c r="BI51" s="82"/>
      <c r="BJ51" s="210"/>
      <c r="BK51" s="82"/>
      <c r="BL51" s="82"/>
      <c r="BM51" s="82"/>
      <c r="BN51" s="210"/>
      <c r="BO51" s="82"/>
      <c r="BP51" s="82"/>
      <c r="BQ51" s="82"/>
      <c r="BR51" s="210"/>
      <c r="BS51" s="82"/>
      <c r="BT51" s="82"/>
      <c r="BU51" s="82"/>
      <c r="BV51" s="210"/>
      <c r="BW51" s="82"/>
      <c r="BX51" s="82"/>
      <c r="BY51" s="82"/>
      <c r="BZ51" s="210"/>
      <c r="CA51" s="82"/>
      <c r="CB51" s="82"/>
      <c r="CC51" s="82"/>
      <c r="CD51" s="210"/>
      <c r="CE51" s="82"/>
      <c r="CF51" s="82"/>
      <c r="CG51" s="82"/>
      <c r="CH51" s="210"/>
    </row>
    <row r="52" spans="31:86">
      <c r="AE52" s="226"/>
      <c r="AF52" s="226"/>
      <c r="AG52" s="226"/>
      <c r="BF52" s="209"/>
      <c r="BG52" s="82"/>
      <c r="BH52" s="82"/>
      <c r="BI52" s="82"/>
      <c r="BJ52" s="210"/>
      <c r="BK52" s="82"/>
      <c r="BL52" s="82"/>
      <c r="BM52" s="82"/>
      <c r="BN52" s="210"/>
      <c r="BO52" s="82"/>
      <c r="BP52" s="82"/>
      <c r="BQ52" s="82"/>
      <c r="BR52" s="210"/>
      <c r="BS52" s="82"/>
      <c r="BT52" s="82"/>
      <c r="BU52" s="82"/>
      <c r="BV52" s="210"/>
      <c r="BW52" s="82"/>
      <c r="BX52" s="82"/>
      <c r="BY52" s="82"/>
      <c r="BZ52" s="210"/>
      <c r="CA52" s="82"/>
      <c r="CB52" s="82"/>
      <c r="CC52" s="82"/>
      <c r="CD52" s="210"/>
      <c r="CE52" s="82"/>
      <c r="CF52" s="82"/>
      <c r="CG52" s="82"/>
      <c r="CH52" s="210"/>
    </row>
    <row r="53" spans="31:86">
      <c r="BF53" s="209"/>
      <c r="BG53" s="82"/>
      <c r="BH53" s="82"/>
      <c r="BI53" s="82"/>
      <c r="BJ53" s="210"/>
      <c r="BK53" s="82"/>
      <c r="BL53" s="82"/>
      <c r="BM53" s="82"/>
      <c r="BN53" s="210"/>
      <c r="BO53" s="82"/>
      <c r="BP53" s="82"/>
      <c r="BQ53" s="82"/>
      <c r="BR53" s="210"/>
      <c r="BS53" s="82"/>
      <c r="BT53" s="82"/>
      <c r="BU53" s="82"/>
      <c r="BV53" s="210"/>
      <c r="BW53" s="82"/>
      <c r="BX53" s="82"/>
      <c r="BY53" s="82"/>
      <c r="BZ53" s="210"/>
      <c r="CA53" s="82"/>
      <c r="CB53" s="82"/>
      <c r="CC53" s="82"/>
      <c r="CD53" s="210"/>
      <c r="CE53" s="82"/>
      <c r="CF53" s="82"/>
      <c r="CG53" s="82"/>
      <c r="CH53" s="210"/>
    </row>
    <row r="54" spans="31:86">
      <c r="BF54" s="209"/>
      <c r="BG54" s="82"/>
      <c r="BH54" s="82"/>
      <c r="BI54" s="82"/>
      <c r="BJ54" s="210"/>
      <c r="BK54" s="82"/>
      <c r="BL54" s="82"/>
      <c r="BM54" s="82"/>
      <c r="BN54" s="210"/>
      <c r="BO54" s="82"/>
      <c r="BP54" s="82"/>
      <c r="BQ54" s="82"/>
      <c r="BR54" s="210"/>
      <c r="BS54" s="82"/>
      <c r="BT54" s="82"/>
      <c r="BU54" s="82"/>
      <c r="BV54" s="210"/>
      <c r="BW54" s="82"/>
      <c r="BX54" s="82"/>
      <c r="BY54" s="82"/>
      <c r="BZ54" s="210"/>
      <c r="CA54" s="82"/>
      <c r="CB54" s="82"/>
      <c r="CC54" s="82"/>
      <c r="CD54" s="210"/>
      <c r="CE54" s="82"/>
      <c r="CF54" s="82"/>
      <c r="CG54" s="82"/>
      <c r="CH54" s="210"/>
    </row>
    <row r="55" spans="31:86">
      <c r="BF55" s="209"/>
      <c r="BG55" s="82"/>
      <c r="BH55" s="82"/>
      <c r="BI55" s="82"/>
      <c r="BJ55" s="210"/>
      <c r="BK55" s="82"/>
      <c r="BL55" s="82"/>
      <c r="BM55" s="82"/>
      <c r="BN55" s="210"/>
      <c r="BO55" s="82"/>
      <c r="BP55" s="82"/>
      <c r="BQ55" s="82"/>
      <c r="BR55" s="210"/>
      <c r="BS55" s="82"/>
      <c r="BT55" s="82"/>
      <c r="BU55" s="82"/>
      <c r="BV55" s="210"/>
      <c r="BW55" s="82"/>
      <c r="BX55" s="82"/>
      <c r="BY55" s="82"/>
      <c r="BZ55" s="210"/>
      <c r="CA55" s="82"/>
      <c r="CB55" s="82"/>
      <c r="CC55" s="82"/>
      <c r="CD55" s="210"/>
      <c r="CE55" s="82"/>
      <c r="CF55" s="82"/>
      <c r="CG55" s="82"/>
      <c r="CH55" s="210"/>
    </row>
    <row r="56" spans="31:86">
      <c r="BF56" s="209"/>
      <c r="BG56" s="82"/>
      <c r="BH56" s="82"/>
      <c r="BI56" s="82"/>
      <c r="BJ56" s="210"/>
      <c r="BK56" s="82"/>
      <c r="BL56" s="82"/>
      <c r="BM56" s="82"/>
      <c r="BN56" s="210"/>
      <c r="BO56" s="82"/>
      <c r="BP56" s="82"/>
      <c r="BQ56" s="82"/>
      <c r="BR56" s="210"/>
      <c r="BS56" s="82"/>
      <c r="BT56" s="82"/>
      <c r="BU56" s="82"/>
      <c r="BV56" s="210"/>
      <c r="BW56" s="82"/>
      <c r="BX56" s="82"/>
      <c r="BY56" s="82"/>
      <c r="BZ56" s="210"/>
      <c r="CA56" s="82"/>
      <c r="CB56" s="82"/>
      <c r="CC56" s="82"/>
      <c r="CD56" s="210"/>
      <c r="CE56" s="82"/>
      <c r="CF56" s="82"/>
      <c r="CG56" s="82"/>
      <c r="CH56" s="210"/>
    </row>
    <row r="57" spans="31:86">
      <c r="BF57" s="209"/>
      <c r="BG57" s="82"/>
      <c r="BH57" s="82"/>
      <c r="BI57" s="82"/>
      <c r="BJ57" s="210"/>
      <c r="BK57" s="82"/>
      <c r="BL57" s="82"/>
      <c r="BM57" s="82"/>
      <c r="BN57" s="210"/>
      <c r="BO57" s="82"/>
      <c r="BP57" s="82"/>
      <c r="BQ57" s="82"/>
      <c r="BR57" s="210"/>
      <c r="BS57" s="82"/>
      <c r="BT57" s="82"/>
      <c r="BU57" s="82"/>
      <c r="BV57" s="210"/>
      <c r="BW57" s="82"/>
      <c r="BX57" s="82"/>
      <c r="BY57" s="82"/>
      <c r="BZ57" s="210"/>
      <c r="CA57" s="82"/>
      <c r="CB57" s="82"/>
      <c r="CC57" s="82"/>
      <c r="CD57" s="210"/>
      <c r="CE57" s="82"/>
      <c r="CF57" s="82"/>
      <c r="CG57" s="82"/>
      <c r="CH57" s="210"/>
    </row>
    <row r="58" spans="31:86">
      <c r="BF58" s="209"/>
      <c r="BG58" s="82"/>
      <c r="BH58" s="82"/>
      <c r="BI58" s="82"/>
      <c r="BJ58" s="210"/>
      <c r="BK58" s="82"/>
      <c r="BL58" s="82"/>
      <c r="BM58" s="82"/>
      <c r="BN58" s="210"/>
      <c r="BO58" s="82"/>
      <c r="BP58" s="82"/>
      <c r="BQ58" s="82"/>
      <c r="BR58" s="210"/>
      <c r="BS58" s="82"/>
      <c r="BT58" s="82"/>
      <c r="BU58" s="82"/>
      <c r="BV58" s="210"/>
      <c r="BW58" s="82"/>
      <c r="BX58" s="82"/>
      <c r="BY58" s="82"/>
      <c r="BZ58" s="210"/>
      <c r="CA58" s="82"/>
      <c r="CB58" s="82"/>
      <c r="CC58" s="82"/>
      <c r="CD58" s="210"/>
      <c r="CE58" s="82"/>
      <c r="CF58" s="82"/>
      <c r="CG58" s="82"/>
      <c r="CH58" s="210"/>
    </row>
    <row r="59" spans="31:86">
      <c r="BF59" s="209"/>
      <c r="BG59" s="82"/>
      <c r="BH59" s="82"/>
      <c r="BI59" s="82"/>
      <c r="BJ59" s="210"/>
      <c r="BK59" s="82"/>
      <c r="BL59" s="82"/>
      <c r="BM59" s="82"/>
      <c r="BN59" s="210"/>
      <c r="BO59" s="82"/>
      <c r="BP59" s="82"/>
      <c r="BQ59" s="82"/>
      <c r="BR59" s="210"/>
      <c r="BS59" s="82"/>
      <c r="BT59" s="82"/>
      <c r="BU59" s="82"/>
      <c r="BV59" s="210"/>
      <c r="BW59" s="82"/>
      <c r="BX59" s="82"/>
      <c r="BY59" s="82"/>
      <c r="BZ59" s="210"/>
      <c r="CA59" s="82"/>
      <c r="CB59" s="82"/>
      <c r="CC59" s="82"/>
      <c r="CD59" s="210"/>
      <c r="CE59" s="82"/>
      <c r="CF59" s="82"/>
      <c r="CG59" s="82"/>
      <c r="CH59" s="210"/>
    </row>
    <row r="60" spans="31:86">
      <c r="BF60" s="209"/>
      <c r="BG60" s="82"/>
      <c r="BH60" s="82"/>
      <c r="BI60" s="82"/>
      <c r="BJ60" s="210"/>
      <c r="BK60" s="82"/>
      <c r="BL60" s="82"/>
      <c r="BM60" s="82"/>
      <c r="BN60" s="210"/>
      <c r="BO60" s="82"/>
      <c r="BP60" s="82"/>
      <c r="BQ60" s="82"/>
      <c r="BR60" s="210"/>
      <c r="BS60" s="82"/>
      <c r="BT60" s="82"/>
      <c r="BU60" s="82"/>
      <c r="BV60" s="210"/>
      <c r="BW60" s="82"/>
      <c r="BX60" s="82"/>
      <c r="BY60" s="82"/>
      <c r="BZ60" s="210"/>
      <c r="CA60" s="82"/>
      <c r="CB60" s="82"/>
      <c r="CC60" s="82"/>
      <c r="CD60" s="210"/>
      <c r="CE60" s="82"/>
      <c r="CF60" s="82"/>
      <c r="CG60" s="82"/>
      <c r="CH60" s="210"/>
    </row>
    <row r="61" spans="31:86">
      <c r="BF61" s="209"/>
      <c r="BG61" s="82"/>
      <c r="BH61" s="82"/>
      <c r="BI61" s="82"/>
      <c r="BJ61" s="210"/>
      <c r="BK61" s="82"/>
      <c r="BL61" s="82"/>
      <c r="BM61" s="82"/>
      <c r="BN61" s="210"/>
      <c r="BO61" s="82"/>
      <c r="BP61" s="82"/>
      <c r="BQ61" s="82"/>
      <c r="BR61" s="210"/>
      <c r="BS61" s="82"/>
      <c r="BT61" s="82"/>
      <c r="BU61" s="82"/>
      <c r="BV61" s="210"/>
      <c r="BW61" s="82"/>
      <c r="BX61" s="82"/>
      <c r="BY61" s="82"/>
      <c r="BZ61" s="210"/>
      <c r="CA61" s="82"/>
      <c r="CB61" s="82"/>
      <c r="CC61" s="82"/>
      <c r="CD61" s="210"/>
      <c r="CE61" s="82"/>
      <c r="CF61" s="82"/>
      <c r="CG61" s="82"/>
      <c r="CH61" s="210"/>
    </row>
    <row r="62" spans="31:86">
      <c r="BF62" s="209"/>
      <c r="BG62" s="82"/>
      <c r="BH62" s="82"/>
      <c r="BI62" s="82"/>
      <c r="BJ62" s="210"/>
      <c r="BK62" s="82"/>
      <c r="BL62" s="82"/>
      <c r="BM62" s="82"/>
      <c r="BN62" s="210"/>
      <c r="BO62" s="82"/>
      <c r="BP62" s="82"/>
      <c r="BQ62" s="82"/>
      <c r="BR62" s="210"/>
      <c r="BS62" s="82"/>
      <c r="BT62" s="82"/>
      <c r="BU62" s="82"/>
      <c r="BV62" s="210"/>
      <c r="BW62" s="82"/>
      <c r="BX62" s="82"/>
      <c r="BY62" s="82"/>
      <c r="BZ62" s="210"/>
      <c r="CA62" s="82"/>
      <c r="CB62" s="82"/>
      <c r="CC62" s="82"/>
      <c r="CD62" s="210"/>
      <c r="CE62" s="82"/>
      <c r="CF62" s="82"/>
      <c r="CG62" s="82"/>
      <c r="CH62" s="210"/>
    </row>
    <row r="63" spans="31:86">
      <c r="BF63" s="209"/>
      <c r="BG63" s="82"/>
      <c r="BH63" s="82"/>
      <c r="BI63" s="82"/>
      <c r="BJ63" s="210"/>
      <c r="BK63" s="82"/>
      <c r="BL63" s="82"/>
      <c r="BM63" s="82"/>
      <c r="BN63" s="210"/>
      <c r="BO63" s="82"/>
      <c r="BP63" s="82"/>
      <c r="BQ63" s="82"/>
      <c r="BR63" s="210"/>
      <c r="BS63" s="82"/>
      <c r="BT63" s="82"/>
      <c r="BU63" s="82"/>
      <c r="BV63" s="210"/>
      <c r="BW63" s="82"/>
      <c r="BX63" s="82"/>
      <c r="BY63" s="82"/>
      <c r="BZ63" s="210"/>
      <c r="CA63" s="82"/>
      <c r="CB63" s="82"/>
      <c r="CC63" s="82"/>
      <c r="CD63" s="210"/>
      <c r="CE63" s="82"/>
      <c r="CF63" s="82"/>
      <c r="CG63" s="82"/>
      <c r="CH63" s="210"/>
    </row>
    <row r="64" spans="31:86">
      <c r="BF64" s="209"/>
      <c r="BG64" s="82"/>
      <c r="BH64" s="82"/>
      <c r="BI64" s="82"/>
      <c r="BJ64" s="210"/>
      <c r="BK64" s="82"/>
      <c r="BL64" s="82"/>
      <c r="BM64" s="82"/>
      <c r="BN64" s="210"/>
      <c r="BO64" s="82"/>
      <c r="BP64" s="82"/>
      <c r="BQ64" s="82"/>
      <c r="BR64" s="210"/>
      <c r="BS64" s="82"/>
      <c r="BT64" s="82"/>
      <c r="BU64" s="82"/>
      <c r="BV64" s="210"/>
      <c r="BW64" s="82"/>
      <c r="BX64" s="82"/>
      <c r="BY64" s="82"/>
      <c r="BZ64" s="210"/>
      <c r="CA64" s="82"/>
      <c r="CB64" s="82"/>
      <c r="CC64" s="82"/>
      <c r="CD64" s="210"/>
      <c r="CE64" s="82"/>
      <c r="CF64" s="82"/>
      <c r="CG64" s="82"/>
      <c r="CH64" s="210"/>
    </row>
    <row r="65" spans="58:86">
      <c r="BF65" s="209"/>
      <c r="BG65" s="82"/>
      <c r="BH65" s="82"/>
      <c r="BI65" s="82"/>
      <c r="BJ65" s="210"/>
      <c r="BK65" s="82"/>
      <c r="BL65" s="82"/>
      <c r="BM65" s="82"/>
      <c r="BN65" s="210"/>
      <c r="BO65" s="82"/>
      <c r="BP65" s="82"/>
      <c r="BQ65" s="82"/>
      <c r="BR65" s="210"/>
      <c r="BS65" s="82"/>
      <c r="BT65" s="82"/>
      <c r="BU65" s="82"/>
      <c r="BV65" s="210"/>
      <c r="BW65" s="82"/>
      <c r="BX65" s="82"/>
      <c r="BY65" s="82"/>
      <c r="BZ65" s="210"/>
      <c r="CA65" s="82"/>
      <c r="CB65" s="82"/>
      <c r="CC65" s="82"/>
      <c r="CD65" s="210"/>
      <c r="CE65" s="82"/>
      <c r="CF65" s="82"/>
      <c r="CG65" s="82"/>
      <c r="CH65" s="210"/>
    </row>
    <row r="66" spans="58:86">
      <c r="BF66" s="209"/>
      <c r="BG66" s="82"/>
      <c r="BH66" s="82"/>
      <c r="BI66" s="82"/>
      <c r="BJ66" s="210"/>
      <c r="BK66" s="82"/>
      <c r="BL66" s="82"/>
      <c r="BM66" s="82"/>
      <c r="BN66" s="210"/>
      <c r="BO66" s="82"/>
      <c r="BP66" s="82"/>
      <c r="BQ66" s="82"/>
      <c r="BR66" s="210"/>
      <c r="BS66" s="82"/>
      <c r="BT66" s="82"/>
      <c r="BU66" s="82"/>
      <c r="BV66" s="210"/>
      <c r="BW66" s="82"/>
      <c r="BX66" s="82"/>
      <c r="BY66" s="82"/>
      <c r="BZ66" s="210"/>
      <c r="CA66" s="82"/>
      <c r="CB66" s="82"/>
      <c r="CC66" s="82"/>
      <c r="CD66" s="210"/>
      <c r="CE66" s="82"/>
      <c r="CF66" s="82"/>
      <c r="CG66" s="82"/>
      <c r="CH66" s="210"/>
    </row>
    <row r="67" spans="58:86">
      <c r="BF67" s="209"/>
      <c r="BG67" s="82"/>
      <c r="BH67" s="82"/>
      <c r="BI67" s="82"/>
      <c r="BJ67" s="210"/>
      <c r="BK67" s="82"/>
      <c r="BL67" s="82"/>
      <c r="BM67" s="82"/>
      <c r="BN67" s="210"/>
      <c r="BO67" s="82"/>
      <c r="BP67" s="82"/>
      <c r="BQ67" s="82"/>
      <c r="BR67" s="210"/>
      <c r="BS67" s="82"/>
      <c r="BT67" s="82"/>
      <c r="BU67" s="82"/>
      <c r="BV67" s="210"/>
      <c r="BW67" s="82"/>
      <c r="BX67" s="82"/>
      <c r="BY67" s="82"/>
      <c r="BZ67" s="210"/>
      <c r="CA67" s="82"/>
      <c r="CB67" s="82"/>
      <c r="CC67" s="82"/>
      <c r="CD67" s="210"/>
      <c r="CE67" s="82"/>
      <c r="CF67" s="82"/>
      <c r="CG67" s="82"/>
      <c r="CH67" s="210"/>
    </row>
    <row r="68" spans="58:86">
      <c r="BF68" s="209"/>
      <c r="BG68" s="82"/>
      <c r="BH68" s="82"/>
      <c r="BI68" s="82"/>
      <c r="BJ68" s="210"/>
      <c r="BK68" s="82"/>
      <c r="BL68" s="82"/>
      <c r="BM68" s="82"/>
      <c r="BN68" s="210"/>
      <c r="BO68" s="82"/>
      <c r="BP68" s="82"/>
      <c r="BQ68" s="82"/>
      <c r="BR68" s="210"/>
      <c r="BS68" s="82"/>
      <c r="BT68" s="82"/>
      <c r="BU68" s="82"/>
      <c r="BV68" s="210"/>
      <c r="BW68" s="82"/>
      <c r="BX68" s="82"/>
      <c r="BY68" s="82"/>
      <c r="BZ68" s="210"/>
      <c r="CA68" s="82"/>
      <c r="CB68" s="82"/>
      <c r="CC68" s="82"/>
      <c r="CD68" s="210"/>
      <c r="CE68" s="82"/>
      <c r="CF68" s="82"/>
      <c r="CG68" s="82"/>
      <c r="CH68" s="210"/>
    </row>
    <row r="69" spans="58:86">
      <c r="BF69" s="209"/>
      <c r="BG69" s="82"/>
      <c r="BH69" s="82"/>
      <c r="BI69" s="82"/>
      <c r="BJ69" s="210"/>
      <c r="BK69" s="82"/>
      <c r="BL69" s="82"/>
      <c r="BM69" s="82"/>
      <c r="BN69" s="210"/>
      <c r="BO69" s="82"/>
      <c r="BP69" s="82"/>
      <c r="BQ69" s="82"/>
      <c r="BR69" s="210"/>
      <c r="BS69" s="82"/>
      <c r="BT69" s="82"/>
      <c r="BU69" s="82"/>
      <c r="BV69" s="210"/>
      <c r="BW69" s="82"/>
      <c r="BX69" s="82"/>
      <c r="BY69" s="82"/>
      <c r="BZ69" s="210"/>
      <c r="CA69" s="82"/>
      <c r="CB69" s="82"/>
      <c r="CC69" s="82"/>
      <c r="CD69" s="210"/>
      <c r="CE69" s="82"/>
      <c r="CF69" s="82"/>
      <c r="CG69" s="82"/>
      <c r="CH69" s="210"/>
    </row>
    <row r="70" spans="58:86">
      <c r="BF70" s="209"/>
      <c r="BG70" s="82"/>
      <c r="BH70" s="82"/>
      <c r="BI70" s="82"/>
      <c r="BJ70" s="210"/>
      <c r="BK70" s="82"/>
      <c r="BL70" s="82"/>
      <c r="BM70" s="82"/>
      <c r="BN70" s="210"/>
      <c r="BO70" s="82"/>
      <c r="BP70" s="82"/>
      <c r="BQ70" s="82"/>
      <c r="BR70" s="210"/>
      <c r="BS70" s="82"/>
      <c r="BT70" s="82"/>
      <c r="BU70" s="82"/>
      <c r="BV70" s="210"/>
      <c r="BW70" s="82"/>
      <c r="BX70" s="82"/>
      <c r="BY70" s="82"/>
      <c r="BZ70" s="210"/>
      <c r="CA70" s="82"/>
      <c r="CB70" s="82"/>
      <c r="CC70" s="82"/>
      <c r="CD70" s="210"/>
      <c r="CE70" s="82"/>
      <c r="CF70" s="82"/>
      <c r="CG70" s="82"/>
      <c r="CH70" s="210"/>
    </row>
    <row r="71" spans="58:86">
      <c r="BF71" s="209"/>
      <c r="BG71" s="82"/>
      <c r="BH71" s="82"/>
      <c r="BI71" s="82"/>
      <c r="BJ71" s="210"/>
      <c r="BK71" s="82"/>
      <c r="BL71" s="82"/>
      <c r="BM71" s="82"/>
      <c r="BN71" s="210"/>
      <c r="BO71" s="82"/>
      <c r="BP71" s="82"/>
      <c r="BQ71" s="82"/>
      <c r="BR71" s="210"/>
      <c r="BS71" s="82"/>
      <c r="BT71" s="82"/>
      <c r="BU71" s="82"/>
      <c r="BV71" s="210"/>
      <c r="BW71" s="82"/>
      <c r="BX71" s="82"/>
      <c r="BY71" s="82"/>
      <c r="BZ71" s="210"/>
      <c r="CA71" s="82"/>
      <c r="CB71" s="82"/>
      <c r="CC71" s="82"/>
      <c r="CD71" s="210"/>
      <c r="CE71" s="82"/>
      <c r="CF71" s="82"/>
      <c r="CG71" s="82"/>
      <c r="CH71" s="210"/>
    </row>
    <row r="72" spans="58:86">
      <c r="BF72" s="209"/>
      <c r="BG72" s="82"/>
      <c r="BH72" s="82"/>
      <c r="BI72" s="82"/>
      <c r="BJ72" s="210"/>
      <c r="BK72" s="82"/>
      <c r="BL72" s="82"/>
      <c r="BM72" s="82"/>
      <c r="BN72" s="210"/>
      <c r="BO72" s="82"/>
      <c r="BP72" s="82"/>
      <c r="BQ72" s="82"/>
      <c r="BR72" s="210"/>
      <c r="BS72" s="82"/>
      <c r="BT72" s="82"/>
      <c r="BU72" s="82"/>
      <c r="BV72" s="210"/>
      <c r="BW72" s="82"/>
      <c r="BX72" s="82"/>
      <c r="BY72" s="82"/>
      <c r="BZ72" s="210"/>
      <c r="CA72" s="82"/>
      <c r="CB72" s="82"/>
      <c r="CC72" s="82"/>
      <c r="CD72" s="210"/>
      <c r="CE72" s="82"/>
      <c r="CF72" s="82"/>
      <c r="CG72" s="82"/>
      <c r="CH72" s="210"/>
    </row>
    <row r="73" spans="58:86">
      <c r="BF73" s="209"/>
      <c r="BG73" s="82"/>
      <c r="BH73" s="82"/>
      <c r="BI73" s="82"/>
      <c r="BJ73" s="210"/>
      <c r="BK73" s="82"/>
      <c r="BL73" s="82"/>
      <c r="BM73" s="82"/>
      <c r="BN73" s="210"/>
      <c r="BO73" s="82"/>
      <c r="BP73" s="82"/>
      <c r="BQ73" s="82"/>
      <c r="BR73" s="210"/>
      <c r="BS73" s="82"/>
      <c r="BT73" s="82"/>
      <c r="BU73" s="82"/>
      <c r="BV73" s="210"/>
      <c r="BW73" s="82"/>
      <c r="BX73" s="82"/>
      <c r="BY73" s="82"/>
      <c r="BZ73" s="210"/>
      <c r="CA73" s="82"/>
      <c r="CB73" s="82"/>
      <c r="CC73" s="82"/>
      <c r="CD73" s="210"/>
      <c r="CE73" s="82"/>
      <c r="CF73" s="82"/>
      <c r="CG73" s="82"/>
      <c r="CH73" s="210"/>
    </row>
    <row r="74" spans="58:86">
      <c r="BF74" s="209"/>
      <c r="BG74" s="82"/>
      <c r="BH74" s="82"/>
      <c r="BI74" s="82"/>
      <c r="BJ74" s="210"/>
      <c r="BK74" s="82"/>
      <c r="BL74" s="82"/>
      <c r="BM74" s="82"/>
      <c r="BN74" s="210"/>
      <c r="BO74" s="82"/>
      <c r="BP74" s="82"/>
      <c r="BQ74" s="82"/>
      <c r="BR74" s="210"/>
      <c r="BS74" s="82"/>
      <c r="BT74" s="82"/>
      <c r="BU74" s="82"/>
      <c r="BV74" s="210"/>
      <c r="BW74" s="82"/>
      <c r="BX74" s="82"/>
      <c r="BY74" s="82"/>
      <c r="BZ74" s="210"/>
      <c r="CA74" s="82"/>
      <c r="CB74" s="82"/>
      <c r="CC74" s="82"/>
      <c r="CD74" s="210"/>
      <c r="CE74" s="82"/>
      <c r="CF74" s="82"/>
      <c r="CG74" s="82"/>
      <c r="CH74" s="210"/>
    </row>
    <row r="75" spans="58:86">
      <c r="BF75" s="209"/>
      <c r="BG75" s="82"/>
      <c r="BH75" s="82"/>
      <c r="BI75" s="82"/>
      <c r="BJ75" s="210"/>
      <c r="BK75" s="82"/>
      <c r="BL75" s="82"/>
      <c r="BM75" s="82"/>
      <c r="BN75" s="210"/>
      <c r="BO75" s="82"/>
      <c r="BP75" s="82"/>
      <c r="BQ75" s="82"/>
      <c r="BR75" s="210"/>
      <c r="BS75" s="82"/>
      <c r="BT75" s="82"/>
      <c r="BU75" s="82"/>
      <c r="BV75" s="210"/>
      <c r="BW75" s="82"/>
      <c r="BX75" s="82"/>
      <c r="BY75" s="82"/>
      <c r="BZ75" s="210"/>
      <c r="CA75" s="82"/>
      <c r="CB75" s="82"/>
      <c r="CC75" s="82"/>
      <c r="CD75" s="210"/>
      <c r="CE75" s="82"/>
      <c r="CF75" s="82"/>
      <c r="CG75" s="82"/>
      <c r="CH75" s="210"/>
    </row>
    <row r="76" spans="58:86">
      <c r="BF76" s="209"/>
      <c r="BG76" s="82"/>
      <c r="BH76" s="82"/>
      <c r="BI76" s="82"/>
      <c r="BJ76" s="210"/>
      <c r="BK76" s="82"/>
      <c r="BL76" s="82"/>
      <c r="BM76" s="82"/>
      <c r="BN76" s="210"/>
      <c r="BO76" s="82"/>
      <c r="BP76" s="82"/>
      <c r="BQ76" s="82"/>
      <c r="BR76" s="210"/>
      <c r="BS76" s="82"/>
      <c r="BT76" s="82"/>
      <c r="BU76" s="82"/>
      <c r="BV76" s="210"/>
      <c r="BW76" s="82"/>
      <c r="BX76" s="82"/>
      <c r="BY76" s="82"/>
      <c r="BZ76" s="210"/>
      <c r="CA76" s="82"/>
      <c r="CB76" s="82"/>
      <c r="CC76" s="82"/>
      <c r="CD76" s="210"/>
      <c r="CE76" s="82"/>
      <c r="CF76" s="82"/>
      <c r="CG76" s="82"/>
      <c r="CH76" s="210"/>
    </row>
    <row r="77" spans="58:86">
      <c r="BF77" s="209"/>
      <c r="BG77" s="82"/>
      <c r="BH77" s="82"/>
      <c r="BI77" s="82"/>
      <c r="BJ77" s="210"/>
      <c r="BK77" s="82"/>
      <c r="BL77" s="82"/>
      <c r="BM77" s="82"/>
      <c r="BN77" s="210"/>
      <c r="BO77" s="82"/>
      <c r="BP77" s="82"/>
      <c r="BQ77" s="82"/>
      <c r="BR77" s="210"/>
      <c r="BS77" s="82"/>
      <c r="BT77" s="82"/>
      <c r="BU77" s="82"/>
      <c r="BV77" s="210"/>
      <c r="BW77" s="82"/>
      <c r="BX77" s="82"/>
      <c r="BY77" s="82"/>
      <c r="BZ77" s="210"/>
      <c r="CA77" s="82"/>
      <c r="CB77" s="82"/>
      <c r="CC77" s="82"/>
      <c r="CD77" s="210"/>
      <c r="CE77" s="82"/>
      <c r="CF77" s="82"/>
      <c r="CG77" s="82"/>
      <c r="CH77" s="210"/>
    </row>
    <row r="78" spans="58:86">
      <c r="BF78" s="209"/>
      <c r="BG78" s="82"/>
      <c r="BH78" s="82"/>
      <c r="BI78" s="82"/>
      <c r="BJ78" s="210"/>
      <c r="BK78" s="82"/>
      <c r="BL78" s="82"/>
      <c r="BM78" s="82"/>
      <c r="BN78" s="210"/>
      <c r="BO78" s="82"/>
      <c r="BP78" s="82"/>
      <c r="BQ78" s="82"/>
      <c r="BR78" s="210"/>
      <c r="BS78" s="82"/>
      <c r="BT78" s="82"/>
      <c r="BU78" s="82"/>
      <c r="BV78" s="210"/>
      <c r="BW78" s="82"/>
      <c r="BX78" s="82"/>
      <c r="BY78" s="82"/>
      <c r="BZ78" s="210"/>
      <c r="CA78" s="82"/>
      <c r="CB78" s="82"/>
      <c r="CC78" s="82"/>
      <c r="CD78" s="210"/>
      <c r="CE78" s="82"/>
      <c r="CF78" s="82"/>
      <c r="CG78" s="82"/>
      <c r="CH78" s="210"/>
    </row>
    <row r="79" spans="58:86">
      <c r="BF79" s="209"/>
      <c r="BG79" s="82"/>
      <c r="BH79" s="82"/>
      <c r="BI79" s="82"/>
      <c r="BJ79" s="210"/>
      <c r="BK79" s="82"/>
      <c r="BL79" s="82"/>
      <c r="BM79" s="82"/>
      <c r="BN79" s="210"/>
      <c r="BO79" s="82"/>
      <c r="BP79" s="82"/>
      <c r="BQ79" s="82"/>
      <c r="BR79" s="210"/>
      <c r="BS79" s="82"/>
      <c r="BT79" s="82"/>
      <c r="BU79" s="82"/>
      <c r="BV79" s="210"/>
      <c r="BW79" s="82"/>
      <c r="BX79" s="82"/>
      <c r="BY79" s="82"/>
      <c r="BZ79" s="210"/>
      <c r="CA79" s="82"/>
      <c r="CB79" s="82"/>
      <c r="CC79" s="82"/>
      <c r="CD79" s="210"/>
      <c r="CE79" s="82"/>
      <c r="CF79" s="82"/>
      <c r="CG79" s="82"/>
      <c r="CH79" s="210"/>
    </row>
    <row r="80" spans="58:86">
      <c r="BF80" s="209"/>
      <c r="BG80" s="82"/>
      <c r="BH80" s="82"/>
      <c r="BI80" s="82"/>
      <c r="BJ80" s="210"/>
      <c r="BK80" s="82"/>
      <c r="BL80" s="82"/>
      <c r="BM80" s="82"/>
      <c r="BN80" s="210"/>
      <c r="BO80" s="82"/>
      <c r="BP80" s="82"/>
      <c r="BQ80" s="82"/>
      <c r="BR80" s="210"/>
      <c r="BS80" s="82"/>
      <c r="BT80" s="82"/>
      <c r="BU80" s="82"/>
      <c r="BV80" s="210"/>
      <c r="BW80" s="82"/>
      <c r="BX80" s="82"/>
      <c r="BY80" s="82"/>
      <c r="BZ80" s="210"/>
      <c r="CA80" s="82"/>
      <c r="CB80" s="82"/>
      <c r="CC80" s="82"/>
      <c r="CD80" s="210"/>
      <c r="CE80" s="82"/>
      <c r="CF80" s="82"/>
      <c r="CG80" s="82"/>
      <c r="CH80" s="210"/>
    </row>
    <row r="81" spans="58:86">
      <c r="BF81" s="209"/>
      <c r="BG81" s="82"/>
      <c r="BH81" s="82"/>
      <c r="BI81" s="82"/>
      <c r="BJ81" s="210"/>
      <c r="BK81" s="82"/>
      <c r="BL81" s="82"/>
      <c r="BM81" s="82"/>
      <c r="BN81" s="210"/>
      <c r="BO81" s="82"/>
      <c r="BP81" s="82"/>
      <c r="BQ81" s="82"/>
      <c r="BR81" s="210"/>
      <c r="BS81" s="82"/>
      <c r="BT81" s="82"/>
      <c r="BU81" s="82"/>
      <c r="BV81" s="210"/>
      <c r="BW81" s="82"/>
      <c r="BX81" s="82"/>
      <c r="BY81" s="82"/>
      <c r="BZ81" s="210"/>
      <c r="CA81" s="82"/>
      <c r="CB81" s="82"/>
      <c r="CC81" s="82"/>
      <c r="CD81" s="210"/>
      <c r="CE81" s="82"/>
      <c r="CF81" s="82"/>
      <c r="CG81" s="82"/>
      <c r="CH81" s="210"/>
    </row>
    <row r="82" spans="58:86">
      <c r="BF82" s="209"/>
      <c r="BG82" s="82"/>
      <c r="BH82" s="82"/>
      <c r="BI82" s="82"/>
      <c r="BJ82" s="210"/>
      <c r="BK82" s="82"/>
      <c r="BL82" s="82"/>
      <c r="BM82" s="82"/>
      <c r="BN82" s="210"/>
      <c r="BO82" s="82"/>
      <c r="BP82" s="82"/>
      <c r="BQ82" s="82"/>
      <c r="BR82" s="210"/>
      <c r="BS82" s="82"/>
      <c r="BT82" s="82"/>
      <c r="BU82" s="82"/>
      <c r="BV82" s="210"/>
      <c r="BW82" s="82"/>
      <c r="BX82" s="82"/>
      <c r="BY82" s="82"/>
      <c r="BZ82" s="210"/>
      <c r="CA82" s="82"/>
      <c r="CB82" s="82"/>
      <c r="CC82" s="82"/>
      <c r="CD82" s="210"/>
      <c r="CE82" s="82"/>
      <c r="CF82" s="82"/>
      <c r="CG82" s="82"/>
      <c r="CH82" s="210"/>
    </row>
    <row r="83" spans="58:86">
      <c r="BF83" s="209"/>
      <c r="BG83" s="82"/>
      <c r="BH83" s="82"/>
      <c r="BI83" s="82"/>
      <c r="BJ83" s="210"/>
      <c r="BK83" s="82"/>
      <c r="BL83" s="82"/>
      <c r="BM83" s="82"/>
      <c r="BN83" s="210"/>
      <c r="BO83" s="82"/>
      <c r="BP83" s="82"/>
      <c r="BQ83" s="82"/>
      <c r="BR83" s="210"/>
      <c r="BS83" s="82"/>
      <c r="BT83" s="82"/>
      <c r="BU83" s="82"/>
      <c r="BV83" s="210"/>
      <c r="BW83" s="82"/>
      <c r="BX83" s="82"/>
      <c r="BY83" s="82"/>
      <c r="BZ83" s="210"/>
      <c r="CA83" s="82"/>
      <c r="CB83" s="82"/>
      <c r="CC83" s="82"/>
      <c r="CD83" s="210"/>
      <c r="CE83" s="82"/>
      <c r="CF83" s="82"/>
      <c r="CG83" s="82"/>
      <c r="CH83" s="210"/>
    </row>
    <row r="84" spans="58:86">
      <c r="BF84" s="209"/>
      <c r="BG84" s="82"/>
      <c r="BH84" s="82"/>
      <c r="BI84" s="82"/>
      <c r="BJ84" s="210"/>
      <c r="BK84" s="82"/>
      <c r="BL84" s="82"/>
      <c r="BM84" s="82"/>
      <c r="BN84" s="210"/>
      <c r="BO84" s="82"/>
      <c r="BP84" s="82"/>
      <c r="BQ84" s="82"/>
      <c r="BR84" s="210"/>
      <c r="BS84" s="82"/>
      <c r="BT84" s="82"/>
      <c r="BU84" s="82"/>
      <c r="BV84" s="210"/>
      <c r="BW84" s="82"/>
      <c r="BX84" s="82"/>
      <c r="BY84" s="82"/>
      <c r="BZ84" s="210"/>
      <c r="CA84" s="82"/>
      <c r="CB84" s="82"/>
      <c r="CC84" s="82"/>
      <c r="CD84" s="210"/>
      <c r="CE84" s="82"/>
      <c r="CF84" s="82"/>
      <c r="CG84" s="82"/>
      <c r="CH84" s="210"/>
    </row>
    <row r="85" spans="58:86">
      <c r="BF85" s="209"/>
      <c r="BG85" s="82"/>
      <c r="BH85" s="82"/>
      <c r="BI85" s="82"/>
      <c r="BJ85" s="210"/>
      <c r="BK85" s="82"/>
      <c r="BL85" s="82"/>
      <c r="BM85" s="82"/>
      <c r="BN85" s="210"/>
      <c r="BO85" s="82"/>
      <c r="BP85" s="82"/>
      <c r="BQ85" s="82"/>
      <c r="BR85" s="210"/>
      <c r="BS85" s="82"/>
      <c r="BT85" s="82"/>
      <c r="BU85" s="82"/>
      <c r="BV85" s="210"/>
      <c r="BW85" s="82"/>
      <c r="BX85" s="82"/>
      <c r="BY85" s="82"/>
      <c r="BZ85" s="210"/>
      <c r="CA85" s="82"/>
      <c r="CB85" s="82"/>
      <c r="CC85" s="82"/>
      <c r="CD85" s="210"/>
      <c r="CE85" s="82"/>
      <c r="CF85" s="82"/>
      <c r="CG85" s="82"/>
      <c r="CH85" s="210"/>
    </row>
    <row r="86" spans="58:86">
      <c r="BF86" s="209"/>
      <c r="BG86" s="82"/>
      <c r="BH86" s="82"/>
      <c r="BI86" s="82"/>
      <c r="BJ86" s="210"/>
      <c r="BK86" s="82"/>
      <c r="BL86" s="82"/>
      <c r="BM86" s="82"/>
      <c r="BN86" s="210"/>
      <c r="BO86" s="82"/>
      <c r="BP86" s="82"/>
      <c r="BQ86" s="82"/>
      <c r="BR86" s="210"/>
      <c r="BS86" s="82"/>
      <c r="BT86" s="82"/>
      <c r="BU86" s="82"/>
      <c r="BV86" s="210"/>
      <c r="BW86" s="82"/>
      <c r="BX86" s="82"/>
      <c r="BY86" s="82"/>
      <c r="BZ86" s="210"/>
      <c r="CA86" s="82"/>
      <c r="CB86" s="82"/>
      <c r="CC86" s="82"/>
      <c r="CD86" s="210"/>
      <c r="CE86" s="82"/>
      <c r="CF86" s="82"/>
      <c r="CG86" s="82"/>
      <c r="CH86" s="210"/>
    </row>
    <row r="87" spans="58:86">
      <c r="BF87" s="209"/>
      <c r="BG87" s="82"/>
      <c r="BH87" s="82"/>
      <c r="BI87" s="82"/>
      <c r="BJ87" s="210"/>
      <c r="BK87" s="82"/>
      <c r="BL87" s="82"/>
      <c r="BM87" s="82"/>
      <c r="BN87" s="210"/>
      <c r="BO87" s="82"/>
      <c r="BP87" s="82"/>
      <c r="BQ87" s="82"/>
      <c r="BR87" s="210"/>
      <c r="BS87" s="82"/>
      <c r="BT87" s="82"/>
      <c r="BU87" s="82"/>
      <c r="BV87" s="210"/>
      <c r="BW87" s="82"/>
      <c r="BX87" s="82"/>
      <c r="BY87" s="82"/>
      <c r="BZ87" s="210"/>
      <c r="CA87" s="82"/>
      <c r="CB87" s="82"/>
      <c r="CC87" s="82"/>
      <c r="CD87" s="210"/>
      <c r="CE87" s="82"/>
      <c r="CF87" s="82"/>
      <c r="CG87" s="82"/>
      <c r="CH87" s="210"/>
    </row>
    <row r="88" spans="58:86">
      <c r="BF88" s="209"/>
      <c r="BG88" s="82"/>
      <c r="BH88" s="82"/>
      <c r="BI88" s="82"/>
      <c r="BJ88" s="210"/>
      <c r="BK88" s="82"/>
      <c r="BL88" s="82"/>
      <c r="BM88" s="82"/>
      <c r="BN88" s="210"/>
      <c r="BO88" s="82"/>
      <c r="BP88" s="82"/>
      <c r="BQ88" s="82"/>
      <c r="BR88" s="210"/>
      <c r="BS88" s="82"/>
      <c r="BT88" s="82"/>
      <c r="BU88" s="82"/>
      <c r="BV88" s="210"/>
      <c r="BW88" s="82"/>
      <c r="BX88" s="82"/>
      <c r="BY88" s="82"/>
      <c r="BZ88" s="210"/>
      <c r="CA88" s="82"/>
      <c r="CB88" s="82"/>
      <c r="CC88" s="82"/>
      <c r="CD88" s="210"/>
      <c r="CE88" s="82"/>
      <c r="CF88" s="82"/>
      <c r="CG88" s="82"/>
      <c r="CH88" s="210"/>
    </row>
    <row r="89" spans="58:86">
      <c r="BF89" s="209"/>
      <c r="BG89" s="82"/>
      <c r="BH89" s="82"/>
      <c r="BI89" s="82"/>
      <c r="BJ89" s="210"/>
      <c r="BK89" s="82"/>
      <c r="BL89" s="82"/>
      <c r="BM89" s="82"/>
      <c r="BN89" s="210"/>
      <c r="BO89" s="82"/>
      <c r="BP89" s="82"/>
      <c r="BQ89" s="82"/>
      <c r="BR89" s="210"/>
      <c r="BS89" s="82"/>
      <c r="BT89" s="82"/>
      <c r="BU89" s="82"/>
      <c r="BV89" s="210"/>
      <c r="BW89" s="82"/>
      <c r="BX89" s="82"/>
      <c r="BY89" s="82"/>
      <c r="BZ89" s="210"/>
      <c r="CA89" s="82"/>
      <c r="CB89" s="82"/>
      <c r="CC89" s="82"/>
      <c r="CD89" s="210"/>
      <c r="CE89" s="82"/>
      <c r="CF89" s="82"/>
      <c r="CG89" s="82"/>
      <c r="CH89" s="210"/>
    </row>
    <row r="90" spans="58:86">
      <c r="BF90" s="209"/>
      <c r="BG90" s="82"/>
      <c r="BH90" s="82"/>
      <c r="BI90" s="82"/>
      <c r="BJ90" s="210"/>
      <c r="BK90" s="82"/>
      <c r="BL90" s="82"/>
      <c r="BM90" s="82"/>
      <c r="BN90" s="210"/>
      <c r="BO90" s="82"/>
      <c r="BP90" s="82"/>
      <c r="BQ90" s="82"/>
      <c r="BR90" s="210"/>
      <c r="BS90" s="82"/>
      <c r="BT90" s="82"/>
      <c r="BU90" s="82"/>
      <c r="BV90" s="210"/>
      <c r="BW90" s="82"/>
      <c r="BX90" s="82"/>
      <c r="BY90" s="82"/>
      <c r="BZ90" s="210"/>
      <c r="CA90" s="82"/>
      <c r="CB90" s="82"/>
      <c r="CC90" s="82"/>
      <c r="CD90" s="210"/>
      <c r="CE90" s="82"/>
      <c r="CF90" s="82"/>
      <c r="CG90" s="82"/>
      <c r="CH90" s="210"/>
    </row>
    <row r="91" spans="58:86">
      <c r="BF91" s="209"/>
      <c r="BG91" s="82"/>
      <c r="BH91" s="82"/>
      <c r="BI91" s="82"/>
      <c r="BJ91" s="210"/>
      <c r="BK91" s="82"/>
      <c r="BL91" s="82"/>
      <c r="BM91" s="82"/>
      <c r="BN91" s="210"/>
      <c r="BO91" s="82"/>
      <c r="BP91" s="82"/>
      <c r="BQ91" s="82"/>
      <c r="BR91" s="210"/>
      <c r="BS91" s="82"/>
      <c r="BT91" s="82"/>
      <c r="BU91" s="82"/>
      <c r="BV91" s="210"/>
      <c r="BW91" s="82"/>
      <c r="BX91" s="82"/>
      <c r="BY91" s="82"/>
      <c r="BZ91" s="210"/>
      <c r="CA91" s="82"/>
      <c r="CB91" s="82"/>
      <c r="CC91" s="82"/>
      <c r="CD91" s="210"/>
      <c r="CE91" s="82"/>
      <c r="CF91" s="82"/>
      <c r="CG91" s="82"/>
      <c r="CH91" s="210"/>
    </row>
    <row r="92" spans="58:86">
      <c r="BF92" s="209"/>
      <c r="BG92" s="82"/>
      <c r="BH92" s="82"/>
      <c r="BI92" s="82"/>
      <c r="BJ92" s="210"/>
      <c r="BK92" s="82"/>
      <c r="BL92" s="82"/>
      <c r="BM92" s="82"/>
      <c r="BN92" s="210"/>
      <c r="BO92" s="82"/>
      <c r="BP92" s="82"/>
      <c r="BQ92" s="82"/>
      <c r="BR92" s="210"/>
      <c r="BS92" s="82"/>
      <c r="BT92" s="82"/>
      <c r="BU92" s="82"/>
      <c r="BV92" s="210"/>
      <c r="BW92" s="82"/>
      <c r="BX92" s="82"/>
      <c r="BY92" s="82"/>
      <c r="BZ92" s="210"/>
      <c r="CA92" s="82"/>
      <c r="CB92" s="82"/>
      <c r="CC92" s="82"/>
      <c r="CD92" s="210"/>
      <c r="CE92" s="82"/>
      <c r="CF92" s="82"/>
      <c r="CG92" s="82"/>
      <c r="CH92" s="210"/>
    </row>
    <row r="93" spans="58:86">
      <c r="BF93" s="209"/>
      <c r="BG93" s="82"/>
      <c r="BH93" s="82"/>
      <c r="BI93" s="82"/>
      <c r="BJ93" s="210"/>
      <c r="BK93" s="82"/>
      <c r="BL93" s="82"/>
      <c r="BM93" s="82"/>
      <c r="BN93" s="210"/>
      <c r="BO93" s="82"/>
      <c r="BP93" s="82"/>
      <c r="BQ93" s="82"/>
      <c r="BR93" s="210"/>
      <c r="BS93" s="82"/>
      <c r="BT93" s="82"/>
      <c r="BU93" s="82"/>
      <c r="BV93" s="210"/>
      <c r="BW93" s="82"/>
      <c r="BX93" s="82"/>
      <c r="BY93" s="82"/>
      <c r="BZ93" s="210"/>
      <c r="CA93" s="82"/>
      <c r="CB93" s="82"/>
      <c r="CC93" s="82"/>
      <c r="CD93" s="210"/>
      <c r="CE93" s="82"/>
      <c r="CF93" s="82"/>
      <c r="CG93" s="82"/>
      <c r="CH93" s="210"/>
    </row>
    <row r="94" spans="58:86">
      <c r="BF94" s="209"/>
      <c r="BG94" s="82"/>
      <c r="BH94" s="82"/>
      <c r="BI94" s="82"/>
      <c r="BJ94" s="210"/>
      <c r="BK94" s="82"/>
      <c r="BL94" s="82"/>
      <c r="BM94" s="82"/>
      <c r="BN94" s="210"/>
      <c r="BO94" s="82"/>
      <c r="BP94" s="82"/>
      <c r="BQ94" s="82"/>
      <c r="BR94" s="210"/>
      <c r="BS94" s="82"/>
      <c r="BT94" s="82"/>
      <c r="BU94" s="82"/>
      <c r="BV94" s="210"/>
      <c r="BW94" s="82"/>
      <c r="BX94" s="82"/>
      <c r="BY94" s="82"/>
      <c r="BZ94" s="210"/>
      <c r="CA94" s="82"/>
      <c r="CB94" s="82"/>
      <c r="CC94" s="82"/>
      <c r="CD94" s="210"/>
      <c r="CE94" s="82"/>
      <c r="CF94" s="82"/>
      <c r="CG94" s="82"/>
      <c r="CH94" s="210"/>
    </row>
    <row r="95" spans="58:86">
      <c r="BF95" s="209"/>
      <c r="BG95" s="82"/>
      <c r="BH95" s="82"/>
      <c r="BI95" s="82"/>
      <c r="BJ95" s="210"/>
      <c r="BK95" s="82"/>
      <c r="BL95" s="82"/>
      <c r="BM95" s="82"/>
      <c r="BN95" s="210"/>
      <c r="BO95" s="82"/>
      <c r="BP95" s="82"/>
      <c r="BQ95" s="82"/>
      <c r="BR95" s="210"/>
      <c r="BS95" s="82"/>
      <c r="BT95" s="82"/>
      <c r="BU95" s="82"/>
      <c r="BV95" s="210"/>
      <c r="BW95" s="82"/>
      <c r="BX95" s="82"/>
      <c r="BY95" s="82"/>
      <c r="BZ95" s="210"/>
      <c r="CA95" s="82"/>
      <c r="CB95" s="82"/>
      <c r="CC95" s="82"/>
      <c r="CD95" s="210"/>
      <c r="CE95" s="82"/>
      <c r="CF95" s="82"/>
      <c r="CG95" s="82"/>
      <c r="CH95" s="210"/>
    </row>
    <row r="96" spans="58:86">
      <c r="BF96" s="209"/>
      <c r="BG96" s="82"/>
      <c r="BH96" s="82"/>
      <c r="BI96" s="82"/>
      <c r="BJ96" s="210"/>
      <c r="BK96" s="82"/>
      <c r="BL96" s="82"/>
      <c r="BM96" s="82"/>
      <c r="BN96" s="210"/>
      <c r="BO96" s="82"/>
      <c r="BP96" s="82"/>
      <c r="BQ96" s="82"/>
      <c r="BR96" s="210"/>
      <c r="BS96" s="82"/>
      <c r="BT96" s="82"/>
      <c r="BU96" s="82"/>
      <c r="BV96" s="210"/>
      <c r="BW96" s="82"/>
      <c r="BX96" s="82"/>
      <c r="BY96" s="82"/>
      <c r="BZ96" s="210"/>
      <c r="CA96" s="82"/>
      <c r="CB96" s="82"/>
      <c r="CC96" s="82"/>
      <c r="CD96" s="210"/>
      <c r="CE96" s="82"/>
      <c r="CF96" s="82"/>
      <c r="CG96" s="82"/>
      <c r="CH96" s="210"/>
    </row>
  </sheetData>
  <mergeCells count="28">
    <mergeCell ref="AI19:AK19"/>
    <mergeCell ref="AM19:AO19"/>
    <mergeCell ref="AQ1:AS1"/>
    <mergeCell ref="AU1:AW1"/>
    <mergeCell ref="AY1:BA1"/>
    <mergeCell ref="AI1:AK1"/>
    <mergeCell ref="AM1:AO1"/>
    <mergeCell ref="BC1:BE1"/>
    <mergeCell ref="C19:E19"/>
    <mergeCell ref="G19:I19"/>
    <mergeCell ref="K19:M19"/>
    <mergeCell ref="O19:Q19"/>
    <mergeCell ref="S19:U19"/>
    <mergeCell ref="AQ19:AS19"/>
    <mergeCell ref="AU19:AW19"/>
    <mergeCell ref="AY19:BA19"/>
    <mergeCell ref="BC19:BE19"/>
    <mergeCell ref="W19:Y19"/>
    <mergeCell ref="AA19:AC19"/>
    <mergeCell ref="AE19:AG19"/>
    <mergeCell ref="W1:Y1"/>
    <mergeCell ref="AA1:AC1"/>
    <mergeCell ref="AE1:AG1"/>
    <mergeCell ref="C1:E1"/>
    <mergeCell ref="G1:I1"/>
    <mergeCell ref="K1:M1"/>
    <mergeCell ref="O1:Q1"/>
    <mergeCell ref="S1:U1"/>
  </mergeCells>
  <phoneticPr fontId="104" type="noConversion"/>
  <conditionalFormatting sqref="C3:E16">
    <cfRule type="colorScale" priority="58">
      <colorScale>
        <cfvo type="min"/>
        <cfvo type="max"/>
        <color rgb="FFFCFCFF"/>
        <color rgb="FF63BE7B"/>
      </colorScale>
    </cfRule>
  </conditionalFormatting>
  <conditionalFormatting sqref="G3:I16">
    <cfRule type="colorScale" priority="59">
      <colorScale>
        <cfvo type="min"/>
        <cfvo type="max"/>
        <color rgb="FFFCFCFF"/>
        <color rgb="FF63BE7B"/>
      </colorScale>
    </cfRule>
  </conditionalFormatting>
  <conditionalFormatting sqref="AA3:AC16">
    <cfRule type="colorScale" priority="12">
      <colorScale>
        <cfvo type="min"/>
        <cfvo type="max"/>
        <color rgb="FFFCFCFF"/>
        <color rgb="FF63BE7B"/>
      </colorScale>
    </cfRule>
  </conditionalFormatting>
  <conditionalFormatting sqref="W3:Y16">
    <cfRule type="colorScale" priority="11">
      <colorScale>
        <cfvo type="min"/>
        <cfvo type="max"/>
        <color rgb="FFFCFCFF"/>
        <color rgb="FF63BE7B"/>
      </colorScale>
    </cfRule>
  </conditionalFormatting>
  <conditionalFormatting sqref="S3:U16">
    <cfRule type="colorScale" priority="10">
      <colorScale>
        <cfvo type="min"/>
        <cfvo type="max"/>
        <color rgb="FFFCFCFF"/>
        <color rgb="FF63BE7B"/>
      </colorScale>
    </cfRule>
  </conditionalFormatting>
  <conditionalFormatting sqref="O3:Q16">
    <cfRule type="colorScale" priority="9">
      <colorScale>
        <cfvo type="min"/>
        <cfvo type="max"/>
        <color rgb="FFFCFCFF"/>
        <color rgb="FF63BE7B"/>
      </colorScale>
    </cfRule>
  </conditionalFormatting>
  <conditionalFormatting sqref="K3:M16">
    <cfRule type="colorScale" priority="8">
      <colorScale>
        <cfvo type="min"/>
        <cfvo type="max"/>
        <color rgb="FFFCFCFF"/>
        <color rgb="FF63BE7B"/>
      </colorScale>
    </cfRule>
  </conditionalFormatting>
  <conditionalFormatting sqref="AE3:AG16">
    <cfRule type="colorScale" priority="7">
      <colorScale>
        <cfvo type="min"/>
        <cfvo type="max"/>
        <color rgb="FFFCFCFF"/>
        <color rgb="FF63BE7B"/>
      </colorScale>
    </cfRule>
  </conditionalFormatting>
  <conditionalFormatting sqref="AI3:AK16">
    <cfRule type="colorScale" priority="6">
      <colorScale>
        <cfvo type="min"/>
        <cfvo type="max"/>
        <color rgb="FFFCFCFF"/>
        <color rgb="FF63BE7B"/>
      </colorScale>
    </cfRule>
  </conditionalFormatting>
  <conditionalFormatting sqref="AM3:AO16">
    <cfRule type="colorScale" priority="5">
      <colorScale>
        <cfvo type="min"/>
        <cfvo type="max"/>
        <color rgb="FFFCFCFF"/>
        <color rgb="FF63BE7B"/>
      </colorScale>
    </cfRule>
  </conditionalFormatting>
  <conditionalFormatting sqref="AQ3:AS16">
    <cfRule type="colorScale" priority="4">
      <colorScale>
        <cfvo type="min"/>
        <cfvo type="max"/>
        <color rgb="FFFCFCFF"/>
        <color rgb="FF63BE7B"/>
      </colorScale>
    </cfRule>
  </conditionalFormatting>
  <conditionalFormatting sqref="AU3:AW16">
    <cfRule type="colorScale" priority="3">
      <colorScale>
        <cfvo type="min"/>
        <cfvo type="max"/>
        <color rgb="FFFCFCFF"/>
        <color rgb="FF63BE7B"/>
      </colorScale>
    </cfRule>
  </conditionalFormatting>
  <conditionalFormatting sqref="AY3:BA16">
    <cfRule type="colorScale" priority="2">
      <colorScale>
        <cfvo type="min"/>
        <cfvo type="max"/>
        <color rgb="FFFCFCFF"/>
        <color rgb="FF63BE7B"/>
      </colorScale>
    </cfRule>
  </conditionalFormatting>
  <conditionalFormatting sqref="BC3:BE16">
    <cfRule type="colorScale" priority="1">
      <colorScale>
        <cfvo type="min"/>
        <cfvo type="max"/>
        <color rgb="FFFCFCFF"/>
        <color rgb="FF63BE7B"/>
      </colorScale>
    </cfRule>
  </conditionalFormatting>
  <pageMargins left="0.7" right="0.7" top="0.75" bottom="0.75" header="0.3" footer="0.3"/>
  <pageSetup orientation="portrait" verticalDpi="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0000"/>
  </sheetPr>
  <dimension ref="A1:CH96"/>
  <sheetViews>
    <sheetView zoomScaleNormal="100" workbookViewId="0">
      <pane xSplit="1" ySplit="2" topLeftCell="B3" activePane="bottomRight" state="frozen"/>
      <selection pane="topRight" activeCell="B1" sqref="B1"/>
      <selection pane="bottomLeft" activeCell="A3" sqref="A3"/>
      <selection pane="bottomRight" activeCell="D17" sqref="D17"/>
    </sheetView>
  </sheetViews>
  <sheetFormatPr defaultRowHeight="12.75"/>
  <cols>
    <col min="1" max="1" width="8.85546875" style="42"/>
    <col min="2" max="2" width="3.7109375" style="42" customWidth="1"/>
    <col min="6" max="6" width="2.7109375" style="283" customWidth="1"/>
    <col min="10" max="10" width="2.7109375" style="283" customWidth="1"/>
    <col min="14" max="14" width="2.7109375" style="283" customWidth="1"/>
    <col min="18" max="18" width="2.7109375" style="283" customWidth="1"/>
    <col min="22" max="22" width="2.7109375" style="283" customWidth="1"/>
    <col min="26" max="26" width="2.7109375" style="283" customWidth="1"/>
    <col min="30" max="30" width="2.7109375" style="283" customWidth="1"/>
    <col min="34" max="34" width="2.7109375" style="283" customWidth="1"/>
    <col min="38" max="38" width="2.7109375" style="283" customWidth="1"/>
    <col min="42" max="42" width="2.7109375" style="283" customWidth="1"/>
    <col min="46" max="46" width="2.7109375" style="283" customWidth="1"/>
    <col min="50" max="50" width="2.7109375" style="283" customWidth="1"/>
    <col min="54" max="54" width="2.7109375" style="283" customWidth="1"/>
    <col min="62" max="62" width="1.7109375" customWidth="1"/>
    <col min="66" max="66" width="1.7109375" style="214" customWidth="1"/>
    <col min="70" max="70" width="1.7109375" customWidth="1"/>
    <col min="74" max="74" width="1.7109375" style="214" customWidth="1"/>
    <col min="78" max="78" width="1.7109375" customWidth="1"/>
    <col min="82" max="82" width="1.7109375" style="214" customWidth="1"/>
    <col min="86" max="86" width="1.7109375" customWidth="1"/>
  </cols>
  <sheetData>
    <row r="1" spans="1:86" s="147" customFormat="1" ht="23.1" customHeight="1">
      <c r="C1" s="788" t="s">
        <v>479</v>
      </c>
      <c r="D1" s="788"/>
      <c r="E1" s="788"/>
      <c r="F1" s="282"/>
      <c r="G1" s="788" t="s">
        <v>480</v>
      </c>
      <c r="H1" s="788"/>
      <c r="I1" s="788"/>
      <c r="J1" s="282"/>
      <c r="K1" s="788" t="s">
        <v>481</v>
      </c>
      <c r="L1" s="788"/>
      <c r="M1" s="788"/>
      <c r="N1" s="282"/>
      <c r="O1" s="788" t="s">
        <v>482</v>
      </c>
      <c r="P1" s="788"/>
      <c r="Q1" s="788"/>
      <c r="R1" s="282"/>
      <c r="S1" s="788" t="s">
        <v>483</v>
      </c>
      <c r="T1" s="788"/>
      <c r="U1" s="788"/>
      <c r="V1" s="282"/>
      <c r="W1" s="788" t="s">
        <v>484</v>
      </c>
      <c r="X1" s="788"/>
      <c r="Y1" s="788"/>
      <c r="Z1" s="282"/>
      <c r="AA1" s="790" t="s">
        <v>485</v>
      </c>
      <c r="AB1" s="790"/>
      <c r="AC1" s="790"/>
      <c r="AD1" s="282"/>
      <c r="AE1" s="790" t="s">
        <v>497</v>
      </c>
      <c r="AF1" s="790"/>
      <c r="AG1" s="790"/>
      <c r="AH1" s="282"/>
      <c r="AI1" s="789" t="s">
        <v>486</v>
      </c>
      <c r="AJ1" s="789"/>
      <c r="AK1" s="789"/>
      <c r="AL1" s="282"/>
      <c r="AM1" s="789" t="s">
        <v>487</v>
      </c>
      <c r="AN1" s="789"/>
      <c r="AO1" s="789"/>
      <c r="AP1" s="282"/>
      <c r="AQ1" s="788" t="s">
        <v>488</v>
      </c>
      <c r="AR1" s="788"/>
      <c r="AS1" s="788"/>
      <c r="AT1" s="282"/>
      <c r="AU1" s="789" t="s">
        <v>539</v>
      </c>
      <c r="AV1" s="789"/>
      <c r="AW1" s="789"/>
      <c r="AX1" s="282"/>
      <c r="AY1" s="789" t="s">
        <v>540</v>
      </c>
      <c r="AZ1" s="789"/>
      <c r="BA1" s="789"/>
      <c r="BB1" s="282"/>
      <c r="BC1" s="788" t="s">
        <v>541</v>
      </c>
      <c r="BD1" s="788"/>
      <c r="BE1" s="788"/>
      <c r="BF1" s="207"/>
      <c r="BG1" s="156" t="s">
        <v>499</v>
      </c>
      <c r="BH1" s="156" t="s">
        <v>500</v>
      </c>
      <c r="BI1" s="156" t="s">
        <v>501</v>
      </c>
      <c r="BJ1" s="205"/>
      <c r="BK1" s="156" t="s">
        <v>502</v>
      </c>
      <c r="BL1" s="156" t="s">
        <v>503</v>
      </c>
      <c r="BM1" s="156" t="s">
        <v>504</v>
      </c>
      <c r="BN1" s="205"/>
      <c r="BO1" s="156" t="s">
        <v>505</v>
      </c>
      <c r="BP1" s="156" t="s">
        <v>506</v>
      </c>
      <c r="BQ1" s="156" t="s">
        <v>507</v>
      </c>
      <c r="BR1" s="205"/>
      <c r="BS1" s="156" t="s">
        <v>508</v>
      </c>
      <c r="BT1" s="156" t="s">
        <v>509</v>
      </c>
      <c r="BU1" s="156" t="s">
        <v>510</v>
      </c>
      <c r="BV1" s="210"/>
      <c r="BW1" s="156" t="s">
        <v>511</v>
      </c>
      <c r="BX1" s="156" t="s">
        <v>512</v>
      </c>
      <c r="BY1" s="156" t="s">
        <v>513</v>
      </c>
      <c r="BZ1" s="210"/>
      <c r="CA1" s="156" t="s">
        <v>514</v>
      </c>
      <c r="CB1" s="156" t="s">
        <v>515</v>
      </c>
      <c r="CC1" s="156" t="s">
        <v>516</v>
      </c>
      <c r="CD1" s="210"/>
      <c r="CE1" s="156" t="s">
        <v>517</v>
      </c>
      <c r="CF1" s="156" t="s">
        <v>518</v>
      </c>
      <c r="CG1" s="156" t="s">
        <v>519</v>
      </c>
      <c r="CH1" s="210"/>
    </row>
    <row r="2" spans="1:86">
      <c r="A2" s="42" t="s">
        <v>204</v>
      </c>
      <c r="C2" s="42" t="s">
        <v>308</v>
      </c>
      <c r="D2" s="42" t="s">
        <v>435</v>
      </c>
      <c r="E2" s="42" t="s">
        <v>309</v>
      </c>
      <c r="G2" s="42" t="s">
        <v>308</v>
      </c>
      <c r="H2" s="42" t="s">
        <v>435</v>
      </c>
      <c r="I2" s="42" t="s">
        <v>309</v>
      </c>
      <c r="K2" s="42" t="s">
        <v>308</v>
      </c>
      <c r="L2" s="42" t="s">
        <v>435</v>
      </c>
      <c r="M2" s="42" t="s">
        <v>309</v>
      </c>
      <c r="O2" s="42" t="s">
        <v>308</v>
      </c>
      <c r="P2" s="42" t="s">
        <v>435</v>
      </c>
      <c r="Q2" s="42" t="s">
        <v>309</v>
      </c>
      <c r="S2" s="42" t="s">
        <v>308</v>
      </c>
      <c r="T2" s="42" t="s">
        <v>435</v>
      </c>
      <c r="U2" s="42" t="s">
        <v>309</v>
      </c>
      <c r="W2" s="42" t="s">
        <v>308</v>
      </c>
      <c r="X2" s="42" t="s">
        <v>435</v>
      </c>
      <c r="Y2" s="42" t="s">
        <v>309</v>
      </c>
      <c r="AA2" s="42" t="s">
        <v>308</v>
      </c>
      <c r="AB2" s="42" t="s">
        <v>435</v>
      </c>
      <c r="AC2" s="42" t="s">
        <v>309</v>
      </c>
      <c r="AE2" s="42" t="s">
        <v>308</v>
      </c>
      <c r="AF2" s="42" t="s">
        <v>435</v>
      </c>
      <c r="AG2" s="42" t="s">
        <v>309</v>
      </c>
      <c r="AI2" s="42" t="s">
        <v>308</v>
      </c>
      <c r="AJ2" s="42" t="s">
        <v>435</v>
      </c>
      <c r="AK2" s="42" t="s">
        <v>309</v>
      </c>
      <c r="AM2" s="42" t="s">
        <v>308</v>
      </c>
      <c r="AN2" s="42" t="s">
        <v>435</v>
      </c>
      <c r="AO2" s="42" t="s">
        <v>309</v>
      </c>
      <c r="AQ2" s="42" t="s">
        <v>308</v>
      </c>
      <c r="AR2" s="42" t="s">
        <v>435</v>
      </c>
      <c r="AS2" s="42" t="s">
        <v>309</v>
      </c>
      <c r="AU2" s="42" t="s">
        <v>308</v>
      </c>
      <c r="AV2" s="42" t="s">
        <v>435</v>
      </c>
      <c r="AW2" s="42" t="s">
        <v>309</v>
      </c>
      <c r="AY2" s="42" t="s">
        <v>308</v>
      </c>
      <c r="AZ2" s="42" t="s">
        <v>435</v>
      </c>
      <c r="BA2" s="42" t="s">
        <v>309</v>
      </c>
      <c r="BC2" s="42" t="s">
        <v>308</v>
      </c>
      <c r="BD2" s="42" t="s">
        <v>435</v>
      </c>
      <c r="BE2" s="42" t="s">
        <v>309</v>
      </c>
      <c r="BF2" s="207"/>
      <c r="BG2" s="156"/>
      <c r="BH2" s="156"/>
      <c r="BI2" s="156"/>
      <c r="BJ2" s="205"/>
      <c r="BK2" s="156"/>
      <c r="BL2" s="156"/>
      <c r="BM2" s="156"/>
      <c r="BN2" s="205"/>
      <c r="BO2" s="156"/>
      <c r="BP2" s="156"/>
      <c r="BQ2" s="156"/>
      <c r="BR2" s="205"/>
      <c r="BS2" s="156"/>
      <c r="BT2" s="156"/>
      <c r="BU2" s="156"/>
      <c r="BV2" s="210"/>
      <c r="BW2" s="156"/>
      <c r="BX2" s="156"/>
      <c r="BY2" s="156"/>
      <c r="BZ2" s="210"/>
      <c r="CA2" s="156"/>
      <c r="CB2" s="156"/>
      <c r="CC2" s="156"/>
      <c r="CD2" s="210"/>
      <c r="CE2" s="156"/>
      <c r="CF2" s="156"/>
      <c r="CG2" s="156"/>
      <c r="CH2" s="210"/>
    </row>
    <row r="3" spans="1:86">
      <c r="A3" s="426" t="s">
        <v>489</v>
      </c>
      <c r="B3" s="153">
        <v>1</v>
      </c>
      <c r="C3" s="172">
        <f>IF('GPS Anthro Tool'!$B$6=0,0,IF('GPS Anthro Tool'!$B$6=0,0,IF('GPS Anthro Tool'!$B$11=0,0,IF('China Child Data'!$B3=0,0,IF(C21&gt;'GPS Anthro Tool'!$B$16,0,IF(C21&lt;'GPS Anthro Tool'!$B$17,0,C21))))))</f>
        <v>0</v>
      </c>
      <c r="D3" s="172">
        <f>IF('GPS Anthro Tool'!$B$6=0,0,IF('GPS Anthro Tool'!$B$6=0,0,IF('GPS Anthro Tool'!$B$10=0,0,IF('China Child Data'!$B3=0,0,IF(D21&gt;'GPS Anthro Tool'!$B$16,0,IF(D21&lt;'GPS Anthro Tool'!$B$17,0,D21))))))</f>
        <v>0</v>
      </c>
      <c r="E3" s="172">
        <f>IF('GPS Anthro Tool'!$B$6=0,0,IF('GPS Anthro Tool'!$B$6=0,0,IF('GPS Anthro Tool'!$B$9=0,0,IF('China Child Data'!$B3=0,0,IF(E21&gt;'GPS Anthro Tool'!$B$16,0,IF(E21&lt;'GPS Anthro Tool'!$B$17,0,E21))))))</f>
        <v>0</v>
      </c>
      <c r="G3" s="173">
        <f>IF('GPS Anthro Tool'!$B$6=0,0,IF('GPS Anthro Tool'!$B$11=0,0,IF('China Child Data'!$B3=0,0,IF(G21&gt;'GPS Anthro Tool'!$B$14,0,IF(G21&lt;'GPS Anthro Tool'!$B$15,0,G21)))))</f>
        <v>0</v>
      </c>
      <c r="H3" s="173">
        <f>IF('GPS Anthro Tool'!$B$6=0,0,IF('GPS Anthro Tool'!$B$10=0,0,IF('China Child Data'!$B3=0,0,IF(H21&gt;'GPS Anthro Tool'!$B$14,0,IF(H21&lt;'GPS Anthro Tool'!$B$15,0,H21)))))</f>
        <v>0</v>
      </c>
      <c r="I3" s="173">
        <f>IF('GPS Anthro Tool'!$B$6=0,0,IF('GPS Anthro Tool'!$B$9=0,0,IF('China Child Data'!$B3=0,0,IF(I21&gt;'GPS Anthro Tool'!$B$14,0,IF(I21&lt;'GPS Anthro Tool'!$B$15,0,I21)))))</f>
        <v>0</v>
      </c>
      <c r="K3" s="458">
        <f>IF('GPS Anthro Tool'!$B$6=0,0,IF('GPS Anthro Tool'!$B$11=0,0,IF('China Child Data'!$G3=0,0,IF(K21&gt;'GPS Anthro Tool'!$B$14,0,IF(K21&lt;'GPS Anthro Tool'!$B$15,0,IF($G$3=0,0,K21))))))</f>
        <v>0</v>
      </c>
      <c r="L3" s="458">
        <f>IF('GPS Anthro Tool'!$B$6=0,0,IF('GPS Anthro Tool'!$B$10=0,0,IF('China Child Data'!$H3=0,0,IF(L21&gt;'GPS Anthro Tool'!$B$14,0,IF(L21&lt;'GPS Anthro Tool'!$B$15,0,IF($H$3=0,0,L21))))))</f>
        <v>0</v>
      </c>
      <c r="M3" s="458">
        <f>IF('GPS Anthro Tool'!$B$6=0,0,IF('GPS Anthro Tool'!$B$9=0,0,IF('China Child Data'!$I3=0,0,IF(M21&gt;'GPS Anthro Tool'!$B$14,0,IF(M21&lt;'GPS Anthro Tool'!$B$15,0,IF($I$3=0,0,M21))))))</f>
        <v>0</v>
      </c>
      <c r="N3" s="459"/>
      <c r="O3" s="458">
        <f>IF('GPS Anthro Tool'!$B$6=0,0,IF('GPS Anthro Tool'!$B$11=0,0,IF('China Child Data'!$G3=0,0,IF(O21&gt;'GPS Anthro Tool'!$B$14,0,IF(O21&lt;'GPS Anthro Tool'!$B$15,0,IF($G$3=0,0,O21))))))</f>
        <v>0</v>
      </c>
      <c r="P3" s="458">
        <f>IF('GPS Anthro Tool'!$B$6=0,0,IF('GPS Anthro Tool'!$B$10=0,0,IF('China Child Data'!$H3=0,0,IF(P21&gt;'GPS Anthro Tool'!$B$14,0,IF(P21&lt;'GPS Anthro Tool'!$B$15,0,IF($H$3=0,0,P21))))))</f>
        <v>0</v>
      </c>
      <c r="Q3" s="458">
        <f>IF('GPS Anthro Tool'!$B$6=0,0,IF('GPS Anthro Tool'!$B$9=0,0,IF('China Child Data'!$I3=0,0,IF(Q21&gt;'GPS Anthro Tool'!$B$14,0,IF(Q21&lt;'GPS Anthro Tool'!$B$15,0,IF($I$3=0,0,Q21))))))</f>
        <v>0</v>
      </c>
      <c r="S3" s="173">
        <f>IF('GPS Anthro Tool'!$B$6=0,0,IF('GPS Anthro Tool'!$B$11=0,0,IF('China Child Data'!$G3=0,0,IF(S21&gt;'GPS Anthro Tool'!$B$14,0,IF(S21&lt;'GPS Anthro Tool'!$B$15,0,IF($G$3=0,0,S21))))))</f>
        <v>0</v>
      </c>
      <c r="T3" s="173">
        <f>IF('GPS Anthro Tool'!$B$6=0,0,IF('GPS Anthro Tool'!$B$10=0,0,IF('China Child Data'!$H3=0,0,IF(T21&gt;'GPS Anthro Tool'!$B$14,0,IF(T21&lt;'GPS Anthro Tool'!$B$15,0,IF($H$3=0,0,T21))))))</f>
        <v>0</v>
      </c>
      <c r="U3" s="173">
        <f>IF('GPS Anthro Tool'!$B$6=0,0,IF('GPS Anthro Tool'!$B$9=0,0,IF('China Child Data'!$I3=0,0,IF(U21&gt;'GPS Anthro Tool'!$B$14,0,IF(U21&lt;'GPS Anthro Tool'!$B$15,0,IF($I$3=0,0,U21))))))</f>
        <v>0</v>
      </c>
      <c r="W3" s="173">
        <f>IF('GPS Anthro Tool'!$B$6=0,0,IF('GPS Anthro Tool'!$B$11=0,0,IF('China Child Data'!$G3=0,0,IF(W21&gt;'GPS Anthro Tool'!$B$14,0,IF(W21&lt;'GPS Anthro Tool'!$B$15,0,IF($G$3=0,0,W21))))))</f>
        <v>0</v>
      </c>
      <c r="X3" s="173">
        <f>IF('GPS Anthro Tool'!$B$6=0,0,IF('GPS Anthro Tool'!$B$10=0,0,IF('China Child Data'!$H3=0,0,IF(X21&gt;'GPS Anthro Tool'!$B$14,0,IF(X21&lt;'GPS Anthro Tool'!$B$15,0,IF($H$3=0,0,X21))))))</f>
        <v>0</v>
      </c>
      <c r="Y3" s="173">
        <f>IF('GPS Anthro Tool'!$B$6=0,0,IF('GPS Anthro Tool'!$B$9=0,0,IF('China Child Data'!$I3=0,0,IF(Y21&gt;'GPS Anthro Tool'!$B$14,0,IF(Y21&lt;'GPS Anthro Tool'!$B$15,0,IF($I$3=0,0,Y21))))))</f>
        <v>0</v>
      </c>
      <c r="Z3" s="283">
        <v>0</v>
      </c>
      <c r="AA3" s="173">
        <f>IF('GPS Anthro Tool'!$B$6=0,0,IF('GPS Anthro Tool'!$B$11=0,0,IF('China Child Data'!$G3=0,0,IF(AA21&gt;'GPS Anthro Tool'!$B$14,0,IF(AA21&lt;'GPS Anthro Tool'!$B$15,0,IF($G$3=0,0,AA21))))))</f>
        <v>0</v>
      </c>
      <c r="AB3" s="173">
        <f>IF('GPS Anthro Tool'!$B$6=0,0,IF('GPS Anthro Tool'!$B$10=0,0,IF('China Child Data'!$H3=0,0,IF(AB21&gt;'GPS Anthro Tool'!$B$14,0,IF(AB21&lt;'GPS Anthro Tool'!$B$15,0,IF($H$3=0,0,AB21))))))</f>
        <v>0</v>
      </c>
      <c r="AC3" s="173">
        <f>IF('GPS Anthro Tool'!$B$6=0,0,IF('GPS Anthro Tool'!$B$9=0,0,IF('China Child Data'!$I3=0,0,IF(AC21&gt;'GPS Anthro Tool'!$B$14,0,IF(AC21&lt;'GPS Anthro Tool'!$B$15,0,IF($I$3=0,0,AC21))))))</f>
        <v>0</v>
      </c>
      <c r="AE3" s="173">
        <f>IF('GPS Anthro Tool'!$B$6=0,0,IF('GPS Anthro Tool'!$B$11=0,0,IF('China Child Data'!$G3=0,0,IF(AE21&gt;'GPS Anthro Tool'!$B$14,0,IF(AE21&lt;'GPS Anthro Tool'!$B$15,0,IF($G$3=0,0,AE21))))))</f>
        <v>0</v>
      </c>
      <c r="AF3" s="173">
        <f>IF('GPS Anthro Tool'!$B$6=0,0,IF('GPS Anthro Tool'!$B$10=0,0,IF('China Child Data'!$H3=0,0,IF(AF21&gt;'GPS Anthro Tool'!$B$14,0,IF(AF21&lt;'GPS Anthro Tool'!$B$15,0,IF($H$3=0,0,AF21))))))</f>
        <v>0</v>
      </c>
      <c r="AG3" s="173">
        <f>IF('GPS Anthro Tool'!$B$6=0,0,IF('GPS Anthro Tool'!$B$9=0,0,IF('China Child Data'!$I3=0,0,IF(AG21&gt;'GPS Anthro Tool'!$B$14,0,IF(AG21&lt;'GPS Anthro Tool'!$B$15,0,IF($I$3=0,0,AG21))))))</f>
        <v>0</v>
      </c>
      <c r="AI3" s="173">
        <f>IF('GPS Anthro Tool'!$B$6=0,0,IF('GPS Anthro Tool'!$B$11=0,0,IF('China Child Data'!$G3=0,0,IF(AI21&gt;'GPS Anthro Tool'!$B$14,0,IF(AI21&lt;'GPS Anthro Tool'!$B$15,0,IF($G$3=0,0,AI21))))))</f>
        <v>0</v>
      </c>
      <c r="AJ3" s="173">
        <f>IF('GPS Anthro Tool'!$B$6=0,0,IF('GPS Anthro Tool'!$B$10=0,0,IF('China Child Data'!$H3=0,0,IF(AJ21&gt;'GPS Anthro Tool'!$B$14,0,IF(AJ21&lt;'GPS Anthro Tool'!$B$15,0,IF($H$3=0,0,AJ21))))))</f>
        <v>0</v>
      </c>
      <c r="AK3" s="173">
        <f>IF('GPS Anthro Tool'!$B$6=0,0,IF('GPS Anthro Tool'!$B$9=0,0,IF('China Child Data'!$I3=0,0,IF(AK21&gt;'GPS Anthro Tool'!$B$14,0,IF(AK21&lt;'GPS Anthro Tool'!$B$15,0,IF($I$3=0,0,AK21))))))</f>
        <v>0</v>
      </c>
      <c r="AM3" s="173">
        <f>IF('GPS Anthro Tool'!$B$6=0,0,IF('GPS Anthro Tool'!$B$11=0,0,IF('China Child Data'!$G3=0,0,IF(AM21&gt;'GPS Anthro Tool'!$B$14,0,IF(AM21&lt;'GPS Anthro Tool'!$B$15,0,IF($G$3=0,0,-AM21))))))</f>
        <v>0</v>
      </c>
      <c r="AN3" s="173">
        <f>IF('GPS Anthro Tool'!$B$6=0,0,IF('GPS Anthro Tool'!$B$10=0,0,IF('China Child Data'!$H3=0,0,IF(AN21&gt;'GPS Anthro Tool'!$B$14,0,IF(AN21&lt;'GPS Anthro Tool'!$B$15,0,IF($H$3=0,0,-AN21))))))</f>
        <v>0</v>
      </c>
      <c r="AO3" s="173">
        <f>IF('GPS Anthro Tool'!$B$6=0,0,IF('GPS Anthro Tool'!$B$9=0,0,IF('China Child Data'!$I3=0,0,IF(AO21&gt;'GPS Anthro Tool'!$B$14,0,IF(AO21&lt;'GPS Anthro Tool'!$B$15,0,IF($I$3=0,0,-AO21))))))</f>
        <v>0</v>
      </c>
      <c r="AQ3" s="173">
        <f>IF('GPS Anthro Tool'!$B$6=0,0,IF('GPS Anthro Tool'!$B$11=0,0,IF('China Child Data'!$G3=0,0,IF(AQ21&gt;'GPS Anthro Tool'!$B$14,0,IF(AQ21&lt;'GPS Anthro Tool'!$B$15,0,IF($G$3=0,0,AQ21))))))</f>
        <v>0</v>
      </c>
      <c r="AR3" s="173">
        <f>IF('GPS Anthro Tool'!$B$6=0,0,IF('GPS Anthro Tool'!$B$10=0,0,IF('China Child Data'!$H3=0,0,IF(AR21&gt;'GPS Anthro Tool'!$B$14,0,IF(AR21&lt;'GPS Anthro Tool'!$B$15,0,IF($H$3=0,0,AR21))))))</f>
        <v>0</v>
      </c>
      <c r="AS3" s="173">
        <f>IF('GPS Anthro Tool'!$B$6=0,0,IF('GPS Anthro Tool'!$B$9=0,0,IF('China Child Data'!$I3=0,0,IF(AS21&gt;'GPS Anthro Tool'!$B$14,0,IF(AS21&lt;'GPS Anthro Tool'!$B$15,0,IF($I$3=0,0,AS21))))))</f>
        <v>0</v>
      </c>
      <c r="AU3" s="173">
        <f>IF('GPS Anthro Tool'!$B$6=0,0,IF('GPS Anthro Tool'!$B$11=0,0,IF('China Child Data'!$G3=0,0,IF(AU21&gt;'GPS Anthro Tool'!$B$14,0,IF(AU21&lt;'GPS Anthro Tool'!$B$15,0,IF($G$3=0,0,AU21))))))</f>
        <v>0</v>
      </c>
      <c r="AV3" s="173">
        <f>IF('GPS Anthro Tool'!$B$6=0,0,IF('GPS Anthro Tool'!$B$10=0,0,IF('China Child Data'!$H3=0,0,IF(AV21&gt;'GPS Anthro Tool'!$B$14,0,IF(AV21&lt;'GPS Anthro Tool'!$B$15,0,IF($H$3=0,0,AV21))))))</f>
        <v>0</v>
      </c>
      <c r="AW3" s="173">
        <f>IF('GPS Anthro Tool'!$B$6=0,0,IF('GPS Anthro Tool'!$B$9=0,0,IF('China Child Data'!$I3=0,0,IF(AW21&gt;'GPS Anthro Tool'!$B$14,0,IF(AW21&lt;'GPS Anthro Tool'!$B$15,0,IF($I$3=0,0,AW21))))))</f>
        <v>0</v>
      </c>
      <c r="AY3" s="173">
        <f>IF('GPS Anthro Tool'!$B$6=0,0,IF('GPS Anthro Tool'!$B$11=0,0,IF('China Child Data'!$G3=0,0,IF(AY21&gt;'GPS Anthro Tool'!$B$14,0,IF(AY21&lt;'GPS Anthro Tool'!$B$15,0,IF($G$3=0,0,AY21))))))</f>
        <v>0</v>
      </c>
      <c r="AZ3" s="173">
        <f>IF('GPS Anthro Tool'!$B$6=0,0,IF('GPS Anthro Tool'!$B$10=0,0,IF('China Child Data'!$H3=0,0,IF(AZ21&gt;'GPS Anthro Tool'!$B$14,0,IF(AZ21&lt;'GPS Anthro Tool'!$B$15,0,IF($H$3=0,0,AZ21))))))</f>
        <v>0</v>
      </c>
      <c r="BA3" s="173">
        <f>IF('GPS Anthro Tool'!$B$6=0,0,IF('GPS Anthro Tool'!$B$9=0,0,IF('China Child Data'!$I3=0,0,IF(BA21&gt;'GPS Anthro Tool'!$B$14,0,IF(BA21&lt;'GPS Anthro Tool'!$B$15,0,IF($I$3=0,0,BA21))))))</f>
        <v>0</v>
      </c>
      <c r="BC3" s="173">
        <f>IF('GPS Anthro Tool'!$B$6=0,0,IF('GPS Anthro Tool'!$B$11=0,0,IF('China Child Data'!$G3=0,0,IF(BC21&gt;'GPS Anthro Tool'!$B$14,0,IF(BC21&lt;'GPS Anthro Tool'!$B$15,0,IF($G$3=0,0,BC21))))))</f>
        <v>0</v>
      </c>
      <c r="BD3" s="173">
        <f>IF('GPS Anthro Tool'!$B$6=0,0,IF('GPS Anthro Tool'!$B$10=0,0,IF('China Child Data'!$H3=0,0,IF(BD21&gt;'GPS Anthro Tool'!$B$14,0,IF(BD21&lt;'GPS Anthro Tool'!$B$15,0,IF($H$3=0,0,BD21))))))</f>
        <v>0</v>
      </c>
      <c r="BE3" s="173">
        <f>IF('GPS Anthro Tool'!$B$6=0,0,IF('GPS Anthro Tool'!$B$9=0,0,IF('China Child Data'!$I3=0,0,IF(BE21&gt;'GPS Anthro Tool'!$B$14,0,IF(BE21&lt;'GPS Anthro Tool'!$B$15,0,IF($I$3=0,0,BE21))))))</f>
        <v>0</v>
      </c>
      <c r="BF3" s="208"/>
      <c r="BG3" s="157">
        <f t="shared" ref="BG3:BI16" si="0">-AI3</f>
        <v>0</v>
      </c>
      <c r="BH3" s="157">
        <f t="shared" si="0"/>
        <v>0</v>
      </c>
      <c r="BI3" s="157">
        <f t="shared" si="0"/>
        <v>0</v>
      </c>
      <c r="BJ3" s="213">
        <v>0</v>
      </c>
      <c r="BK3" s="157">
        <f t="shared" ref="BK3:BM16" si="1">-S3/2</f>
        <v>0</v>
      </c>
      <c r="BL3" s="157">
        <f t="shared" si="1"/>
        <v>0</v>
      </c>
      <c r="BM3" s="157">
        <f t="shared" si="1"/>
        <v>0</v>
      </c>
      <c r="BN3" s="213">
        <v>0</v>
      </c>
      <c r="BO3" s="157">
        <f t="shared" ref="BO3:BQ16" si="2">S3/2</f>
        <v>0</v>
      </c>
      <c r="BP3" s="157">
        <f t="shared" si="2"/>
        <v>0</v>
      </c>
      <c r="BQ3" s="157">
        <f t="shared" si="2"/>
        <v>0</v>
      </c>
      <c r="BR3" s="213"/>
      <c r="BS3" s="167">
        <f t="shared" ref="BS3:BU16" si="3">-W3/2</f>
        <v>0</v>
      </c>
      <c r="BT3" s="167">
        <f t="shared" si="3"/>
        <v>0</v>
      </c>
      <c r="BU3" s="167">
        <f t="shared" si="3"/>
        <v>0</v>
      </c>
      <c r="BV3" s="213">
        <v>0</v>
      </c>
      <c r="BW3" s="168">
        <f t="shared" ref="BW3:BY16" si="4">W3/2</f>
        <v>0</v>
      </c>
      <c r="BX3" s="168">
        <f t="shared" si="4"/>
        <v>0</v>
      </c>
      <c r="BY3" s="168">
        <f t="shared" si="4"/>
        <v>0</v>
      </c>
      <c r="BZ3" s="210"/>
      <c r="CA3" s="169">
        <f t="shared" ref="CA3:CC16" si="5">-AE3/2</f>
        <v>0</v>
      </c>
      <c r="CB3" s="169">
        <f t="shared" si="5"/>
        <v>0</v>
      </c>
      <c r="CC3" s="169">
        <f t="shared" si="5"/>
        <v>0</v>
      </c>
      <c r="CD3" s="210"/>
      <c r="CE3" s="170">
        <f t="shared" ref="CE3:CG16" si="6">AE3/2</f>
        <v>0</v>
      </c>
      <c r="CF3" s="170">
        <f t="shared" si="6"/>
        <v>0</v>
      </c>
      <c r="CG3" s="170">
        <f t="shared" si="6"/>
        <v>0</v>
      </c>
      <c r="CH3" s="210"/>
    </row>
    <row r="4" spans="1:86">
      <c r="A4" s="426" t="s">
        <v>490</v>
      </c>
      <c r="B4" s="153">
        <v>1</v>
      </c>
      <c r="C4" s="172">
        <f>IF('GPS Anthro Tool'!$B$6=0,0,IF('GPS Anthro Tool'!$B$6=0,0,IF('GPS Anthro Tool'!$B$11=0,0,IF('China Child Data'!$B4=0,0,IF(C22&gt;'GPS Anthro Tool'!$B$16,0,IF(C22&lt;'GPS Anthro Tool'!$B$17,0,C22))))))</f>
        <v>0</v>
      </c>
      <c r="D4" s="172">
        <f>IF('GPS Anthro Tool'!$B$6=0,0,IF('GPS Anthro Tool'!$B$6=0,0,IF('GPS Anthro Tool'!$B$10=0,0,IF('China Child Data'!$B4=0,0,IF(D22&gt;'GPS Anthro Tool'!$B$16,0,IF(D22&lt;'GPS Anthro Tool'!$B$17,0,D22))))))</f>
        <v>0</v>
      </c>
      <c r="E4" s="172">
        <f>IF('GPS Anthro Tool'!$B$6=0,0,IF('GPS Anthro Tool'!$B$6=0,0,IF('GPS Anthro Tool'!$B$9=0,0,IF('China Child Data'!$B4=0,0,IF(E22&gt;'GPS Anthro Tool'!$B$16,0,IF(E22&lt;'GPS Anthro Tool'!$B$17,0,E22))))))</f>
        <v>0</v>
      </c>
      <c r="G4" s="173">
        <f>IF('GPS Anthro Tool'!$B$6=0,0,IF('GPS Anthro Tool'!$B$11=0,0,IF('China Child Data'!$B4=0,0,IF(G22&gt;'GPS Anthro Tool'!$B$14,0,IF(G22&lt;'GPS Anthro Tool'!$B$15,0,G22)))))</f>
        <v>0</v>
      </c>
      <c r="H4" s="173">
        <f>IF('GPS Anthro Tool'!$B$6=0,0,IF('GPS Anthro Tool'!$B$10=0,0,IF('China Child Data'!$B4=0,0,IF(H22&gt;'GPS Anthro Tool'!$B$14,0,IF(H22&lt;'GPS Anthro Tool'!$B$15,0,H22)))))</f>
        <v>0</v>
      </c>
      <c r="I4" s="173">
        <f>IF('GPS Anthro Tool'!$B$6=0,0,IF('GPS Anthro Tool'!$B$9=0,0,IF('China Child Data'!$B4=0,0,IF(I22&gt;'GPS Anthro Tool'!$B$14,0,IF(I22&lt;'GPS Anthro Tool'!$B$15,0,I22)))))</f>
        <v>0</v>
      </c>
      <c r="K4" s="458">
        <f>IF('GPS Anthro Tool'!$B$6=0,0,IF('GPS Anthro Tool'!$B$11=0,0,IF('China Child Data'!$G4=0,0,IF(K22&gt;'GPS Anthro Tool'!$B$14,0,IF(K22&lt;'GPS Anthro Tool'!$B$15,0,IF($G$3=0,0,K22))))))</f>
        <v>0</v>
      </c>
      <c r="L4" s="458">
        <f>IF('GPS Anthro Tool'!$B$6=0,0,IF('GPS Anthro Tool'!$B$10=0,0,IF('China Child Data'!$H4=0,0,IF(L22&gt;'GPS Anthro Tool'!$B$14,0,IF(L22&lt;'GPS Anthro Tool'!$B$15,0,IF($H$3=0,0,L22))))))</f>
        <v>0</v>
      </c>
      <c r="M4" s="458">
        <f>IF('GPS Anthro Tool'!$B$6=0,0,IF('GPS Anthro Tool'!$B$9=0,0,IF('China Child Data'!$I4=0,0,IF(M22&gt;'GPS Anthro Tool'!$B$14,0,IF(M22&lt;'GPS Anthro Tool'!$B$15,0,IF($I$3=0,0,M22))))))</f>
        <v>0</v>
      </c>
      <c r="N4" s="459"/>
      <c r="O4" s="458">
        <f>IF('GPS Anthro Tool'!$B$6=0,0,IF('GPS Anthro Tool'!$B$11=0,0,IF('China Child Data'!$G4=0,0,IF(O22&gt;'GPS Anthro Tool'!$B$14,0,IF(O22&lt;'GPS Anthro Tool'!$B$15,0,IF($G$3=0,0,O22))))))</f>
        <v>0</v>
      </c>
      <c r="P4" s="458">
        <f>IF('GPS Anthro Tool'!$B$6=0,0,IF('GPS Anthro Tool'!$B$10=0,0,IF('China Child Data'!$H4=0,0,IF(P22&gt;'GPS Anthro Tool'!$B$14,0,IF(P22&lt;'GPS Anthro Tool'!$B$15,0,IF($H$3=0,0,P22))))))</f>
        <v>0</v>
      </c>
      <c r="Q4" s="458">
        <f>IF('GPS Anthro Tool'!$B$6=0,0,IF('GPS Anthro Tool'!$B$9=0,0,IF('China Child Data'!$I4=0,0,IF(Q22&gt;'GPS Anthro Tool'!$B$14,0,IF(Q22&lt;'GPS Anthro Tool'!$B$15,0,IF($I$3=0,0,Q22))))))</f>
        <v>0</v>
      </c>
      <c r="S4" s="173">
        <f>IF('GPS Anthro Tool'!$B$6=0,0,IF('GPS Anthro Tool'!$B$11=0,0,IF('China Child Data'!$G4=0,0,IF(S22&gt;'GPS Anthro Tool'!$B$14,0,IF(S22&lt;'GPS Anthro Tool'!$B$15,0,IF($G$3=0,0,S22))))))</f>
        <v>0</v>
      </c>
      <c r="T4" s="173">
        <f>IF('GPS Anthro Tool'!$B$6=0,0,IF('GPS Anthro Tool'!$B$10=0,0,IF('China Child Data'!$H4=0,0,IF(T22&gt;'GPS Anthro Tool'!$B$14,0,IF(T22&lt;'GPS Anthro Tool'!$B$15,0,IF($H$3=0,0,T22))))))</f>
        <v>0</v>
      </c>
      <c r="U4" s="173">
        <f>IF('GPS Anthro Tool'!$B$6=0,0,IF('GPS Anthro Tool'!$B$9=0,0,IF('China Child Data'!$I4=0,0,IF(U22&gt;'GPS Anthro Tool'!$B$14,0,IF(U22&lt;'GPS Anthro Tool'!$B$15,0,IF($I$3=0,0,U22))))))</f>
        <v>0</v>
      </c>
      <c r="W4" s="173">
        <f>IF('GPS Anthro Tool'!$B$6=0,0,IF('GPS Anthro Tool'!$B$11=0,0,IF('China Child Data'!$G4=0,0,IF(W22&gt;'GPS Anthro Tool'!$B$14,0,IF(W22&lt;'GPS Anthro Tool'!$B$15,0,IF($G$3=0,0,W22))))))</f>
        <v>0</v>
      </c>
      <c r="X4" s="173">
        <f>IF('GPS Anthro Tool'!$B$6=0,0,IF('GPS Anthro Tool'!$B$10=0,0,IF('China Child Data'!$H4=0,0,IF(X22&gt;'GPS Anthro Tool'!$B$14,0,IF(X22&lt;'GPS Anthro Tool'!$B$15,0,IF($H$3=0,0,X22))))))</f>
        <v>0</v>
      </c>
      <c r="Y4" s="173">
        <f>IF('GPS Anthro Tool'!$B$6=0,0,IF('GPS Anthro Tool'!$B$9=0,0,IF('China Child Data'!$I4=0,0,IF(Y22&gt;'GPS Anthro Tool'!$B$14,0,IF(Y22&lt;'GPS Anthro Tool'!$B$15,0,IF($I$3=0,0,Y22))))))</f>
        <v>0</v>
      </c>
      <c r="Z4" s="283">
        <v>0</v>
      </c>
      <c r="AA4" s="173">
        <f>IF('GPS Anthro Tool'!$B$6=0,0,IF('GPS Anthro Tool'!$B$11=0,0,IF('China Child Data'!$G4=0,0,IF(AA22&gt;'GPS Anthro Tool'!$B$14,0,IF(AA22&lt;'GPS Anthro Tool'!$B$15,0,IF($G$3=0,0,AA22))))))</f>
        <v>0</v>
      </c>
      <c r="AB4" s="173">
        <f>IF('GPS Anthro Tool'!$B$6=0,0,IF('GPS Anthro Tool'!$B$10=0,0,IF('China Child Data'!$H4=0,0,IF(AB22&gt;'GPS Anthro Tool'!$B$14,0,IF(AB22&lt;'GPS Anthro Tool'!$B$15,0,IF($H$3=0,0,AB22))))))</f>
        <v>0</v>
      </c>
      <c r="AC4" s="173">
        <f>IF('GPS Anthro Tool'!$B$6=0,0,IF('GPS Anthro Tool'!$B$9=0,0,IF('China Child Data'!$I4=0,0,IF(AC22&gt;'GPS Anthro Tool'!$B$14,0,IF(AC22&lt;'GPS Anthro Tool'!$B$15,0,IF($I$3=0,0,AC22))))))</f>
        <v>0</v>
      </c>
      <c r="AE4" s="173">
        <f>IF('GPS Anthro Tool'!$B$6=0,0,IF('GPS Anthro Tool'!$B$11=0,0,IF('China Child Data'!$G4=0,0,IF(AE22&gt;'GPS Anthro Tool'!$B$14,0,IF(AE22&lt;'GPS Anthro Tool'!$B$15,0,IF($G$3=0,0,AE22))))))</f>
        <v>0</v>
      </c>
      <c r="AF4" s="173">
        <f>IF('GPS Anthro Tool'!$B$6=0,0,IF('GPS Anthro Tool'!$B$10=0,0,IF('China Child Data'!$H4=0,0,IF(AF22&gt;'GPS Anthro Tool'!$B$14,0,IF(AF22&lt;'GPS Anthro Tool'!$B$15,0,IF($H$3=0,0,AF22))))))</f>
        <v>0</v>
      </c>
      <c r="AG4" s="173">
        <f>IF('GPS Anthro Tool'!$B$6=0,0,IF('GPS Anthro Tool'!$B$9=0,0,IF('China Child Data'!$I4=0,0,IF(AG22&gt;'GPS Anthro Tool'!$B$14,0,IF(AG22&lt;'GPS Anthro Tool'!$B$15,0,IF($I$3=0,0,AG22))))))</f>
        <v>0</v>
      </c>
      <c r="AI4" s="173">
        <f>IF('GPS Anthro Tool'!$B$6=0,0,IF('GPS Anthro Tool'!$B$11=0,0,IF('China Child Data'!$G4=0,0,IF(AI22&gt;'GPS Anthro Tool'!$B$14,0,IF(AI22&lt;'GPS Anthro Tool'!$B$15,0,IF($G$3=0,0,AI22))))))</f>
        <v>0</v>
      </c>
      <c r="AJ4" s="173">
        <f>IF('GPS Anthro Tool'!$B$6=0,0,IF('GPS Anthro Tool'!$B$10=0,0,IF('China Child Data'!$H4=0,0,IF(AJ22&gt;'GPS Anthro Tool'!$B$14,0,IF(AJ22&lt;'GPS Anthro Tool'!$B$15,0,IF($H$3=0,0,AJ22))))))</f>
        <v>0</v>
      </c>
      <c r="AK4" s="173">
        <f>IF('GPS Anthro Tool'!$B$6=0,0,IF('GPS Anthro Tool'!$B$9=0,0,IF('China Child Data'!$I4=0,0,IF(AK22&gt;'GPS Anthro Tool'!$B$14,0,IF(AK22&lt;'GPS Anthro Tool'!$B$15,0,IF($I$3=0,0,AK22))))))</f>
        <v>0</v>
      </c>
      <c r="AM4" s="173">
        <f>IF('GPS Anthro Tool'!$B$6=0,0,IF('GPS Anthro Tool'!$B$11=0,0,IF('China Child Data'!$G4=0,0,IF(AM22&gt;'GPS Anthro Tool'!$B$14,0,IF(AM22&lt;'GPS Anthro Tool'!$B$15,0,IF($G$3=0,0,-AM22))))))</f>
        <v>0</v>
      </c>
      <c r="AN4" s="173">
        <f>IF('GPS Anthro Tool'!$B$6=0,0,IF('GPS Anthro Tool'!$B$10=0,0,IF('China Child Data'!$H4=0,0,IF(AN22&gt;'GPS Anthro Tool'!$B$14,0,IF(AN22&lt;'GPS Anthro Tool'!$B$15,0,IF($H$3=0,0,-AN22))))))</f>
        <v>0</v>
      </c>
      <c r="AO4" s="173">
        <f>IF('GPS Anthro Tool'!$B$6=0,0,IF('GPS Anthro Tool'!$B$9=0,0,IF('China Child Data'!$I4=0,0,IF(AO22&gt;'GPS Anthro Tool'!$B$14,0,IF(AO22&lt;'GPS Anthro Tool'!$B$15,0,IF($I$3=0,0,-AO22))))))</f>
        <v>0</v>
      </c>
      <c r="AQ4" s="173">
        <f>IF('GPS Anthro Tool'!$B$6=0,0,IF('GPS Anthro Tool'!$B$11=0,0,IF('China Child Data'!$G4=0,0,IF(AQ22&gt;'GPS Anthro Tool'!$B$14,0,IF(AQ22&lt;'GPS Anthro Tool'!$B$15,0,IF($G$3=0,0,AQ22))))))</f>
        <v>0</v>
      </c>
      <c r="AR4" s="173">
        <f>IF('GPS Anthro Tool'!$B$6=0,0,IF('GPS Anthro Tool'!$B$10=0,0,IF('China Child Data'!$H4=0,0,IF(AR22&gt;'GPS Anthro Tool'!$B$14,0,IF(AR22&lt;'GPS Anthro Tool'!$B$15,0,IF($H$3=0,0,AR22))))))</f>
        <v>0</v>
      </c>
      <c r="AS4" s="173">
        <f>IF('GPS Anthro Tool'!$B$6=0,0,IF('GPS Anthro Tool'!$B$9=0,0,IF('China Child Data'!$I4=0,0,IF(AS22&gt;'GPS Anthro Tool'!$B$14,0,IF(AS22&lt;'GPS Anthro Tool'!$B$15,0,IF($I$3=0,0,AS22))))))</f>
        <v>0</v>
      </c>
      <c r="AU4" s="173">
        <f>IF('GPS Anthro Tool'!$B$6=0,0,IF('GPS Anthro Tool'!$B$11=0,0,IF('China Child Data'!$G4=0,0,IF(AU22&gt;'GPS Anthro Tool'!$B$14,0,IF(AU22&lt;'GPS Anthro Tool'!$B$15,0,IF($G$3=0,0,AU22))))))</f>
        <v>0</v>
      </c>
      <c r="AV4" s="173">
        <f>IF('GPS Anthro Tool'!$B$6=0,0,IF('GPS Anthro Tool'!$B$10=0,0,IF('China Child Data'!$H4=0,0,IF(AV22&gt;'GPS Anthro Tool'!$B$14,0,IF(AV22&lt;'GPS Anthro Tool'!$B$15,0,IF($H$3=0,0,AV22))))))</f>
        <v>0</v>
      </c>
      <c r="AW4" s="173">
        <f>IF('GPS Anthro Tool'!$B$6=0,0,IF('GPS Anthro Tool'!$B$9=0,0,IF('China Child Data'!$I4=0,0,IF(AW22&gt;'GPS Anthro Tool'!$B$14,0,IF(AW22&lt;'GPS Anthro Tool'!$B$15,0,IF($I$3=0,0,AW22))))))</f>
        <v>0</v>
      </c>
      <c r="AY4" s="173">
        <f>IF('GPS Anthro Tool'!$B$6=0,0,IF('GPS Anthro Tool'!$B$11=0,0,IF('China Child Data'!$G4=0,0,IF(AY22&gt;'GPS Anthro Tool'!$B$14,0,IF(AY22&lt;'GPS Anthro Tool'!$B$15,0,IF($G$3=0,0,AY22))))))</f>
        <v>0</v>
      </c>
      <c r="AZ4" s="173">
        <f>IF('GPS Anthro Tool'!$B$6=0,0,IF('GPS Anthro Tool'!$B$10=0,0,IF('China Child Data'!$H4=0,0,IF(AZ22&gt;'GPS Anthro Tool'!$B$14,0,IF(AZ22&lt;'GPS Anthro Tool'!$B$15,0,IF($H$3=0,0,AZ22))))))</f>
        <v>0</v>
      </c>
      <c r="BA4" s="173">
        <f>IF('GPS Anthro Tool'!$B$6=0,0,IF('GPS Anthro Tool'!$B$9=0,0,IF('China Child Data'!$I4=0,0,IF(BA22&gt;'GPS Anthro Tool'!$B$14,0,IF(BA22&lt;'GPS Anthro Tool'!$B$15,0,IF($I$3=0,0,BA22))))))</f>
        <v>0</v>
      </c>
      <c r="BC4" s="173">
        <f>IF('GPS Anthro Tool'!$B$6=0,0,IF('GPS Anthro Tool'!$B$11=0,0,IF('China Child Data'!$G4=0,0,IF(BC22&gt;'GPS Anthro Tool'!$B$14,0,IF(BC22&lt;'GPS Anthro Tool'!$B$15,0,IF($G$3=0,0,BC22))))))</f>
        <v>0</v>
      </c>
      <c r="BD4" s="173">
        <f>IF('GPS Anthro Tool'!$B$6=0,0,IF('GPS Anthro Tool'!$B$10=0,0,IF('China Child Data'!$H4=0,0,IF(BD22&gt;'GPS Anthro Tool'!$B$14,0,IF(BD22&lt;'GPS Anthro Tool'!$B$15,0,IF($H$3=0,0,BD22))))))</f>
        <v>0</v>
      </c>
      <c r="BE4" s="173">
        <f>IF('GPS Anthro Tool'!$B$6=0,0,IF('GPS Anthro Tool'!$B$9=0,0,IF('China Child Data'!$I4=0,0,IF(BE22&gt;'GPS Anthro Tool'!$B$14,0,IF(BE22&lt;'GPS Anthro Tool'!$B$15,0,IF($I$3=0,0,BE22))))))</f>
        <v>0</v>
      </c>
      <c r="BF4" s="208"/>
      <c r="BG4" s="157">
        <f t="shared" si="0"/>
        <v>0</v>
      </c>
      <c r="BH4" s="157">
        <f t="shared" si="0"/>
        <v>0</v>
      </c>
      <c r="BI4" s="157">
        <f t="shared" si="0"/>
        <v>0</v>
      </c>
      <c r="BJ4" s="213">
        <v>0</v>
      </c>
      <c r="BK4" s="157">
        <f t="shared" si="1"/>
        <v>0</v>
      </c>
      <c r="BL4" s="157">
        <f t="shared" si="1"/>
        <v>0</v>
      </c>
      <c r="BM4" s="157">
        <f t="shared" si="1"/>
        <v>0</v>
      </c>
      <c r="BN4" s="213">
        <v>0</v>
      </c>
      <c r="BO4" s="157">
        <f t="shared" si="2"/>
        <v>0</v>
      </c>
      <c r="BP4" s="157">
        <f t="shared" si="2"/>
        <v>0</v>
      </c>
      <c r="BQ4" s="157">
        <f t="shared" si="2"/>
        <v>0</v>
      </c>
      <c r="BR4" s="213"/>
      <c r="BS4" s="167">
        <f t="shared" si="3"/>
        <v>0</v>
      </c>
      <c r="BT4" s="167">
        <f t="shared" si="3"/>
        <v>0</v>
      </c>
      <c r="BU4" s="167">
        <f t="shared" si="3"/>
        <v>0</v>
      </c>
      <c r="BV4" s="213">
        <v>0</v>
      </c>
      <c r="BW4" s="168">
        <f t="shared" si="4"/>
        <v>0</v>
      </c>
      <c r="BX4" s="168">
        <f t="shared" si="4"/>
        <v>0</v>
      </c>
      <c r="BY4" s="168">
        <f t="shared" si="4"/>
        <v>0</v>
      </c>
      <c r="BZ4" s="210"/>
      <c r="CA4" s="169">
        <f t="shared" si="5"/>
        <v>0</v>
      </c>
      <c r="CB4" s="169">
        <f t="shared" si="5"/>
        <v>0</v>
      </c>
      <c r="CC4" s="169">
        <f t="shared" si="5"/>
        <v>0</v>
      </c>
      <c r="CD4" s="210"/>
      <c r="CE4" s="170">
        <f t="shared" si="6"/>
        <v>0</v>
      </c>
      <c r="CF4" s="170">
        <f t="shared" si="6"/>
        <v>0</v>
      </c>
      <c r="CG4" s="170">
        <f t="shared" si="6"/>
        <v>0</v>
      </c>
      <c r="CH4" s="210"/>
    </row>
    <row r="5" spans="1:86">
      <c r="A5" s="426" t="s">
        <v>491</v>
      </c>
      <c r="B5" s="153">
        <v>1</v>
      </c>
      <c r="C5" s="172">
        <f>IF('GPS Anthro Tool'!$B$6=0,0,IF('GPS Anthro Tool'!$B$6=0,0,IF('GPS Anthro Tool'!$B$11=0,0,IF('China Child Data'!$B5=0,0,IF(C23&gt;'GPS Anthro Tool'!$B$16,0,IF(C23&lt;'GPS Anthro Tool'!$B$17,0,C23))))))</f>
        <v>0</v>
      </c>
      <c r="D5" s="172">
        <f>IF('GPS Anthro Tool'!$B$6=0,0,IF('GPS Anthro Tool'!$B$6=0,0,IF('GPS Anthro Tool'!$B$10=0,0,IF('China Child Data'!$B5=0,0,IF(D23&gt;'GPS Anthro Tool'!$B$16,0,IF(D23&lt;'GPS Anthro Tool'!$B$17,0,D23))))))</f>
        <v>0</v>
      </c>
      <c r="E5" s="172">
        <f>IF('GPS Anthro Tool'!$B$6=0,0,IF('GPS Anthro Tool'!$B$6=0,0,IF('GPS Anthro Tool'!$B$9=0,0,IF('China Child Data'!$B5=0,0,IF(E23&gt;'GPS Anthro Tool'!$B$16,0,IF(E23&lt;'GPS Anthro Tool'!$B$17,0,E23))))))</f>
        <v>0</v>
      </c>
      <c r="G5" s="173">
        <f>IF('GPS Anthro Tool'!$B$6=0,0,IF('GPS Anthro Tool'!$B$11=0,0,IF('China Child Data'!$B5=0,0,IF(G23&gt;'GPS Anthro Tool'!$B$14,0,IF(G23&lt;'GPS Anthro Tool'!$B$15,0,G23)))))</f>
        <v>0</v>
      </c>
      <c r="H5" s="173">
        <f>IF('GPS Anthro Tool'!$B$6=0,0,IF('GPS Anthro Tool'!$B$10=0,0,IF('China Child Data'!$B5=0,0,IF(H23&gt;'GPS Anthro Tool'!$B$14,0,IF(H23&lt;'GPS Anthro Tool'!$B$15,0,H23)))))</f>
        <v>0</v>
      </c>
      <c r="I5" s="173">
        <f>IF('GPS Anthro Tool'!$B$6=0,0,IF('GPS Anthro Tool'!$B$9=0,0,IF('China Child Data'!$B5=0,0,IF(I23&gt;'GPS Anthro Tool'!$B$14,0,IF(I23&lt;'GPS Anthro Tool'!$B$15,0,I23)))))</f>
        <v>0</v>
      </c>
      <c r="K5" s="458">
        <f>IF('GPS Anthro Tool'!$B$6=0,0,IF('GPS Anthro Tool'!$B$11=0,0,IF('China Child Data'!$G5=0,0,IF(K23&gt;'GPS Anthro Tool'!$B$14,0,IF(K23&lt;'GPS Anthro Tool'!$B$15,0,IF($G$3=0,0,K23))))))</f>
        <v>0</v>
      </c>
      <c r="L5" s="458">
        <f>IF('GPS Anthro Tool'!$B$6=0,0,IF('GPS Anthro Tool'!$B$10=0,0,IF('China Child Data'!$H5=0,0,IF(L23&gt;'GPS Anthro Tool'!$B$14,0,IF(L23&lt;'GPS Anthro Tool'!$B$15,0,IF($H$3=0,0,L23))))))</f>
        <v>0</v>
      </c>
      <c r="M5" s="458">
        <f>IF('GPS Anthro Tool'!$B$6=0,0,IF('GPS Anthro Tool'!$B$9=0,0,IF('China Child Data'!$I5=0,0,IF(M23&gt;'GPS Anthro Tool'!$B$14,0,IF(M23&lt;'GPS Anthro Tool'!$B$15,0,IF($I$3=0,0,M23))))))</f>
        <v>0</v>
      </c>
      <c r="N5" s="459"/>
      <c r="O5" s="458">
        <f>IF('GPS Anthro Tool'!$B$6=0,0,IF('GPS Anthro Tool'!$B$11=0,0,IF('China Child Data'!$G5=0,0,IF(O23&gt;'GPS Anthro Tool'!$B$14,0,IF(O23&lt;'GPS Anthro Tool'!$B$15,0,IF($G$3=0,0,O23))))))</f>
        <v>0</v>
      </c>
      <c r="P5" s="458">
        <f>IF('GPS Anthro Tool'!$B$6=0,0,IF('GPS Anthro Tool'!$B$10=0,0,IF('China Child Data'!$H5=0,0,IF(P23&gt;'GPS Anthro Tool'!$B$14,0,IF(P23&lt;'GPS Anthro Tool'!$B$15,0,IF($H$3=0,0,P23))))))</f>
        <v>0</v>
      </c>
      <c r="Q5" s="458">
        <f>IF('GPS Anthro Tool'!$B$6=0,0,IF('GPS Anthro Tool'!$B$9=0,0,IF('China Child Data'!$I5=0,0,IF(Q23&gt;'GPS Anthro Tool'!$B$14,0,IF(Q23&lt;'GPS Anthro Tool'!$B$15,0,IF($I$3=0,0,Q23))))))</f>
        <v>0</v>
      </c>
      <c r="S5" s="173">
        <f>IF('GPS Anthro Tool'!$B$6=0,0,IF('GPS Anthro Tool'!$B$11=0,0,IF('China Child Data'!$G5=0,0,IF(S23&gt;'GPS Anthro Tool'!$B$14,0,IF(S23&lt;'GPS Anthro Tool'!$B$15,0,IF($G$3=0,0,S23))))))</f>
        <v>0</v>
      </c>
      <c r="T5" s="173">
        <f>IF('GPS Anthro Tool'!$B$6=0,0,IF('GPS Anthro Tool'!$B$10=0,0,IF('China Child Data'!$H5=0,0,IF(T23&gt;'GPS Anthro Tool'!$B$14,0,IF(T23&lt;'GPS Anthro Tool'!$B$15,0,IF($H$3=0,0,T23))))))</f>
        <v>0</v>
      </c>
      <c r="U5" s="173">
        <f>IF('GPS Anthro Tool'!$B$6=0,0,IF('GPS Anthro Tool'!$B$9=0,0,IF('China Child Data'!$I5=0,0,IF(U23&gt;'GPS Anthro Tool'!$B$14,0,IF(U23&lt;'GPS Anthro Tool'!$B$15,0,IF($I$3=0,0,U23))))))</f>
        <v>0</v>
      </c>
      <c r="W5" s="173">
        <f>IF('GPS Anthro Tool'!$B$6=0,0,IF('GPS Anthro Tool'!$B$11=0,0,IF('China Child Data'!$G5=0,0,IF(W23&gt;'GPS Anthro Tool'!$B$14,0,IF(W23&lt;'GPS Anthro Tool'!$B$15,0,IF($G$3=0,0,W23))))))</f>
        <v>0</v>
      </c>
      <c r="X5" s="173">
        <f>IF('GPS Anthro Tool'!$B$6=0,0,IF('GPS Anthro Tool'!$B$10=0,0,IF('China Child Data'!$H5=0,0,IF(X23&gt;'GPS Anthro Tool'!$B$14,0,IF(X23&lt;'GPS Anthro Tool'!$B$15,0,IF($H$3=0,0,X23))))))</f>
        <v>0</v>
      </c>
      <c r="Y5" s="173">
        <f>IF('GPS Anthro Tool'!$B$6=0,0,IF('GPS Anthro Tool'!$B$9=0,0,IF('China Child Data'!$I5=0,0,IF(Y23&gt;'GPS Anthro Tool'!$B$14,0,IF(Y23&lt;'GPS Anthro Tool'!$B$15,0,IF($I$3=0,0,Y23))))))</f>
        <v>0</v>
      </c>
      <c r="Z5" s="283">
        <v>0</v>
      </c>
      <c r="AA5" s="173">
        <f>IF('GPS Anthro Tool'!$B$6=0,0,IF('GPS Anthro Tool'!$B$11=0,0,IF('China Child Data'!$G5=0,0,IF(AA23&gt;'GPS Anthro Tool'!$B$14,0,IF(AA23&lt;'GPS Anthro Tool'!$B$15,0,IF($G$3=0,0,AA23))))))</f>
        <v>0</v>
      </c>
      <c r="AB5" s="173">
        <f>IF('GPS Anthro Tool'!$B$6=0,0,IF('GPS Anthro Tool'!$B$10=0,0,IF('China Child Data'!$H5=0,0,IF(AB23&gt;'GPS Anthro Tool'!$B$14,0,IF(AB23&lt;'GPS Anthro Tool'!$B$15,0,IF($H$3=0,0,AB23))))))</f>
        <v>0</v>
      </c>
      <c r="AC5" s="173">
        <f>IF('GPS Anthro Tool'!$B$6=0,0,IF('GPS Anthro Tool'!$B$9=0,0,IF('China Child Data'!$I5=0,0,IF(AC23&gt;'GPS Anthro Tool'!$B$14,0,IF(AC23&lt;'GPS Anthro Tool'!$B$15,0,IF($I$3=0,0,AC23))))))</f>
        <v>0</v>
      </c>
      <c r="AE5" s="173">
        <f>IF('GPS Anthro Tool'!$B$6=0,0,IF('GPS Anthro Tool'!$B$11=0,0,IF('China Child Data'!$G5=0,0,IF(AE23&gt;'GPS Anthro Tool'!$B$14,0,IF(AE23&lt;'GPS Anthro Tool'!$B$15,0,IF($G$3=0,0,AE23))))))</f>
        <v>0</v>
      </c>
      <c r="AF5" s="173">
        <f>IF('GPS Anthro Tool'!$B$6=0,0,IF('GPS Anthro Tool'!$B$10=0,0,IF('China Child Data'!$H5=0,0,IF(AF23&gt;'GPS Anthro Tool'!$B$14,0,IF(AF23&lt;'GPS Anthro Tool'!$B$15,0,IF($H$3=0,0,AF23))))))</f>
        <v>0</v>
      </c>
      <c r="AG5" s="173">
        <f>IF('GPS Anthro Tool'!$B$6=0,0,IF('GPS Anthro Tool'!$B$9=0,0,IF('China Child Data'!$I5=0,0,IF(AG23&gt;'GPS Anthro Tool'!$B$14,0,IF(AG23&lt;'GPS Anthro Tool'!$B$15,0,IF($I$3=0,0,AG23))))))</f>
        <v>0</v>
      </c>
      <c r="AI5" s="173">
        <f>IF('GPS Anthro Tool'!$B$6=0,0,IF('GPS Anthro Tool'!$B$11=0,0,IF('China Child Data'!$G5=0,0,IF(AI23&gt;'GPS Anthro Tool'!$B$14,0,IF(AI23&lt;'GPS Anthro Tool'!$B$15,0,IF($G$3=0,0,AI23))))))</f>
        <v>0</v>
      </c>
      <c r="AJ5" s="173">
        <f>IF('GPS Anthro Tool'!$B$6=0,0,IF('GPS Anthro Tool'!$B$10=0,0,IF('China Child Data'!$H5=0,0,IF(AJ23&gt;'GPS Anthro Tool'!$B$14,0,IF(AJ23&lt;'GPS Anthro Tool'!$B$15,0,IF($H$3=0,0,AJ23))))))</f>
        <v>0</v>
      </c>
      <c r="AK5" s="173">
        <f>IF('GPS Anthro Tool'!$B$6=0,0,IF('GPS Anthro Tool'!$B$9=0,0,IF('China Child Data'!$I5=0,0,IF(AK23&gt;'GPS Anthro Tool'!$B$14,0,IF(AK23&lt;'GPS Anthro Tool'!$B$15,0,IF($I$3=0,0,AK23))))))</f>
        <v>0</v>
      </c>
      <c r="AM5" s="173">
        <f>IF('GPS Anthro Tool'!$B$6=0,0,IF('GPS Anthro Tool'!$B$11=0,0,IF('China Child Data'!$G5=0,0,IF(AM23&gt;'GPS Anthro Tool'!$B$14,0,IF(AM23&lt;'GPS Anthro Tool'!$B$15,0,IF($G$3=0,0,-AM23))))))</f>
        <v>0</v>
      </c>
      <c r="AN5" s="173">
        <f>IF('GPS Anthro Tool'!$B$6=0,0,IF('GPS Anthro Tool'!$B$10=0,0,IF('China Child Data'!$H5=0,0,IF(AN23&gt;'GPS Anthro Tool'!$B$14,0,IF(AN23&lt;'GPS Anthro Tool'!$B$15,0,IF($H$3=0,0,-AN23))))))</f>
        <v>0</v>
      </c>
      <c r="AO5" s="173">
        <f>IF('GPS Anthro Tool'!$B$6=0,0,IF('GPS Anthro Tool'!$B$9=0,0,IF('China Child Data'!$I5=0,0,IF(AO23&gt;'GPS Anthro Tool'!$B$14,0,IF(AO23&lt;'GPS Anthro Tool'!$B$15,0,IF($I$3=0,0,-AO23))))))</f>
        <v>0</v>
      </c>
      <c r="AQ5" s="173">
        <f>IF('GPS Anthro Tool'!$B$6=0,0,IF('GPS Anthro Tool'!$B$11=0,0,IF('China Child Data'!$G5=0,0,IF(AQ23&gt;'GPS Anthro Tool'!$B$14,0,IF(AQ23&lt;'GPS Anthro Tool'!$B$15,0,IF($G$3=0,0,AQ23))))))</f>
        <v>0</v>
      </c>
      <c r="AR5" s="173">
        <f>IF('GPS Anthro Tool'!$B$6=0,0,IF('GPS Anthro Tool'!$B$10=0,0,IF('China Child Data'!$H5=0,0,IF(AR23&gt;'GPS Anthro Tool'!$B$14,0,IF(AR23&lt;'GPS Anthro Tool'!$B$15,0,IF($H$3=0,0,AR23))))))</f>
        <v>0</v>
      </c>
      <c r="AS5" s="173">
        <f>IF('GPS Anthro Tool'!$B$6=0,0,IF('GPS Anthro Tool'!$B$9=0,0,IF('China Child Data'!$I5=0,0,IF(AS23&gt;'GPS Anthro Tool'!$B$14,0,IF(AS23&lt;'GPS Anthro Tool'!$B$15,0,IF($I$3=0,0,AS23))))))</f>
        <v>0</v>
      </c>
      <c r="AU5" s="173">
        <f>IF('GPS Anthro Tool'!$B$6=0,0,IF('GPS Anthro Tool'!$B$11=0,0,IF('China Child Data'!$G5=0,0,IF(AU23&gt;'GPS Anthro Tool'!$B$14,0,IF(AU23&lt;'GPS Anthro Tool'!$B$15,0,IF($G$3=0,0,AU23))))))</f>
        <v>0</v>
      </c>
      <c r="AV5" s="173">
        <f>IF('GPS Anthro Tool'!$B$6=0,0,IF('GPS Anthro Tool'!$B$10=0,0,IF('China Child Data'!$H5=0,0,IF(AV23&gt;'GPS Anthro Tool'!$B$14,0,IF(AV23&lt;'GPS Anthro Tool'!$B$15,0,IF($H$3=0,0,AV23))))))</f>
        <v>0</v>
      </c>
      <c r="AW5" s="173">
        <f>IF('GPS Anthro Tool'!$B$6=0,0,IF('GPS Anthro Tool'!$B$9=0,0,IF('China Child Data'!$I5=0,0,IF(AW23&gt;'GPS Anthro Tool'!$B$14,0,IF(AW23&lt;'GPS Anthro Tool'!$B$15,0,IF($I$3=0,0,AW23))))))</f>
        <v>0</v>
      </c>
      <c r="AY5" s="173">
        <f>IF('GPS Anthro Tool'!$B$6=0,0,IF('GPS Anthro Tool'!$B$11=0,0,IF('China Child Data'!$G5=0,0,IF(AY23&gt;'GPS Anthro Tool'!$B$14,0,IF(AY23&lt;'GPS Anthro Tool'!$B$15,0,IF($G$3=0,0,AY23))))))</f>
        <v>0</v>
      </c>
      <c r="AZ5" s="173">
        <f>IF('GPS Anthro Tool'!$B$6=0,0,IF('GPS Anthro Tool'!$B$10=0,0,IF('China Child Data'!$H5=0,0,IF(AZ23&gt;'GPS Anthro Tool'!$B$14,0,IF(AZ23&lt;'GPS Anthro Tool'!$B$15,0,IF($H$3=0,0,AZ23))))))</f>
        <v>0</v>
      </c>
      <c r="BA5" s="173">
        <f>IF('GPS Anthro Tool'!$B$6=0,0,IF('GPS Anthro Tool'!$B$9=0,0,IF('China Child Data'!$I5=0,0,IF(BA23&gt;'GPS Anthro Tool'!$B$14,0,IF(BA23&lt;'GPS Anthro Tool'!$B$15,0,IF($I$3=0,0,BA23))))))</f>
        <v>0</v>
      </c>
      <c r="BC5" s="173">
        <f>IF('GPS Anthro Tool'!$B$6=0,0,IF('GPS Anthro Tool'!$B$11=0,0,IF('China Child Data'!$G5=0,0,IF(BC23&gt;'GPS Anthro Tool'!$B$14,0,IF(BC23&lt;'GPS Anthro Tool'!$B$15,0,IF($G$3=0,0,BC23))))))</f>
        <v>0</v>
      </c>
      <c r="BD5" s="173">
        <f>IF('GPS Anthro Tool'!$B$6=0,0,IF('GPS Anthro Tool'!$B$10=0,0,IF('China Child Data'!$H5=0,0,IF(BD23&gt;'GPS Anthro Tool'!$B$14,0,IF(BD23&lt;'GPS Anthro Tool'!$B$15,0,IF($H$3=0,0,BD23))))))</f>
        <v>0</v>
      </c>
      <c r="BE5" s="173">
        <f>IF('GPS Anthro Tool'!$B$6=0,0,IF('GPS Anthro Tool'!$B$9=0,0,IF('China Child Data'!$I5=0,0,IF(BE23&gt;'GPS Anthro Tool'!$B$14,0,IF(BE23&lt;'GPS Anthro Tool'!$B$15,0,IF($I$3=0,0,BE23))))))</f>
        <v>0</v>
      </c>
      <c r="BF5" s="208"/>
      <c r="BG5" s="157">
        <f t="shared" si="0"/>
        <v>0</v>
      </c>
      <c r="BH5" s="157">
        <f t="shared" si="0"/>
        <v>0</v>
      </c>
      <c r="BI5" s="157">
        <f t="shared" si="0"/>
        <v>0</v>
      </c>
      <c r="BJ5" s="213">
        <v>0</v>
      </c>
      <c r="BK5" s="157">
        <f t="shared" si="1"/>
        <v>0</v>
      </c>
      <c r="BL5" s="157">
        <f t="shared" si="1"/>
        <v>0</v>
      </c>
      <c r="BM5" s="157">
        <f t="shared" si="1"/>
        <v>0</v>
      </c>
      <c r="BN5" s="213">
        <v>0</v>
      </c>
      <c r="BO5" s="157">
        <f t="shared" si="2"/>
        <v>0</v>
      </c>
      <c r="BP5" s="157">
        <f t="shared" si="2"/>
        <v>0</v>
      </c>
      <c r="BQ5" s="157">
        <f t="shared" si="2"/>
        <v>0</v>
      </c>
      <c r="BR5" s="213"/>
      <c r="BS5" s="167">
        <f t="shared" si="3"/>
        <v>0</v>
      </c>
      <c r="BT5" s="167">
        <f t="shared" si="3"/>
        <v>0</v>
      </c>
      <c r="BU5" s="167">
        <f t="shared" si="3"/>
        <v>0</v>
      </c>
      <c r="BV5" s="213">
        <v>0</v>
      </c>
      <c r="BW5" s="168">
        <f t="shared" si="4"/>
        <v>0</v>
      </c>
      <c r="BX5" s="168">
        <f t="shared" si="4"/>
        <v>0</v>
      </c>
      <c r="BY5" s="168">
        <f t="shared" si="4"/>
        <v>0</v>
      </c>
      <c r="BZ5" s="210"/>
      <c r="CA5" s="169">
        <f t="shared" si="5"/>
        <v>0</v>
      </c>
      <c r="CB5" s="169">
        <f t="shared" si="5"/>
        <v>0</v>
      </c>
      <c r="CC5" s="169">
        <f t="shared" si="5"/>
        <v>0</v>
      </c>
      <c r="CD5" s="210"/>
      <c r="CE5" s="170">
        <f t="shared" si="6"/>
        <v>0</v>
      </c>
      <c r="CF5" s="170">
        <f t="shared" si="6"/>
        <v>0</v>
      </c>
      <c r="CG5" s="170">
        <f t="shared" si="6"/>
        <v>0</v>
      </c>
      <c r="CH5" s="210"/>
    </row>
    <row r="6" spans="1:86">
      <c r="A6" s="426" t="s">
        <v>492</v>
      </c>
      <c r="B6" s="153">
        <v>1</v>
      </c>
      <c r="C6" s="172">
        <f>IF('GPS Anthro Tool'!$B$6=0,0,IF('GPS Anthro Tool'!$B$6=0,0,IF('GPS Anthro Tool'!$B$11=0,0,IF('China Child Data'!$B6=0,0,IF(C24&gt;'GPS Anthro Tool'!$B$16,0,IF(C24&lt;'GPS Anthro Tool'!$B$17,0,C24))))))</f>
        <v>0</v>
      </c>
      <c r="D6" s="172">
        <f>IF('GPS Anthro Tool'!$B$6=0,0,IF('GPS Anthro Tool'!$B$6=0,0,IF('GPS Anthro Tool'!$B$10=0,0,IF('China Child Data'!$B6=0,0,IF(D24&gt;'GPS Anthro Tool'!$B$16,0,IF(D24&lt;'GPS Anthro Tool'!$B$17,0,D24))))))</f>
        <v>0</v>
      </c>
      <c r="E6" s="172">
        <f>IF('GPS Anthro Tool'!$B$6=0,0,IF('GPS Anthro Tool'!$B$6=0,0,IF('GPS Anthro Tool'!$B$9=0,0,IF('China Child Data'!$B6=0,0,IF(E24&gt;'GPS Anthro Tool'!$B$16,0,IF(E24&lt;'GPS Anthro Tool'!$B$17,0,E24))))))</f>
        <v>0</v>
      </c>
      <c r="G6" s="173">
        <f>IF('GPS Anthro Tool'!$B$6=0,0,IF('GPS Anthro Tool'!$B$11=0,0,IF('China Child Data'!$B6=0,0,IF(G24&gt;'GPS Anthro Tool'!$B$14,0,IF(G24&lt;'GPS Anthro Tool'!$B$15,0,G24)))))</f>
        <v>0</v>
      </c>
      <c r="H6" s="173">
        <f>IF('GPS Anthro Tool'!$B$6=0,0,IF('GPS Anthro Tool'!$B$10=0,0,IF('China Child Data'!$B6=0,0,IF(H24&gt;'GPS Anthro Tool'!$B$14,0,IF(H24&lt;'GPS Anthro Tool'!$B$15,0,H24)))))</f>
        <v>0</v>
      </c>
      <c r="I6" s="173">
        <f>IF('GPS Anthro Tool'!$B$6=0,0,IF('GPS Anthro Tool'!$B$9=0,0,IF('China Child Data'!$B6=0,0,IF(I24&gt;'GPS Anthro Tool'!$B$14,0,IF(I24&lt;'GPS Anthro Tool'!$B$15,0,I24)))))</f>
        <v>0</v>
      </c>
      <c r="K6" s="458">
        <f>IF('GPS Anthro Tool'!$B$6=0,0,IF('GPS Anthro Tool'!$B$11=0,0,IF('China Child Data'!$G6=0,0,IF(K24&gt;'GPS Anthro Tool'!$B$14,0,IF(K24&lt;'GPS Anthro Tool'!$B$15,0,IF($G$3=0,0,K24))))))</f>
        <v>0</v>
      </c>
      <c r="L6" s="458">
        <f>IF('GPS Anthro Tool'!$B$6=0,0,IF('GPS Anthro Tool'!$B$10=0,0,IF('China Child Data'!$H6=0,0,IF(L24&gt;'GPS Anthro Tool'!$B$14,0,IF(L24&lt;'GPS Anthro Tool'!$B$15,0,IF($H$3=0,0,L24))))))</f>
        <v>0</v>
      </c>
      <c r="M6" s="458">
        <f>IF('GPS Anthro Tool'!$B$6=0,0,IF('GPS Anthro Tool'!$B$9=0,0,IF('China Child Data'!$I6=0,0,IF(M24&gt;'GPS Anthro Tool'!$B$14,0,IF(M24&lt;'GPS Anthro Tool'!$B$15,0,IF($I$3=0,0,M24))))))</f>
        <v>0</v>
      </c>
      <c r="N6" s="459"/>
      <c r="O6" s="458">
        <f>IF('GPS Anthro Tool'!$B$6=0,0,IF('GPS Anthro Tool'!$B$11=0,0,IF('China Child Data'!$G6=0,0,IF(O24&gt;'GPS Anthro Tool'!$B$14,0,IF(O24&lt;'GPS Anthro Tool'!$B$15,0,IF($G$3=0,0,O24))))))</f>
        <v>0</v>
      </c>
      <c r="P6" s="458">
        <f>IF('GPS Anthro Tool'!$B$6=0,0,IF('GPS Anthro Tool'!$B$10=0,0,IF('China Child Data'!$H6=0,0,IF(P24&gt;'GPS Anthro Tool'!$B$14,0,IF(P24&lt;'GPS Anthro Tool'!$B$15,0,IF($H$3=0,0,P24))))))</f>
        <v>0</v>
      </c>
      <c r="Q6" s="458">
        <f>IF('GPS Anthro Tool'!$B$6=0,0,IF('GPS Anthro Tool'!$B$9=0,0,IF('China Child Data'!$I6=0,0,IF(Q24&gt;'GPS Anthro Tool'!$B$14,0,IF(Q24&lt;'GPS Anthro Tool'!$B$15,0,IF($I$3=0,0,Q24))))))</f>
        <v>0</v>
      </c>
      <c r="S6" s="173">
        <f>IF('GPS Anthro Tool'!$B$6=0,0,IF('GPS Anthro Tool'!$B$11=0,0,IF('China Child Data'!$G6=0,0,IF(S24&gt;'GPS Anthro Tool'!$B$14,0,IF(S24&lt;'GPS Anthro Tool'!$B$15,0,IF($G$3=0,0,S24))))))</f>
        <v>0</v>
      </c>
      <c r="T6" s="173">
        <f>IF('GPS Anthro Tool'!$B$6=0,0,IF('GPS Anthro Tool'!$B$10=0,0,IF('China Child Data'!$H6=0,0,IF(T24&gt;'GPS Anthro Tool'!$B$14,0,IF(T24&lt;'GPS Anthro Tool'!$B$15,0,IF($H$3=0,0,T24))))))</f>
        <v>0</v>
      </c>
      <c r="U6" s="173">
        <f>IF('GPS Anthro Tool'!$B$6=0,0,IF('GPS Anthro Tool'!$B$9=0,0,IF('China Child Data'!$I6=0,0,IF(U24&gt;'GPS Anthro Tool'!$B$14,0,IF(U24&lt;'GPS Anthro Tool'!$B$15,0,IF($I$3=0,0,U24))))))</f>
        <v>0</v>
      </c>
      <c r="W6" s="173">
        <f>IF('GPS Anthro Tool'!$B$6=0,0,IF('GPS Anthro Tool'!$B$11=0,0,IF('China Child Data'!$G6=0,0,IF(W24&gt;'GPS Anthro Tool'!$B$14,0,IF(W24&lt;'GPS Anthro Tool'!$B$15,0,IF($G$3=0,0,W24))))))</f>
        <v>0</v>
      </c>
      <c r="X6" s="173">
        <f>IF('GPS Anthro Tool'!$B$6=0,0,IF('GPS Anthro Tool'!$B$10=0,0,IF('China Child Data'!$H6=0,0,IF(X24&gt;'GPS Anthro Tool'!$B$14,0,IF(X24&lt;'GPS Anthro Tool'!$B$15,0,IF($H$3=0,0,X24))))))</f>
        <v>0</v>
      </c>
      <c r="Y6" s="173">
        <f>IF('GPS Anthro Tool'!$B$6=0,0,IF('GPS Anthro Tool'!$B$9=0,0,IF('China Child Data'!$I6=0,0,IF(Y24&gt;'GPS Anthro Tool'!$B$14,0,IF(Y24&lt;'GPS Anthro Tool'!$B$15,0,IF($I$3=0,0,Y24))))))</f>
        <v>0</v>
      </c>
      <c r="Z6" s="283">
        <v>0</v>
      </c>
      <c r="AA6" s="173">
        <f>IF('GPS Anthro Tool'!$B$6=0,0,IF('GPS Anthro Tool'!$B$11=0,0,IF('China Child Data'!$G6=0,0,IF(AA24&gt;'GPS Anthro Tool'!$B$14,0,IF(AA24&lt;'GPS Anthro Tool'!$B$15,0,IF($G$3=0,0,AA24))))))</f>
        <v>0</v>
      </c>
      <c r="AB6" s="173">
        <f>IF('GPS Anthro Tool'!$B$6=0,0,IF('GPS Anthro Tool'!$B$10=0,0,IF('China Child Data'!$H6=0,0,IF(AB24&gt;'GPS Anthro Tool'!$B$14,0,IF(AB24&lt;'GPS Anthro Tool'!$B$15,0,IF($H$3=0,0,AB24))))))</f>
        <v>0</v>
      </c>
      <c r="AC6" s="173">
        <f>IF('GPS Anthro Tool'!$B$6=0,0,IF('GPS Anthro Tool'!$B$9=0,0,IF('China Child Data'!$I6=0,0,IF(AC24&gt;'GPS Anthro Tool'!$B$14,0,IF(AC24&lt;'GPS Anthro Tool'!$B$15,0,IF($I$3=0,0,AC24))))))</f>
        <v>0</v>
      </c>
      <c r="AE6" s="173">
        <f>IF('GPS Anthro Tool'!$B$6=0,0,IF('GPS Anthro Tool'!$B$11=0,0,IF('China Child Data'!$G6=0,0,IF(AE24&gt;'GPS Anthro Tool'!$B$14,0,IF(AE24&lt;'GPS Anthro Tool'!$B$15,0,IF($G$3=0,0,AE24))))))</f>
        <v>0</v>
      </c>
      <c r="AF6" s="173">
        <f>IF('GPS Anthro Tool'!$B$6=0,0,IF('GPS Anthro Tool'!$B$10=0,0,IF('China Child Data'!$H6=0,0,IF(AF24&gt;'GPS Anthro Tool'!$B$14,0,IF(AF24&lt;'GPS Anthro Tool'!$B$15,0,IF($H$3=0,0,AF24))))))</f>
        <v>0</v>
      </c>
      <c r="AG6" s="173">
        <f>IF('GPS Anthro Tool'!$B$6=0,0,IF('GPS Anthro Tool'!$B$9=0,0,IF('China Child Data'!$I6=0,0,IF(AG24&gt;'GPS Anthro Tool'!$B$14,0,IF(AG24&lt;'GPS Anthro Tool'!$B$15,0,IF($I$3=0,0,AG24))))))</f>
        <v>0</v>
      </c>
      <c r="AI6" s="173">
        <f>IF('GPS Anthro Tool'!$B$6=0,0,IF('GPS Anthro Tool'!$B$11=0,0,IF('China Child Data'!$G6=0,0,IF(AI24&gt;'GPS Anthro Tool'!$B$14,0,IF(AI24&lt;'GPS Anthro Tool'!$B$15,0,IF($G$3=0,0,AI24))))))</f>
        <v>0</v>
      </c>
      <c r="AJ6" s="173">
        <f>IF('GPS Anthro Tool'!$B$6=0,0,IF('GPS Anthro Tool'!$B$10=0,0,IF('China Child Data'!$H6=0,0,IF(AJ24&gt;'GPS Anthro Tool'!$B$14,0,IF(AJ24&lt;'GPS Anthro Tool'!$B$15,0,IF($H$3=0,0,AJ24))))))</f>
        <v>0</v>
      </c>
      <c r="AK6" s="173">
        <f>IF('GPS Anthro Tool'!$B$6=0,0,IF('GPS Anthro Tool'!$B$9=0,0,IF('China Child Data'!$I6=0,0,IF(AK24&gt;'GPS Anthro Tool'!$B$14,0,IF(AK24&lt;'GPS Anthro Tool'!$B$15,0,IF($I$3=0,0,AK24))))))</f>
        <v>0</v>
      </c>
      <c r="AM6" s="173">
        <f>IF('GPS Anthro Tool'!$B$6=0,0,IF('GPS Anthro Tool'!$B$11=0,0,IF('China Child Data'!$G6=0,0,IF(AM24&gt;'GPS Anthro Tool'!$B$14,0,IF(AM24&lt;'GPS Anthro Tool'!$B$15,0,IF($G$3=0,0,-AM24))))))</f>
        <v>0</v>
      </c>
      <c r="AN6" s="173">
        <f>IF('GPS Anthro Tool'!$B$6=0,0,IF('GPS Anthro Tool'!$B$10=0,0,IF('China Child Data'!$H6=0,0,IF(AN24&gt;'GPS Anthro Tool'!$B$14,0,IF(AN24&lt;'GPS Anthro Tool'!$B$15,0,IF($H$3=0,0,-AN24))))))</f>
        <v>0</v>
      </c>
      <c r="AO6" s="173">
        <f>IF('GPS Anthro Tool'!$B$6=0,0,IF('GPS Anthro Tool'!$B$9=0,0,IF('China Child Data'!$I6=0,0,IF(AO24&gt;'GPS Anthro Tool'!$B$14,0,IF(AO24&lt;'GPS Anthro Tool'!$B$15,0,IF($I$3=0,0,-AO24))))))</f>
        <v>0</v>
      </c>
      <c r="AQ6" s="173">
        <f>IF('GPS Anthro Tool'!$B$6=0,0,IF('GPS Anthro Tool'!$B$11=0,0,IF('China Child Data'!$G6=0,0,IF(AQ24&gt;'GPS Anthro Tool'!$B$14,0,IF(AQ24&lt;'GPS Anthro Tool'!$B$15,0,IF($G$3=0,0,AQ24))))))</f>
        <v>0</v>
      </c>
      <c r="AR6" s="173">
        <f>IF('GPS Anthro Tool'!$B$6=0,0,IF('GPS Anthro Tool'!$B$10=0,0,IF('China Child Data'!$H6=0,0,IF(AR24&gt;'GPS Anthro Tool'!$B$14,0,IF(AR24&lt;'GPS Anthro Tool'!$B$15,0,IF($H$3=0,0,AR24))))))</f>
        <v>0</v>
      </c>
      <c r="AS6" s="173">
        <f>IF('GPS Anthro Tool'!$B$6=0,0,IF('GPS Anthro Tool'!$B$9=0,0,IF('China Child Data'!$I6=0,0,IF(AS24&gt;'GPS Anthro Tool'!$B$14,0,IF(AS24&lt;'GPS Anthro Tool'!$B$15,0,IF($I$3=0,0,AS24))))))</f>
        <v>0</v>
      </c>
      <c r="AU6" s="173">
        <f>IF('GPS Anthro Tool'!$B$6=0,0,IF('GPS Anthro Tool'!$B$11=0,0,IF('China Child Data'!$G6=0,0,IF(AU24&gt;'GPS Anthro Tool'!$B$14,0,IF(AU24&lt;'GPS Anthro Tool'!$B$15,0,IF($G$3=0,0,AU24))))))</f>
        <v>0</v>
      </c>
      <c r="AV6" s="173">
        <f>IF('GPS Anthro Tool'!$B$6=0,0,IF('GPS Anthro Tool'!$B$10=0,0,IF('China Child Data'!$H6=0,0,IF(AV24&gt;'GPS Anthro Tool'!$B$14,0,IF(AV24&lt;'GPS Anthro Tool'!$B$15,0,IF($H$3=0,0,AV24))))))</f>
        <v>0</v>
      </c>
      <c r="AW6" s="173">
        <f>IF('GPS Anthro Tool'!$B$6=0,0,IF('GPS Anthro Tool'!$B$9=0,0,IF('China Child Data'!$I6=0,0,IF(AW24&gt;'GPS Anthro Tool'!$B$14,0,IF(AW24&lt;'GPS Anthro Tool'!$B$15,0,IF($I$3=0,0,AW24))))))</f>
        <v>0</v>
      </c>
      <c r="AY6" s="173">
        <f>IF('GPS Anthro Tool'!$B$6=0,0,IF('GPS Anthro Tool'!$B$11=0,0,IF('China Child Data'!$G6=0,0,IF(AY24&gt;'GPS Anthro Tool'!$B$14,0,IF(AY24&lt;'GPS Anthro Tool'!$B$15,0,IF($G$3=0,0,AY24))))))</f>
        <v>0</v>
      </c>
      <c r="AZ6" s="173">
        <f>IF('GPS Anthro Tool'!$B$6=0,0,IF('GPS Anthro Tool'!$B$10=0,0,IF('China Child Data'!$H6=0,0,IF(AZ24&gt;'GPS Anthro Tool'!$B$14,0,IF(AZ24&lt;'GPS Anthro Tool'!$B$15,0,IF($H$3=0,0,AZ24))))))</f>
        <v>0</v>
      </c>
      <c r="BA6" s="173">
        <f>IF('GPS Anthro Tool'!$B$6=0,0,IF('GPS Anthro Tool'!$B$9=0,0,IF('China Child Data'!$I6=0,0,IF(BA24&gt;'GPS Anthro Tool'!$B$14,0,IF(BA24&lt;'GPS Anthro Tool'!$B$15,0,IF($I$3=0,0,BA24))))))</f>
        <v>0</v>
      </c>
      <c r="BC6" s="173">
        <f>IF('GPS Anthro Tool'!$B$6=0,0,IF('GPS Anthro Tool'!$B$11=0,0,IF('China Child Data'!$G6=0,0,IF(BC24&gt;'GPS Anthro Tool'!$B$14,0,IF(BC24&lt;'GPS Anthro Tool'!$B$15,0,IF($G$3=0,0,BC24))))))</f>
        <v>0</v>
      </c>
      <c r="BD6" s="173">
        <f>IF('GPS Anthro Tool'!$B$6=0,0,IF('GPS Anthro Tool'!$B$10=0,0,IF('China Child Data'!$H6=0,0,IF(BD24&gt;'GPS Anthro Tool'!$B$14,0,IF(BD24&lt;'GPS Anthro Tool'!$B$15,0,IF($H$3=0,0,BD24))))))</f>
        <v>0</v>
      </c>
      <c r="BE6" s="173">
        <f>IF('GPS Anthro Tool'!$B$6=0,0,IF('GPS Anthro Tool'!$B$9=0,0,IF('China Child Data'!$I6=0,0,IF(BE24&gt;'GPS Anthro Tool'!$B$14,0,IF(BE24&lt;'GPS Anthro Tool'!$B$15,0,IF($I$3=0,0,BE24))))))</f>
        <v>0</v>
      </c>
      <c r="BF6" s="208"/>
      <c r="BG6" s="157">
        <f t="shared" si="0"/>
        <v>0</v>
      </c>
      <c r="BH6" s="157">
        <f t="shared" si="0"/>
        <v>0</v>
      </c>
      <c r="BI6" s="157">
        <f t="shared" si="0"/>
        <v>0</v>
      </c>
      <c r="BJ6" s="213">
        <v>0</v>
      </c>
      <c r="BK6" s="157">
        <f t="shared" si="1"/>
        <v>0</v>
      </c>
      <c r="BL6" s="157">
        <f t="shared" si="1"/>
        <v>0</v>
      </c>
      <c r="BM6" s="157">
        <f t="shared" si="1"/>
        <v>0</v>
      </c>
      <c r="BN6" s="213">
        <v>0</v>
      </c>
      <c r="BO6" s="157">
        <f t="shared" si="2"/>
        <v>0</v>
      </c>
      <c r="BP6" s="157">
        <f t="shared" si="2"/>
        <v>0</v>
      </c>
      <c r="BQ6" s="157">
        <f t="shared" si="2"/>
        <v>0</v>
      </c>
      <c r="BR6" s="213"/>
      <c r="BS6" s="167">
        <f t="shared" si="3"/>
        <v>0</v>
      </c>
      <c r="BT6" s="167">
        <f t="shared" si="3"/>
        <v>0</v>
      </c>
      <c r="BU6" s="167">
        <f t="shared" si="3"/>
        <v>0</v>
      </c>
      <c r="BV6" s="213">
        <v>0</v>
      </c>
      <c r="BW6" s="168">
        <f t="shared" si="4"/>
        <v>0</v>
      </c>
      <c r="BX6" s="168">
        <f t="shared" si="4"/>
        <v>0</v>
      </c>
      <c r="BY6" s="168">
        <f t="shared" si="4"/>
        <v>0</v>
      </c>
      <c r="BZ6" s="210"/>
      <c r="CA6" s="169">
        <f t="shared" si="5"/>
        <v>0</v>
      </c>
      <c r="CB6" s="169">
        <f t="shared" si="5"/>
        <v>0</v>
      </c>
      <c r="CC6" s="169">
        <f t="shared" si="5"/>
        <v>0</v>
      </c>
      <c r="CD6" s="210"/>
      <c r="CE6" s="170">
        <f t="shared" si="6"/>
        <v>0</v>
      </c>
      <c r="CF6" s="170">
        <f t="shared" si="6"/>
        <v>0</v>
      </c>
      <c r="CG6" s="170">
        <f t="shared" si="6"/>
        <v>0</v>
      </c>
      <c r="CH6" s="210"/>
    </row>
    <row r="7" spans="1:86">
      <c r="A7" s="426" t="s">
        <v>493</v>
      </c>
      <c r="B7" s="153">
        <v>1</v>
      </c>
      <c r="C7" s="172">
        <f>IF('GPS Anthro Tool'!$B$6=0,0,IF('GPS Anthro Tool'!$B$6=0,0,IF('GPS Anthro Tool'!$B$11=0,0,IF('China Child Data'!$B7=0,0,IF(C25&gt;'GPS Anthro Tool'!$B$16,0,IF(C25&lt;'GPS Anthro Tool'!$B$17,0,C25))))))</f>
        <v>0</v>
      </c>
      <c r="D7" s="172">
        <f>IF('GPS Anthro Tool'!$B$6=0,0,IF('GPS Anthro Tool'!$B$6=0,0,IF('GPS Anthro Tool'!$B$10=0,0,IF('China Child Data'!$B7=0,0,IF(D25&gt;'GPS Anthro Tool'!$B$16,0,IF(D25&lt;'GPS Anthro Tool'!$B$17,0,D25))))))</f>
        <v>0</v>
      </c>
      <c r="E7" s="172">
        <f>IF('GPS Anthro Tool'!$B$6=0,0,IF('GPS Anthro Tool'!$B$6=0,0,IF('GPS Anthro Tool'!$B$9=0,0,IF('China Child Data'!$B7=0,0,IF(E25&gt;'GPS Anthro Tool'!$B$16,0,IF(E25&lt;'GPS Anthro Tool'!$B$17,0,E25))))))</f>
        <v>0</v>
      </c>
      <c r="G7" s="173">
        <f>IF('GPS Anthro Tool'!$B$6=0,0,IF('GPS Anthro Tool'!$B$11=0,0,IF('China Child Data'!$B7=0,0,IF(G25&gt;'GPS Anthro Tool'!$B$14,0,IF(G25&lt;'GPS Anthro Tool'!$B$15,0,G25)))))</f>
        <v>0</v>
      </c>
      <c r="H7" s="173">
        <f>IF('GPS Anthro Tool'!$B$6=0,0,IF('GPS Anthro Tool'!$B$10=0,0,IF('China Child Data'!$B7=0,0,IF(H25&gt;'GPS Anthro Tool'!$B$14,0,IF(H25&lt;'GPS Anthro Tool'!$B$15,0,H25)))))</f>
        <v>0</v>
      </c>
      <c r="I7" s="173">
        <f>IF('GPS Anthro Tool'!$B$6=0,0,IF('GPS Anthro Tool'!$B$9=0,0,IF('China Child Data'!$B7=0,0,IF(I25&gt;'GPS Anthro Tool'!$B$14,0,IF(I25&lt;'GPS Anthro Tool'!$B$15,0,I25)))))</f>
        <v>0</v>
      </c>
      <c r="K7" s="458">
        <f>IF('GPS Anthro Tool'!$B$6=0,0,IF('GPS Anthro Tool'!$B$11=0,0,IF('China Child Data'!$G7=0,0,IF(K25&gt;'GPS Anthro Tool'!$B$14,0,IF(K25&lt;'GPS Anthro Tool'!$B$15,0,IF($G$3=0,0,K25))))))</f>
        <v>0</v>
      </c>
      <c r="L7" s="458">
        <f>IF('GPS Anthro Tool'!$B$6=0,0,IF('GPS Anthro Tool'!$B$10=0,0,IF('China Child Data'!$H7=0,0,IF(L25&gt;'GPS Anthro Tool'!$B$14,0,IF(L25&lt;'GPS Anthro Tool'!$B$15,0,IF($H$3=0,0,L25))))))</f>
        <v>0</v>
      </c>
      <c r="M7" s="458">
        <f>IF('GPS Anthro Tool'!$B$6=0,0,IF('GPS Anthro Tool'!$B$9=0,0,IF('China Child Data'!$I7=0,0,IF(M25&gt;'GPS Anthro Tool'!$B$14,0,IF(M25&lt;'GPS Anthro Tool'!$B$15,0,IF($I$3=0,0,M25))))))</f>
        <v>0</v>
      </c>
      <c r="N7" s="459"/>
      <c r="O7" s="458">
        <f>IF('GPS Anthro Tool'!$B$6=0,0,IF('GPS Anthro Tool'!$B$11=0,0,IF('China Child Data'!$G7=0,0,IF(O25&gt;'GPS Anthro Tool'!$B$14,0,IF(O25&lt;'GPS Anthro Tool'!$B$15,0,IF($G$3=0,0,O25))))))</f>
        <v>0</v>
      </c>
      <c r="P7" s="458">
        <f>IF('GPS Anthro Tool'!$B$6=0,0,IF('GPS Anthro Tool'!$B$10=0,0,IF('China Child Data'!$H7=0,0,IF(P25&gt;'GPS Anthro Tool'!$B$14,0,IF(P25&lt;'GPS Anthro Tool'!$B$15,0,IF($H$3=0,0,P25))))))</f>
        <v>0</v>
      </c>
      <c r="Q7" s="458">
        <f>IF('GPS Anthro Tool'!$B$6=0,0,IF('GPS Anthro Tool'!$B$9=0,0,IF('China Child Data'!$I7=0,0,IF(Q25&gt;'GPS Anthro Tool'!$B$14,0,IF(Q25&lt;'GPS Anthro Tool'!$B$15,0,IF($I$3=0,0,Q25))))))</f>
        <v>0</v>
      </c>
      <c r="S7" s="173">
        <f>IF('GPS Anthro Tool'!$B$6=0,0,IF('GPS Anthro Tool'!$B$11=0,0,IF('China Child Data'!$G7=0,0,IF(S25&gt;'GPS Anthro Tool'!$B$14,0,IF(S25&lt;'GPS Anthro Tool'!$B$15,0,IF($G$3=0,0,S25))))))</f>
        <v>0</v>
      </c>
      <c r="T7" s="173">
        <f>IF('GPS Anthro Tool'!$B$6=0,0,IF('GPS Anthro Tool'!$B$10=0,0,IF('China Child Data'!$H7=0,0,IF(T25&gt;'GPS Anthro Tool'!$B$14,0,IF(T25&lt;'GPS Anthro Tool'!$B$15,0,IF($H$3=0,0,T25))))))</f>
        <v>0</v>
      </c>
      <c r="U7" s="173">
        <f>IF('GPS Anthro Tool'!$B$6=0,0,IF('GPS Anthro Tool'!$B$9=0,0,IF('China Child Data'!$I7=0,0,IF(U25&gt;'GPS Anthro Tool'!$B$14,0,IF(U25&lt;'GPS Anthro Tool'!$B$15,0,IF($I$3=0,0,U25))))))</f>
        <v>0</v>
      </c>
      <c r="W7" s="173">
        <f>IF('GPS Anthro Tool'!$B$6=0,0,IF('GPS Anthro Tool'!$B$11=0,0,IF('China Child Data'!$G7=0,0,IF(W25&gt;'GPS Anthro Tool'!$B$14,0,IF(W25&lt;'GPS Anthro Tool'!$B$15,0,IF($G$3=0,0,W25))))))</f>
        <v>0</v>
      </c>
      <c r="X7" s="173">
        <f>IF('GPS Anthro Tool'!$B$6=0,0,IF('GPS Anthro Tool'!$B$10=0,0,IF('China Child Data'!$H7=0,0,IF(X25&gt;'GPS Anthro Tool'!$B$14,0,IF(X25&lt;'GPS Anthro Tool'!$B$15,0,IF($H$3=0,0,X25))))))</f>
        <v>0</v>
      </c>
      <c r="Y7" s="173">
        <f>IF('GPS Anthro Tool'!$B$6=0,0,IF('GPS Anthro Tool'!$B$9=0,0,IF('China Child Data'!$I7=0,0,IF(Y25&gt;'GPS Anthro Tool'!$B$14,0,IF(Y25&lt;'GPS Anthro Tool'!$B$15,0,IF($I$3=0,0,Y25))))))</f>
        <v>0</v>
      </c>
      <c r="Z7" s="283">
        <v>0</v>
      </c>
      <c r="AA7" s="173">
        <f>IF('GPS Anthro Tool'!$B$6=0,0,IF('GPS Anthro Tool'!$B$11=0,0,IF('China Child Data'!$G7=0,0,IF(AA25&gt;'GPS Anthro Tool'!$B$14,0,IF(AA25&lt;'GPS Anthro Tool'!$B$15,0,IF($G$3=0,0,AA25))))))</f>
        <v>0</v>
      </c>
      <c r="AB7" s="173">
        <f>IF('GPS Anthro Tool'!$B$6=0,0,IF('GPS Anthro Tool'!$B$10=0,0,IF('China Child Data'!$H7=0,0,IF(AB25&gt;'GPS Anthro Tool'!$B$14,0,IF(AB25&lt;'GPS Anthro Tool'!$B$15,0,IF($H$3=0,0,AB25))))))</f>
        <v>0</v>
      </c>
      <c r="AC7" s="173">
        <f>IF('GPS Anthro Tool'!$B$6=0,0,IF('GPS Anthro Tool'!$B$9=0,0,IF('China Child Data'!$I7=0,0,IF(AC25&gt;'GPS Anthro Tool'!$B$14,0,IF(AC25&lt;'GPS Anthro Tool'!$B$15,0,IF($I$3=0,0,AC25))))))</f>
        <v>0</v>
      </c>
      <c r="AE7" s="173">
        <f>IF('GPS Anthro Tool'!$B$6=0,0,IF('GPS Anthro Tool'!$B$11=0,0,IF('China Child Data'!$G7=0,0,IF(AE25&gt;'GPS Anthro Tool'!$B$14,0,IF(AE25&lt;'GPS Anthro Tool'!$B$15,0,IF($G$3=0,0,AE25))))))</f>
        <v>0</v>
      </c>
      <c r="AF7" s="173">
        <f>IF('GPS Anthro Tool'!$B$6=0,0,IF('GPS Anthro Tool'!$B$10=0,0,IF('China Child Data'!$H7=0,0,IF(AF25&gt;'GPS Anthro Tool'!$B$14,0,IF(AF25&lt;'GPS Anthro Tool'!$B$15,0,IF($H$3=0,0,AF25))))))</f>
        <v>0</v>
      </c>
      <c r="AG7" s="173">
        <f>IF('GPS Anthro Tool'!$B$6=0,0,IF('GPS Anthro Tool'!$B$9=0,0,IF('China Child Data'!$I7=0,0,IF(AG25&gt;'GPS Anthro Tool'!$B$14,0,IF(AG25&lt;'GPS Anthro Tool'!$B$15,0,IF($I$3=0,0,AG25))))))</f>
        <v>0</v>
      </c>
      <c r="AI7" s="173">
        <f>IF('GPS Anthro Tool'!$B$6=0,0,IF('GPS Anthro Tool'!$B$11=0,0,IF('China Child Data'!$G7=0,0,IF(AI25&gt;'GPS Anthro Tool'!$B$14,0,IF(AI25&lt;'GPS Anthro Tool'!$B$15,0,IF($G$3=0,0,AI25))))))</f>
        <v>0</v>
      </c>
      <c r="AJ7" s="173">
        <f>IF('GPS Anthro Tool'!$B$6=0,0,IF('GPS Anthro Tool'!$B$10=0,0,IF('China Child Data'!$H7=0,0,IF(AJ25&gt;'GPS Anthro Tool'!$B$14,0,IF(AJ25&lt;'GPS Anthro Tool'!$B$15,0,IF($H$3=0,0,AJ25))))))</f>
        <v>0</v>
      </c>
      <c r="AK7" s="173">
        <f>IF('GPS Anthro Tool'!$B$6=0,0,IF('GPS Anthro Tool'!$B$9=0,0,IF('China Child Data'!$I7=0,0,IF(AK25&gt;'GPS Anthro Tool'!$B$14,0,IF(AK25&lt;'GPS Anthro Tool'!$B$15,0,IF($I$3=0,0,AK25))))))</f>
        <v>0</v>
      </c>
      <c r="AM7" s="173">
        <f>IF('GPS Anthro Tool'!$B$6=0,0,IF('GPS Anthro Tool'!$B$11=0,0,IF('China Child Data'!$G7=0,0,IF(AM25&gt;'GPS Anthro Tool'!$B$14,0,IF(AM25&lt;'GPS Anthro Tool'!$B$15,0,IF($G$3=0,0,-AM25))))))</f>
        <v>0</v>
      </c>
      <c r="AN7" s="173">
        <f>IF('GPS Anthro Tool'!$B$6=0,0,IF('GPS Anthro Tool'!$B$10=0,0,IF('China Child Data'!$H7=0,0,IF(AN25&gt;'GPS Anthro Tool'!$B$14,0,IF(AN25&lt;'GPS Anthro Tool'!$B$15,0,IF($H$3=0,0,-AN25))))))</f>
        <v>0</v>
      </c>
      <c r="AO7" s="173">
        <f>IF('GPS Anthro Tool'!$B$6=0,0,IF('GPS Anthro Tool'!$B$9=0,0,IF('China Child Data'!$I7=0,0,IF(AO25&gt;'GPS Anthro Tool'!$B$14,0,IF(AO25&lt;'GPS Anthro Tool'!$B$15,0,IF($I$3=0,0,-AO25))))))</f>
        <v>0</v>
      </c>
      <c r="AQ7" s="173">
        <f>IF('GPS Anthro Tool'!$B$6=0,0,IF('GPS Anthro Tool'!$B$11=0,0,IF('China Child Data'!$G7=0,0,IF(AQ25&gt;'GPS Anthro Tool'!$B$14,0,IF(AQ25&lt;'GPS Anthro Tool'!$B$15,0,IF($G$3=0,0,AQ25))))))</f>
        <v>0</v>
      </c>
      <c r="AR7" s="173">
        <f>IF('GPS Anthro Tool'!$B$6=0,0,IF('GPS Anthro Tool'!$B$10=0,0,IF('China Child Data'!$H7=0,0,IF(AR25&gt;'GPS Anthro Tool'!$B$14,0,IF(AR25&lt;'GPS Anthro Tool'!$B$15,0,IF($H$3=0,0,AR25))))))</f>
        <v>0</v>
      </c>
      <c r="AS7" s="173">
        <f>IF('GPS Anthro Tool'!$B$6=0,0,IF('GPS Anthro Tool'!$B$9=0,0,IF('China Child Data'!$I7=0,0,IF(AS25&gt;'GPS Anthro Tool'!$B$14,0,IF(AS25&lt;'GPS Anthro Tool'!$B$15,0,IF($I$3=0,0,AS25))))))</f>
        <v>0</v>
      </c>
      <c r="AU7" s="173">
        <f>IF('GPS Anthro Tool'!$B$6=0,0,IF('GPS Anthro Tool'!$B$11=0,0,IF('China Child Data'!$G7=0,0,IF(AU25&gt;'GPS Anthro Tool'!$B$14,0,IF(AU25&lt;'GPS Anthro Tool'!$B$15,0,IF($G$3=0,0,AU25))))))</f>
        <v>0</v>
      </c>
      <c r="AV7" s="173">
        <f>IF('GPS Anthro Tool'!$B$6=0,0,IF('GPS Anthro Tool'!$B$10=0,0,IF('China Child Data'!$H7=0,0,IF(AV25&gt;'GPS Anthro Tool'!$B$14,0,IF(AV25&lt;'GPS Anthro Tool'!$B$15,0,IF($H$3=0,0,AV25))))))</f>
        <v>0</v>
      </c>
      <c r="AW7" s="173">
        <f>IF('GPS Anthro Tool'!$B$6=0,0,IF('GPS Anthro Tool'!$B$9=0,0,IF('China Child Data'!$I7=0,0,IF(AW25&gt;'GPS Anthro Tool'!$B$14,0,IF(AW25&lt;'GPS Anthro Tool'!$B$15,0,IF($I$3=0,0,AW25))))))</f>
        <v>0</v>
      </c>
      <c r="AY7" s="173">
        <f>IF('GPS Anthro Tool'!$B$6=0,0,IF('GPS Anthro Tool'!$B$11=0,0,IF('China Child Data'!$G7=0,0,IF(AY25&gt;'GPS Anthro Tool'!$B$14,0,IF(AY25&lt;'GPS Anthro Tool'!$B$15,0,IF($G$3=0,0,AY25))))))</f>
        <v>0</v>
      </c>
      <c r="AZ7" s="173">
        <f>IF('GPS Anthro Tool'!$B$6=0,0,IF('GPS Anthro Tool'!$B$10=0,0,IF('China Child Data'!$H7=0,0,IF(AZ25&gt;'GPS Anthro Tool'!$B$14,0,IF(AZ25&lt;'GPS Anthro Tool'!$B$15,0,IF($H$3=0,0,AZ25))))))</f>
        <v>0</v>
      </c>
      <c r="BA7" s="173">
        <f>IF('GPS Anthro Tool'!$B$6=0,0,IF('GPS Anthro Tool'!$B$9=0,0,IF('China Child Data'!$I7=0,0,IF(BA25&gt;'GPS Anthro Tool'!$B$14,0,IF(BA25&lt;'GPS Anthro Tool'!$B$15,0,IF($I$3=0,0,BA25))))))</f>
        <v>0</v>
      </c>
      <c r="BC7" s="173">
        <f>IF('GPS Anthro Tool'!$B$6=0,0,IF('GPS Anthro Tool'!$B$11=0,0,IF('China Child Data'!$G7=0,0,IF(BC25&gt;'GPS Anthro Tool'!$B$14,0,IF(BC25&lt;'GPS Anthro Tool'!$B$15,0,IF($G$3=0,0,BC25))))))</f>
        <v>0</v>
      </c>
      <c r="BD7" s="173">
        <f>IF('GPS Anthro Tool'!$B$6=0,0,IF('GPS Anthro Tool'!$B$10=0,0,IF('China Child Data'!$H7=0,0,IF(BD25&gt;'GPS Anthro Tool'!$B$14,0,IF(BD25&lt;'GPS Anthro Tool'!$B$15,0,IF($H$3=0,0,BD25))))))</f>
        <v>0</v>
      </c>
      <c r="BE7" s="173">
        <f>IF('GPS Anthro Tool'!$B$6=0,0,IF('GPS Anthro Tool'!$B$9=0,0,IF('China Child Data'!$I7=0,0,IF(BE25&gt;'GPS Anthro Tool'!$B$14,0,IF(BE25&lt;'GPS Anthro Tool'!$B$15,0,IF($I$3=0,0,BE25))))))</f>
        <v>0</v>
      </c>
      <c r="BF7" s="208"/>
      <c r="BG7" s="157">
        <f t="shared" si="0"/>
        <v>0</v>
      </c>
      <c r="BH7" s="157">
        <f t="shared" si="0"/>
        <v>0</v>
      </c>
      <c r="BI7" s="157">
        <f t="shared" si="0"/>
        <v>0</v>
      </c>
      <c r="BJ7" s="213">
        <v>0</v>
      </c>
      <c r="BK7" s="157">
        <f t="shared" si="1"/>
        <v>0</v>
      </c>
      <c r="BL7" s="157">
        <f t="shared" si="1"/>
        <v>0</v>
      </c>
      <c r="BM7" s="157">
        <f t="shared" si="1"/>
        <v>0</v>
      </c>
      <c r="BN7" s="213">
        <v>0</v>
      </c>
      <c r="BO7" s="157">
        <f t="shared" si="2"/>
        <v>0</v>
      </c>
      <c r="BP7" s="157">
        <f t="shared" si="2"/>
        <v>0</v>
      </c>
      <c r="BQ7" s="157">
        <f t="shared" si="2"/>
        <v>0</v>
      </c>
      <c r="BR7" s="213"/>
      <c r="BS7" s="167">
        <f t="shared" si="3"/>
        <v>0</v>
      </c>
      <c r="BT7" s="167">
        <f t="shared" si="3"/>
        <v>0</v>
      </c>
      <c r="BU7" s="167">
        <f t="shared" si="3"/>
        <v>0</v>
      </c>
      <c r="BV7" s="213">
        <v>0</v>
      </c>
      <c r="BW7" s="168">
        <f t="shared" si="4"/>
        <v>0</v>
      </c>
      <c r="BX7" s="168">
        <f t="shared" si="4"/>
        <v>0</v>
      </c>
      <c r="BY7" s="168">
        <f t="shared" si="4"/>
        <v>0</v>
      </c>
      <c r="BZ7" s="210"/>
      <c r="CA7" s="169">
        <f t="shared" si="5"/>
        <v>0</v>
      </c>
      <c r="CB7" s="169">
        <f t="shared" si="5"/>
        <v>0</v>
      </c>
      <c r="CC7" s="169">
        <f t="shared" si="5"/>
        <v>0</v>
      </c>
      <c r="CD7" s="210"/>
      <c r="CE7" s="170">
        <f t="shared" si="6"/>
        <v>0</v>
      </c>
      <c r="CF7" s="170">
        <f t="shared" si="6"/>
        <v>0</v>
      </c>
      <c r="CG7" s="170">
        <f t="shared" si="6"/>
        <v>0</v>
      </c>
      <c r="CH7" s="210"/>
    </row>
    <row r="8" spans="1:86">
      <c r="A8" s="426">
        <v>2</v>
      </c>
      <c r="B8" s="153">
        <v>1</v>
      </c>
      <c r="C8" s="172">
        <f>IF('GPS Anthro Tool'!$B$6=0,0,IF('GPS Anthro Tool'!$B$6=0,0,IF('GPS Anthro Tool'!$B$11=0,0,IF('China Child Data'!$B8=0,0,IF(C26&gt;'GPS Anthro Tool'!$B$16,0,IF(C26&lt;'GPS Anthro Tool'!$B$17,0,C26))))))</f>
        <v>0</v>
      </c>
      <c r="D8" s="172">
        <f>IF('GPS Anthro Tool'!$B$6=0,0,IF('GPS Anthro Tool'!$B$6=0,0,IF('GPS Anthro Tool'!$B$10=0,0,IF('China Child Data'!$B8=0,0,IF(D26&gt;'GPS Anthro Tool'!$B$16,0,IF(D26&lt;'GPS Anthro Tool'!$B$17,0,D26))))))</f>
        <v>0</v>
      </c>
      <c r="E8" s="172">
        <f>IF('GPS Anthro Tool'!$B$6=0,0,IF('GPS Anthro Tool'!$B$6=0,0,IF('GPS Anthro Tool'!$B$9=0,0,IF('China Child Data'!$B8=0,0,IF(E26&gt;'GPS Anthro Tool'!$B$16,0,IF(E26&lt;'GPS Anthro Tool'!$B$17,0,E26))))))</f>
        <v>0</v>
      </c>
      <c r="G8" s="173">
        <f>IF('GPS Anthro Tool'!$B$6=0,0,IF('GPS Anthro Tool'!$B$11=0,0,IF('China Child Data'!$B8=0,0,IF(G26&gt;'GPS Anthro Tool'!$B$14,0,IF(G26&lt;'GPS Anthro Tool'!$B$15,0,G26)))))</f>
        <v>0</v>
      </c>
      <c r="H8" s="173">
        <f>IF('GPS Anthro Tool'!$B$6=0,0,IF('GPS Anthro Tool'!$B$10=0,0,IF('China Child Data'!$B8=0,0,IF(H26&gt;'GPS Anthro Tool'!$B$14,0,IF(H26&lt;'GPS Anthro Tool'!$B$15,0,H26)))))</f>
        <v>0</v>
      </c>
      <c r="I8" s="173">
        <f>IF('GPS Anthro Tool'!$B$6=0,0,IF('GPS Anthro Tool'!$B$9=0,0,IF('China Child Data'!$B8=0,0,IF(I26&gt;'GPS Anthro Tool'!$B$14,0,IF(I26&lt;'GPS Anthro Tool'!$B$15,0,I26)))))</f>
        <v>0</v>
      </c>
      <c r="K8" s="458">
        <f>IF('GPS Anthro Tool'!$B$6=0,0,IF('GPS Anthro Tool'!$B$11=0,0,IF('China Child Data'!$G8=0,0,IF(K26&gt;'GPS Anthro Tool'!$B$14,0,IF(K26&lt;'GPS Anthro Tool'!$B$15,0,IF($G$3=0,0,K26))))))</f>
        <v>0</v>
      </c>
      <c r="L8" s="458">
        <f>IF('GPS Anthro Tool'!$B$6=0,0,IF('GPS Anthro Tool'!$B$10=0,0,IF('China Child Data'!$H8=0,0,IF(L26&gt;'GPS Anthro Tool'!$B$14,0,IF(L26&lt;'GPS Anthro Tool'!$B$15,0,IF($H$3=0,0,L26))))))</f>
        <v>0</v>
      </c>
      <c r="M8" s="458">
        <f>IF('GPS Anthro Tool'!$B$6=0,0,IF('GPS Anthro Tool'!$B$9=0,0,IF('China Child Data'!$I8=0,0,IF(M26&gt;'GPS Anthro Tool'!$B$14,0,IF(M26&lt;'GPS Anthro Tool'!$B$15,0,IF($I$3=0,0,M26))))))</f>
        <v>0</v>
      </c>
      <c r="N8" s="459"/>
      <c r="O8" s="458">
        <f>IF('GPS Anthro Tool'!$B$6=0,0,IF('GPS Anthro Tool'!$B$11=0,0,IF('China Child Data'!$G8=0,0,IF(O26&gt;'GPS Anthro Tool'!$B$14,0,IF(O26&lt;'GPS Anthro Tool'!$B$15,0,IF($G$3=0,0,O26))))))</f>
        <v>0</v>
      </c>
      <c r="P8" s="458">
        <f>IF('GPS Anthro Tool'!$B$6=0,0,IF('GPS Anthro Tool'!$B$10=0,0,IF('China Child Data'!$H8=0,0,IF(P26&gt;'GPS Anthro Tool'!$B$14,0,IF(P26&lt;'GPS Anthro Tool'!$B$15,0,IF($H$3=0,0,P26))))))</f>
        <v>0</v>
      </c>
      <c r="Q8" s="458">
        <f>IF('GPS Anthro Tool'!$B$6=0,0,IF('GPS Anthro Tool'!$B$9=0,0,IF('China Child Data'!$I8=0,0,IF(Q26&gt;'GPS Anthro Tool'!$B$14,0,IF(Q26&lt;'GPS Anthro Tool'!$B$15,0,IF($I$3=0,0,Q26))))))</f>
        <v>0</v>
      </c>
      <c r="S8" s="173">
        <f>IF('GPS Anthro Tool'!$B$6=0,0,IF('GPS Anthro Tool'!$B$11=0,0,IF('China Child Data'!$G8=0,0,IF(S26&gt;'GPS Anthro Tool'!$B$14,0,IF(S26&lt;'GPS Anthro Tool'!$B$15,0,IF($G$3=0,0,S26))))))</f>
        <v>0</v>
      </c>
      <c r="T8" s="173">
        <f>IF('GPS Anthro Tool'!$B$6=0,0,IF('GPS Anthro Tool'!$B$10=0,0,IF('China Child Data'!$H8=0,0,IF(T26&gt;'GPS Anthro Tool'!$B$14,0,IF(T26&lt;'GPS Anthro Tool'!$B$15,0,IF($H$3=0,0,T26))))))</f>
        <v>0</v>
      </c>
      <c r="U8" s="173">
        <f>IF('GPS Anthro Tool'!$B$6=0,0,IF('GPS Anthro Tool'!$B$9=0,0,IF('China Child Data'!$I8=0,0,IF(U26&gt;'GPS Anthro Tool'!$B$14,0,IF(U26&lt;'GPS Anthro Tool'!$B$15,0,IF($I$3=0,0,U26))))))</f>
        <v>0</v>
      </c>
      <c r="W8" s="173">
        <f>IF('GPS Anthro Tool'!$B$6=0,0,IF('GPS Anthro Tool'!$B$11=0,0,IF('China Child Data'!$G8=0,0,IF(W26&gt;'GPS Anthro Tool'!$B$14,0,IF(W26&lt;'GPS Anthro Tool'!$B$15,0,IF($G$3=0,0,W26))))))</f>
        <v>0</v>
      </c>
      <c r="X8" s="173">
        <f>IF('GPS Anthro Tool'!$B$6=0,0,IF('GPS Anthro Tool'!$B$10=0,0,IF('China Child Data'!$H8=0,0,IF(X26&gt;'GPS Anthro Tool'!$B$14,0,IF(X26&lt;'GPS Anthro Tool'!$B$15,0,IF($H$3=0,0,X26))))))</f>
        <v>0</v>
      </c>
      <c r="Y8" s="173">
        <f>IF('GPS Anthro Tool'!$B$6=0,0,IF('GPS Anthro Tool'!$B$9=0,0,IF('China Child Data'!$I8=0,0,IF(Y26&gt;'GPS Anthro Tool'!$B$14,0,IF(Y26&lt;'GPS Anthro Tool'!$B$15,0,IF($I$3=0,0,Y26))))))</f>
        <v>0</v>
      </c>
      <c r="Z8" s="283">
        <v>0</v>
      </c>
      <c r="AA8" s="173">
        <f>IF('GPS Anthro Tool'!$B$6=0,0,IF('GPS Anthro Tool'!$B$11=0,0,IF('China Child Data'!$G8=0,0,IF(AA26&gt;'GPS Anthro Tool'!$B$14,0,IF(AA26&lt;'GPS Anthro Tool'!$B$15,0,IF($G$3=0,0,AA26))))))</f>
        <v>0</v>
      </c>
      <c r="AB8" s="173">
        <f>IF('GPS Anthro Tool'!$B$6=0,0,IF('GPS Anthro Tool'!$B$10=0,0,IF('China Child Data'!$H8=0,0,IF(AB26&gt;'GPS Anthro Tool'!$B$14,0,IF(AB26&lt;'GPS Anthro Tool'!$B$15,0,IF($H$3=0,0,AB26))))))</f>
        <v>0</v>
      </c>
      <c r="AC8" s="173">
        <f>IF('GPS Anthro Tool'!$B$6=0,0,IF('GPS Anthro Tool'!$B$9=0,0,IF('China Child Data'!$I8=0,0,IF(AC26&gt;'GPS Anthro Tool'!$B$14,0,IF(AC26&lt;'GPS Anthro Tool'!$B$15,0,IF($I$3=0,0,AC26))))))</f>
        <v>0</v>
      </c>
      <c r="AE8" s="173">
        <f>IF('GPS Anthro Tool'!$B$6=0,0,IF('GPS Anthro Tool'!$B$11=0,0,IF('China Child Data'!$G8=0,0,IF(AE26&gt;'GPS Anthro Tool'!$B$14,0,IF(AE26&lt;'GPS Anthro Tool'!$B$15,0,IF($G$3=0,0,AE26))))))</f>
        <v>0</v>
      </c>
      <c r="AF8" s="173">
        <f>IF('GPS Anthro Tool'!$B$6=0,0,IF('GPS Anthro Tool'!$B$10=0,0,IF('China Child Data'!$H8=0,0,IF(AF26&gt;'GPS Anthro Tool'!$B$14,0,IF(AF26&lt;'GPS Anthro Tool'!$B$15,0,IF($H$3=0,0,AF26))))))</f>
        <v>0</v>
      </c>
      <c r="AG8" s="173">
        <f>IF('GPS Anthro Tool'!$B$6=0,0,IF('GPS Anthro Tool'!$B$9=0,0,IF('China Child Data'!$I8=0,0,IF(AG26&gt;'GPS Anthro Tool'!$B$14,0,IF(AG26&lt;'GPS Anthro Tool'!$B$15,0,IF($I$3=0,0,AG26))))))</f>
        <v>0</v>
      </c>
      <c r="AI8" s="173">
        <f>IF('GPS Anthro Tool'!$B$6=0,0,IF('GPS Anthro Tool'!$B$11=0,0,IF('China Child Data'!$G8=0,0,IF(AI26&gt;'GPS Anthro Tool'!$B$14,0,IF(AI26&lt;'GPS Anthro Tool'!$B$15,0,IF($G$3=0,0,AI26))))))</f>
        <v>0</v>
      </c>
      <c r="AJ8" s="173">
        <f>IF('GPS Anthro Tool'!$B$6=0,0,IF('GPS Anthro Tool'!$B$10=0,0,IF('China Child Data'!$H8=0,0,IF(AJ26&gt;'GPS Anthro Tool'!$B$14,0,IF(AJ26&lt;'GPS Anthro Tool'!$B$15,0,IF($H$3=0,0,AJ26))))))</f>
        <v>0</v>
      </c>
      <c r="AK8" s="173">
        <f>IF('GPS Anthro Tool'!$B$6=0,0,IF('GPS Anthro Tool'!$B$9=0,0,IF('China Child Data'!$I8=0,0,IF(AK26&gt;'GPS Anthro Tool'!$B$14,0,IF(AK26&lt;'GPS Anthro Tool'!$B$15,0,IF($I$3=0,0,AK26))))))</f>
        <v>0</v>
      </c>
      <c r="AM8" s="173">
        <f>IF('GPS Anthro Tool'!$B$6=0,0,IF('GPS Anthro Tool'!$B$11=0,0,IF('China Child Data'!$G8=0,0,IF(AM26&gt;'GPS Anthro Tool'!$B$14,0,IF(AM26&lt;'GPS Anthro Tool'!$B$15,0,IF($G$3=0,0,-AM26))))))</f>
        <v>0</v>
      </c>
      <c r="AN8" s="173">
        <f>IF('GPS Anthro Tool'!$B$6=0,0,IF('GPS Anthro Tool'!$B$10=0,0,IF('China Child Data'!$H8=0,0,IF(AN26&gt;'GPS Anthro Tool'!$B$14,0,IF(AN26&lt;'GPS Anthro Tool'!$B$15,0,IF($H$3=0,0,-AN26))))))</f>
        <v>0</v>
      </c>
      <c r="AO8" s="173">
        <f>IF('GPS Anthro Tool'!$B$6=0,0,IF('GPS Anthro Tool'!$B$9=0,0,IF('China Child Data'!$I8=0,0,IF(AO26&gt;'GPS Anthro Tool'!$B$14,0,IF(AO26&lt;'GPS Anthro Tool'!$B$15,0,IF($I$3=0,0,-AO26))))))</f>
        <v>0</v>
      </c>
      <c r="AQ8" s="173">
        <f>IF('GPS Anthro Tool'!$B$6=0,0,IF('GPS Anthro Tool'!$B$11=0,0,IF('China Child Data'!$G8=0,0,IF(AQ26&gt;'GPS Anthro Tool'!$B$14,0,IF(AQ26&lt;'GPS Anthro Tool'!$B$15,0,IF($G$3=0,0,AQ26))))))</f>
        <v>0</v>
      </c>
      <c r="AR8" s="173">
        <f>IF('GPS Anthro Tool'!$B$6=0,0,IF('GPS Anthro Tool'!$B$10=0,0,IF('China Child Data'!$H8=0,0,IF(AR26&gt;'GPS Anthro Tool'!$B$14,0,IF(AR26&lt;'GPS Anthro Tool'!$B$15,0,IF($H$3=0,0,AR26))))))</f>
        <v>0</v>
      </c>
      <c r="AS8" s="173">
        <f>IF('GPS Anthro Tool'!$B$6=0,0,IF('GPS Anthro Tool'!$B$9=0,0,IF('China Child Data'!$I8=0,0,IF(AS26&gt;'GPS Anthro Tool'!$B$14,0,IF(AS26&lt;'GPS Anthro Tool'!$B$15,0,IF($I$3=0,0,AS26))))))</f>
        <v>0</v>
      </c>
      <c r="AU8" s="173">
        <f>IF('GPS Anthro Tool'!$B$6=0,0,IF('GPS Anthro Tool'!$B$11=0,0,IF('China Child Data'!$G8=0,0,IF(AU26&gt;'GPS Anthro Tool'!$B$14,0,IF(AU26&lt;'GPS Anthro Tool'!$B$15,0,IF($G$3=0,0,AU26))))))</f>
        <v>0</v>
      </c>
      <c r="AV8" s="173">
        <f>IF('GPS Anthro Tool'!$B$6=0,0,IF('GPS Anthro Tool'!$B$10=0,0,IF('China Child Data'!$H8=0,0,IF(AV26&gt;'GPS Anthro Tool'!$B$14,0,IF(AV26&lt;'GPS Anthro Tool'!$B$15,0,IF($H$3=0,0,AV26))))))</f>
        <v>0</v>
      </c>
      <c r="AW8" s="173">
        <f>IF('GPS Anthro Tool'!$B$6=0,0,IF('GPS Anthro Tool'!$B$9=0,0,IF('China Child Data'!$I8=0,0,IF(AW26&gt;'GPS Anthro Tool'!$B$14,0,IF(AW26&lt;'GPS Anthro Tool'!$B$15,0,IF($I$3=0,0,AW26))))))</f>
        <v>0</v>
      </c>
      <c r="AY8" s="173">
        <f>IF('GPS Anthro Tool'!$B$6=0,0,IF('GPS Anthro Tool'!$B$11=0,0,IF('China Child Data'!$G8=0,0,IF(AY26&gt;'GPS Anthro Tool'!$B$14,0,IF(AY26&lt;'GPS Anthro Tool'!$B$15,0,IF($G$3=0,0,AY26))))))</f>
        <v>0</v>
      </c>
      <c r="AZ8" s="173">
        <f>IF('GPS Anthro Tool'!$B$6=0,0,IF('GPS Anthro Tool'!$B$10=0,0,IF('China Child Data'!$H8=0,0,IF(AZ26&gt;'GPS Anthro Tool'!$B$14,0,IF(AZ26&lt;'GPS Anthro Tool'!$B$15,0,IF($H$3=0,0,AZ26))))))</f>
        <v>0</v>
      </c>
      <c r="BA8" s="173">
        <f>IF('GPS Anthro Tool'!$B$6=0,0,IF('GPS Anthro Tool'!$B$9=0,0,IF('China Child Data'!$I8=0,0,IF(BA26&gt;'GPS Anthro Tool'!$B$14,0,IF(BA26&lt;'GPS Anthro Tool'!$B$15,0,IF($I$3=0,0,BA26))))))</f>
        <v>0</v>
      </c>
      <c r="BC8" s="173">
        <f>IF('GPS Anthro Tool'!$B$6=0,0,IF('GPS Anthro Tool'!$B$11=0,0,IF('China Child Data'!$G8=0,0,IF(BC26&gt;'GPS Anthro Tool'!$B$14,0,IF(BC26&lt;'GPS Anthro Tool'!$B$15,0,IF($G$3=0,0,BC26))))))</f>
        <v>0</v>
      </c>
      <c r="BD8" s="173">
        <f>IF('GPS Anthro Tool'!$B$6=0,0,IF('GPS Anthro Tool'!$B$10=0,0,IF('China Child Data'!$H8=0,0,IF(BD26&gt;'GPS Anthro Tool'!$B$14,0,IF(BD26&lt;'GPS Anthro Tool'!$B$15,0,IF($H$3=0,0,BD26))))))</f>
        <v>0</v>
      </c>
      <c r="BE8" s="173">
        <f>IF('GPS Anthro Tool'!$B$6=0,0,IF('GPS Anthro Tool'!$B$9=0,0,IF('China Child Data'!$I8=0,0,IF(BE26&gt;'GPS Anthro Tool'!$B$14,0,IF(BE26&lt;'GPS Anthro Tool'!$B$15,0,IF($I$3=0,0,BE26))))))</f>
        <v>0</v>
      </c>
      <c r="BF8" s="208"/>
      <c r="BG8" s="157">
        <f t="shared" si="0"/>
        <v>0</v>
      </c>
      <c r="BH8" s="157">
        <f t="shared" si="0"/>
        <v>0</v>
      </c>
      <c r="BI8" s="157">
        <f t="shared" si="0"/>
        <v>0</v>
      </c>
      <c r="BJ8" s="213">
        <v>0</v>
      </c>
      <c r="BK8" s="157">
        <f t="shared" si="1"/>
        <v>0</v>
      </c>
      <c r="BL8" s="157">
        <f t="shared" si="1"/>
        <v>0</v>
      </c>
      <c r="BM8" s="157">
        <f t="shared" si="1"/>
        <v>0</v>
      </c>
      <c r="BN8" s="213">
        <v>0</v>
      </c>
      <c r="BO8" s="157">
        <f t="shared" si="2"/>
        <v>0</v>
      </c>
      <c r="BP8" s="157">
        <f t="shared" si="2"/>
        <v>0</v>
      </c>
      <c r="BQ8" s="157">
        <f t="shared" si="2"/>
        <v>0</v>
      </c>
      <c r="BR8" s="213"/>
      <c r="BS8" s="167">
        <f t="shared" si="3"/>
        <v>0</v>
      </c>
      <c r="BT8" s="167">
        <f t="shared" si="3"/>
        <v>0</v>
      </c>
      <c r="BU8" s="167">
        <f t="shared" si="3"/>
        <v>0</v>
      </c>
      <c r="BV8" s="213">
        <v>0</v>
      </c>
      <c r="BW8" s="168">
        <f t="shared" si="4"/>
        <v>0</v>
      </c>
      <c r="BX8" s="168">
        <f t="shared" si="4"/>
        <v>0</v>
      </c>
      <c r="BY8" s="168">
        <f t="shared" si="4"/>
        <v>0</v>
      </c>
      <c r="BZ8" s="210"/>
      <c r="CA8" s="169">
        <f t="shared" si="5"/>
        <v>0</v>
      </c>
      <c r="CB8" s="169">
        <f t="shared" si="5"/>
        <v>0</v>
      </c>
      <c r="CC8" s="169">
        <f t="shared" si="5"/>
        <v>0</v>
      </c>
      <c r="CD8" s="210"/>
      <c r="CE8" s="170">
        <f t="shared" si="6"/>
        <v>0</v>
      </c>
      <c r="CF8" s="170">
        <f t="shared" si="6"/>
        <v>0</v>
      </c>
      <c r="CG8" s="170">
        <f t="shared" si="6"/>
        <v>0</v>
      </c>
      <c r="CH8" s="210"/>
    </row>
    <row r="9" spans="1:86">
      <c r="A9" s="426">
        <v>3</v>
      </c>
      <c r="B9" s="153">
        <v>1</v>
      </c>
      <c r="C9" s="172">
        <f>IF('GPS Anthro Tool'!$B$6=0,0,IF('GPS Anthro Tool'!$B$6=0,0,IF('GPS Anthro Tool'!$B$11=0,0,IF('China Child Data'!$B9=0,0,IF(C27&gt;'GPS Anthro Tool'!$B$16,0,IF(C27&lt;'GPS Anthro Tool'!$B$17,0,C27))))))</f>
        <v>0</v>
      </c>
      <c r="D9" s="172">
        <f>IF('GPS Anthro Tool'!$B$6=0,0,IF('GPS Anthro Tool'!$B$6=0,0,IF('GPS Anthro Tool'!$B$10=0,0,IF('China Child Data'!$B9=0,0,IF(D27&gt;'GPS Anthro Tool'!$B$16,0,IF(D27&lt;'GPS Anthro Tool'!$B$17,0,D27))))))</f>
        <v>0</v>
      </c>
      <c r="E9" s="172">
        <f>IF('GPS Anthro Tool'!$B$6=0,0,IF('GPS Anthro Tool'!$B$6=0,0,IF('GPS Anthro Tool'!$B$9=0,0,IF('China Child Data'!$B9=0,0,IF(E27&gt;'GPS Anthro Tool'!$B$16,0,IF(E27&lt;'GPS Anthro Tool'!$B$17,0,E27))))))</f>
        <v>0</v>
      </c>
      <c r="G9" s="173">
        <f>IF('GPS Anthro Tool'!$B$6=0,0,IF('GPS Anthro Tool'!$B$11=0,0,IF('China Child Data'!$B9=0,0,IF(G27&gt;'GPS Anthro Tool'!$B$14,0,IF(G27&lt;'GPS Anthro Tool'!$B$15,0,G27)))))</f>
        <v>0</v>
      </c>
      <c r="H9" s="173">
        <f>IF('GPS Anthro Tool'!$B$6=0,0,IF('GPS Anthro Tool'!$B$10=0,0,IF('China Child Data'!$B9=0,0,IF(H27&gt;'GPS Anthro Tool'!$B$14,0,IF(H27&lt;'GPS Anthro Tool'!$B$15,0,H27)))))</f>
        <v>0</v>
      </c>
      <c r="I9" s="173">
        <f>IF('GPS Anthro Tool'!$B$6=0,0,IF('GPS Anthro Tool'!$B$9=0,0,IF('China Child Data'!$B9=0,0,IF(I27&gt;'GPS Anthro Tool'!$B$14,0,IF(I27&lt;'GPS Anthro Tool'!$B$15,0,I27)))))</f>
        <v>0</v>
      </c>
      <c r="K9" s="458">
        <f>IF('GPS Anthro Tool'!$B$6=0,0,IF('GPS Anthro Tool'!$B$11=0,0,IF('China Child Data'!$G9=0,0,IF(K27&gt;'GPS Anthro Tool'!$B$14,0,IF(K27&lt;'GPS Anthro Tool'!$B$15,0,IF($G$3=0,0,K27))))))</f>
        <v>0</v>
      </c>
      <c r="L9" s="458">
        <f>IF('GPS Anthro Tool'!$B$6=0,0,IF('GPS Anthro Tool'!$B$10=0,0,IF('China Child Data'!$H9=0,0,IF(L27&gt;'GPS Anthro Tool'!$B$14,0,IF(L27&lt;'GPS Anthro Tool'!$B$15,0,IF($H$3=0,0,L27))))))</f>
        <v>0</v>
      </c>
      <c r="M9" s="458">
        <f>IF('GPS Anthro Tool'!$B$6=0,0,IF('GPS Anthro Tool'!$B$9=0,0,IF('China Child Data'!$I9=0,0,IF(M27&gt;'GPS Anthro Tool'!$B$14,0,IF(M27&lt;'GPS Anthro Tool'!$B$15,0,IF($I$3=0,0,M27))))))</f>
        <v>0</v>
      </c>
      <c r="N9" s="459"/>
      <c r="O9" s="458">
        <f>IF('GPS Anthro Tool'!$B$6=0,0,IF('GPS Anthro Tool'!$B$11=0,0,IF('China Child Data'!$G9=0,0,IF(O27&gt;'GPS Anthro Tool'!$B$14,0,IF(O27&lt;'GPS Anthro Tool'!$B$15,0,IF($G$3=0,0,O27))))))</f>
        <v>0</v>
      </c>
      <c r="P9" s="458">
        <f>IF('GPS Anthro Tool'!$B$6=0,0,IF('GPS Anthro Tool'!$B$10=0,0,IF('China Child Data'!$H9=0,0,IF(P27&gt;'GPS Anthro Tool'!$B$14,0,IF(P27&lt;'GPS Anthro Tool'!$B$15,0,IF($H$3=0,0,P27))))))</f>
        <v>0</v>
      </c>
      <c r="Q9" s="458">
        <f>IF('GPS Anthro Tool'!$B$6=0,0,IF('GPS Anthro Tool'!$B$9=0,0,IF('China Child Data'!$I9=0,0,IF(Q27&gt;'GPS Anthro Tool'!$B$14,0,IF(Q27&lt;'GPS Anthro Tool'!$B$15,0,IF($I$3=0,0,Q27))))))</f>
        <v>0</v>
      </c>
      <c r="S9" s="173">
        <f>IF('GPS Anthro Tool'!$B$6=0,0,IF('GPS Anthro Tool'!$B$11=0,0,IF('China Child Data'!$G9=0,0,IF(S27&gt;'GPS Anthro Tool'!$B$14,0,IF(S27&lt;'GPS Anthro Tool'!$B$15,0,IF($G$3=0,0,S27))))))</f>
        <v>0</v>
      </c>
      <c r="T9" s="173">
        <f>IF('GPS Anthro Tool'!$B$6=0,0,IF('GPS Anthro Tool'!$B$10=0,0,IF('China Child Data'!$H9=0,0,IF(T27&gt;'GPS Anthro Tool'!$B$14,0,IF(T27&lt;'GPS Anthro Tool'!$B$15,0,IF($H$3=0,0,T27))))))</f>
        <v>0</v>
      </c>
      <c r="U9" s="173">
        <f>IF('GPS Anthro Tool'!$B$6=0,0,IF('GPS Anthro Tool'!$B$9=0,0,IF('China Child Data'!$I9=0,0,IF(U27&gt;'GPS Anthro Tool'!$B$14,0,IF(U27&lt;'GPS Anthro Tool'!$B$15,0,IF($I$3=0,0,U27))))))</f>
        <v>0</v>
      </c>
      <c r="W9" s="173">
        <f>IF('GPS Anthro Tool'!$B$6=0,0,IF('GPS Anthro Tool'!$B$11=0,0,IF('China Child Data'!$G9=0,0,IF(W27&gt;'GPS Anthro Tool'!$B$14,0,IF(W27&lt;'GPS Anthro Tool'!$B$15,0,IF($G$3=0,0,W27))))))</f>
        <v>0</v>
      </c>
      <c r="X9" s="173">
        <f>IF('GPS Anthro Tool'!$B$6=0,0,IF('GPS Anthro Tool'!$B$10=0,0,IF('China Child Data'!$H9=0,0,IF(X27&gt;'GPS Anthro Tool'!$B$14,0,IF(X27&lt;'GPS Anthro Tool'!$B$15,0,IF($H$3=0,0,X27))))))</f>
        <v>0</v>
      </c>
      <c r="Y9" s="173">
        <f>IF('GPS Anthro Tool'!$B$6=0,0,IF('GPS Anthro Tool'!$B$9=0,0,IF('China Child Data'!$I9=0,0,IF(Y27&gt;'GPS Anthro Tool'!$B$14,0,IF(Y27&lt;'GPS Anthro Tool'!$B$15,0,IF($I$3=0,0,Y27))))))</f>
        <v>0</v>
      </c>
      <c r="Z9" s="283">
        <v>0</v>
      </c>
      <c r="AA9" s="173">
        <f>IF('GPS Anthro Tool'!$B$6=0,0,IF('GPS Anthro Tool'!$B$11=0,0,IF('China Child Data'!$G9=0,0,IF(AA27&gt;'GPS Anthro Tool'!$B$14,0,IF(AA27&lt;'GPS Anthro Tool'!$B$15,0,IF($G$3=0,0,AA27))))))</f>
        <v>0</v>
      </c>
      <c r="AB9" s="173">
        <f>IF('GPS Anthro Tool'!$B$6=0,0,IF('GPS Anthro Tool'!$B$10=0,0,IF('China Child Data'!$H9=0,0,IF(AB27&gt;'GPS Anthro Tool'!$B$14,0,IF(AB27&lt;'GPS Anthro Tool'!$B$15,0,IF($H$3=0,0,AB27))))))</f>
        <v>0</v>
      </c>
      <c r="AC9" s="173">
        <f>IF('GPS Anthro Tool'!$B$6=0,0,IF('GPS Anthro Tool'!$B$9=0,0,IF('China Child Data'!$I9=0,0,IF(AC27&gt;'GPS Anthro Tool'!$B$14,0,IF(AC27&lt;'GPS Anthro Tool'!$B$15,0,IF($I$3=0,0,AC27))))))</f>
        <v>0</v>
      </c>
      <c r="AE9" s="173">
        <f>IF('GPS Anthro Tool'!$B$6=0,0,IF('GPS Anthro Tool'!$B$11=0,0,IF('China Child Data'!$G9=0,0,IF(AE27&gt;'GPS Anthro Tool'!$B$14,0,IF(AE27&lt;'GPS Anthro Tool'!$B$15,0,IF($G$3=0,0,AE27))))))</f>
        <v>0</v>
      </c>
      <c r="AF9" s="173">
        <f>IF('GPS Anthro Tool'!$B$6=0,0,IF('GPS Anthro Tool'!$B$10=0,0,IF('China Child Data'!$H9=0,0,IF(AF27&gt;'GPS Anthro Tool'!$B$14,0,IF(AF27&lt;'GPS Anthro Tool'!$B$15,0,IF($H$3=0,0,AF27))))))</f>
        <v>0</v>
      </c>
      <c r="AG9" s="173">
        <f>IF('GPS Anthro Tool'!$B$6=0,0,IF('GPS Anthro Tool'!$B$9=0,0,IF('China Child Data'!$I9=0,0,IF(AG27&gt;'GPS Anthro Tool'!$B$14,0,IF(AG27&lt;'GPS Anthro Tool'!$B$15,0,IF($I$3=0,0,AG27))))))</f>
        <v>0</v>
      </c>
      <c r="AI9" s="173">
        <f>IF('GPS Anthro Tool'!$B$6=0,0,IF('GPS Anthro Tool'!$B$11=0,0,IF('China Child Data'!$G9=0,0,IF(AI27&gt;'GPS Anthro Tool'!$B$14,0,IF(AI27&lt;'GPS Anthro Tool'!$B$15,0,IF($G$3=0,0,AI27))))))</f>
        <v>0</v>
      </c>
      <c r="AJ9" s="173">
        <f>IF('GPS Anthro Tool'!$B$6=0,0,IF('GPS Anthro Tool'!$B$10=0,0,IF('China Child Data'!$H9=0,0,IF(AJ27&gt;'GPS Anthro Tool'!$B$14,0,IF(AJ27&lt;'GPS Anthro Tool'!$B$15,0,IF($H$3=0,0,AJ27))))))</f>
        <v>0</v>
      </c>
      <c r="AK9" s="173">
        <f>IF('GPS Anthro Tool'!$B$6=0,0,IF('GPS Anthro Tool'!$B$9=0,0,IF('China Child Data'!$I9=0,0,IF(AK27&gt;'GPS Anthro Tool'!$B$14,0,IF(AK27&lt;'GPS Anthro Tool'!$B$15,0,IF($I$3=0,0,AK27))))))</f>
        <v>0</v>
      </c>
      <c r="AM9" s="173">
        <f>IF('GPS Anthro Tool'!$B$6=0,0,IF('GPS Anthro Tool'!$B$11=0,0,IF('China Child Data'!$G9=0,0,IF(AM27&gt;'GPS Anthro Tool'!$B$14,0,IF(AM27&lt;'GPS Anthro Tool'!$B$15,0,IF($G$3=0,0,-AM27))))))</f>
        <v>0</v>
      </c>
      <c r="AN9" s="173">
        <f>IF('GPS Anthro Tool'!$B$6=0,0,IF('GPS Anthro Tool'!$B$10=0,0,IF('China Child Data'!$H9=0,0,IF(AN27&gt;'GPS Anthro Tool'!$B$14,0,IF(AN27&lt;'GPS Anthro Tool'!$B$15,0,IF($H$3=0,0,-AN27))))))</f>
        <v>0</v>
      </c>
      <c r="AO9" s="173">
        <f>IF('GPS Anthro Tool'!$B$6=0,0,IF('GPS Anthro Tool'!$B$9=0,0,IF('China Child Data'!$I9=0,0,IF(AO27&gt;'GPS Anthro Tool'!$B$14,0,IF(AO27&lt;'GPS Anthro Tool'!$B$15,0,IF($I$3=0,0,-AO27))))))</f>
        <v>0</v>
      </c>
      <c r="AQ9" s="173">
        <f>IF('GPS Anthro Tool'!$B$6=0,0,IF('GPS Anthro Tool'!$B$11=0,0,IF('China Child Data'!$G9=0,0,IF(AQ27&gt;'GPS Anthro Tool'!$B$14,0,IF(AQ27&lt;'GPS Anthro Tool'!$B$15,0,IF($G$3=0,0,AQ27))))))</f>
        <v>0</v>
      </c>
      <c r="AR9" s="173">
        <f>IF('GPS Anthro Tool'!$B$6=0,0,IF('GPS Anthro Tool'!$B$10=0,0,IF('China Child Data'!$H9=0,0,IF(AR27&gt;'GPS Anthro Tool'!$B$14,0,IF(AR27&lt;'GPS Anthro Tool'!$B$15,0,IF($H$3=0,0,AR27))))))</f>
        <v>0</v>
      </c>
      <c r="AS9" s="173">
        <f>IF('GPS Anthro Tool'!$B$6=0,0,IF('GPS Anthro Tool'!$B$9=0,0,IF('China Child Data'!$I9=0,0,IF(AS27&gt;'GPS Anthro Tool'!$B$14,0,IF(AS27&lt;'GPS Anthro Tool'!$B$15,0,IF($I$3=0,0,AS27))))))</f>
        <v>0</v>
      </c>
      <c r="AU9" s="173">
        <f>IF('GPS Anthro Tool'!$B$6=0,0,IF('GPS Anthro Tool'!$B$11=0,0,IF('China Child Data'!$G9=0,0,IF(AU27&gt;'GPS Anthro Tool'!$B$14,0,IF(AU27&lt;'GPS Anthro Tool'!$B$15,0,IF($G$3=0,0,AU27))))))</f>
        <v>0</v>
      </c>
      <c r="AV9" s="173">
        <f>IF('GPS Anthro Tool'!$B$6=0,0,IF('GPS Anthro Tool'!$B$10=0,0,IF('China Child Data'!$H9=0,0,IF(AV27&gt;'GPS Anthro Tool'!$B$14,0,IF(AV27&lt;'GPS Anthro Tool'!$B$15,0,IF($H$3=0,0,AV27))))))</f>
        <v>0</v>
      </c>
      <c r="AW9" s="173">
        <f>IF('GPS Anthro Tool'!$B$6=0,0,IF('GPS Anthro Tool'!$B$9=0,0,IF('China Child Data'!$I9=0,0,IF(AW27&gt;'GPS Anthro Tool'!$B$14,0,IF(AW27&lt;'GPS Anthro Tool'!$B$15,0,IF($I$3=0,0,AW27))))))</f>
        <v>0</v>
      </c>
      <c r="AY9" s="173">
        <f>IF('GPS Anthro Tool'!$B$6=0,0,IF('GPS Anthro Tool'!$B$11=0,0,IF('China Child Data'!$G9=0,0,IF(AY27&gt;'GPS Anthro Tool'!$B$14,0,IF(AY27&lt;'GPS Anthro Tool'!$B$15,0,IF($G$3=0,0,AY27))))))</f>
        <v>0</v>
      </c>
      <c r="AZ9" s="173">
        <f>IF('GPS Anthro Tool'!$B$6=0,0,IF('GPS Anthro Tool'!$B$10=0,0,IF('China Child Data'!$H9=0,0,IF(AZ27&gt;'GPS Anthro Tool'!$B$14,0,IF(AZ27&lt;'GPS Anthro Tool'!$B$15,0,IF($H$3=0,0,AZ27))))))</f>
        <v>0</v>
      </c>
      <c r="BA9" s="173">
        <f>IF('GPS Anthro Tool'!$B$6=0,0,IF('GPS Anthro Tool'!$B$9=0,0,IF('China Child Data'!$I9=0,0,IF(BA27&gt;'GPS Anthro Tool'!$B$14,0,IF(BA27&lt;'GPS Anthro Tool'!$B$15,0,IF($I$3=0,0,BA27))))))</f>
        <v>0</v>
      </c>
      <c r="BC9" s="173">
        <f>IF('GPS Anthro Tool'!$B$6=0,0,IF('GPS Anthro Tool'!$B$11=0,0,IF('China Child Data'!$G9=0,0,IF(BC27&gt;'GPS Anthro Tool'!$B$14,0,IF(BC27&lt;'GPS Anthro Tool'!$B$15,0,IF($G$3=0,0,BC27))))))</f>
        <v>0</v>
      </c>
      <c r="BD9" s="173">
        <f>IF('GPS Anthro Tool'!$B$6=0,0,IF('GPS Anthro Tool'!$B$10=0,0,IF('China Child Data'!$H9=0,0,IF(BD27&gt;'GPS Anthro Tool'!$B$14,0,IF(BD27&lt;'GPS Anthro Tool'!$B$15,0,IF($H$3=0,0,BD27))))))</f>
        <v>0</v>
      </c>
      <c r="BE9" s="173">
        <f>IF('GPS Anthro Tool'!$B$6=0,0,IF('GPS Anthro Tool'!$B$9=0,0,IF('China Child Data'!$I9=0,0,IF(BE27&gt;'GPS Anthro Tool'!$B$14,0,IF(BE27&lt;'GPS Anthro Tool'!$B$15,0,IF($I$3=0,0,BE27))))))</f>
        <v>0</v>
      </c>
      <c r="BF9" s="208"/>
      <c r="BG9" s="157">
        <f t="shared" si="0"/>
        <v>0</v>
      </c>
      <c r="BH9" s="157">
        <f t="shared" si="0"/>
        <v>0</v>
      </c>
      <c r="BI9" s="157">
        <f t="shared" si="0"/>
        <v>0</v>
      </c>
      <c r="BJ9" s="213">
        <v>0</v>
      </c>
      <c r="BK9" s="157">
        <f t="shared" si="1"/>
        <v>0</v>
      </c>
      <c r="BL9" s="157">
        <f t="shared" si="1"/>
        <v>0</v>
      </c>
      <c r="BM9" s="157">
        <f t="shared" si="1"/>
        <v>0</v>
      </c>
      <c r="BN9" s="213">
        <v>0</v>
      </c>
      <c r="BO9" s="157">
        <f t="shared" si="2"/>
        <v>0</v>
      </c>
      <c r="BP9" s="157">
        <f t="shared" si="2"/>
        <v>0</v>
      </c>
      <c r="BQ9" s="157">
        <f t="shared" si="2"/>
        <v>0</v>
      </c>
      <c r="BR9" s="213"/>
      <c r="BS9" s="167">
        <f t="shared" si="3"/>
        <v>0</v>
      </c>
      <c r="BT9" s="167">
        <f t="shared" si="3"/>
        <v>0</v>
      </c>
      <c r="BU9" s="167">
        <f t="shared" si="3"/>
        <v>0</v>
      </c>
      <c r="BV9" s="213">
        <v>0</v>
      </c>
      <c r="BW9" s="168">
        <f t="shared" si="4"/>
        <v>0</v>
      </c>
      <c r="BX9" s="168">
        <f t="shared" si="4"/>
        <v>0</v>
      </c>
      <c r="BY9" s="168">
        <f t="shared" si="4"/>
        <v>0</v>
      </c>
      <c r="BZ9" s="210"/>
      <c r="CA9" s="169">
        <f t="shared" si="5"/>
        <v>0</v>
      </c>
      <c r="CB9" s="169">
        <f t="shared" si="5"/>
        <v>0</v>
      </c>
      <c r="CC9" s="169">
        <f t="shared" si="5"/>
        <v>0</v>
      </c>
      <c r="CD9" s="210"/>
      <c r="CE9" s="170">
        <f t="shared" si="6"/>
        <v>0</v>
      </c>
      <c r="CF9" s="170">
        <f t="shared" si="6"/>
        <v>0</v>
      </c>
      <c r="CG9" s="170">
        <f t="shared" si="6"/>
        <v>0</v>
      </c>
      <c r="CH9" s="210"/>
    </row>
    <row r="10" spans="1:86">
      <c r="A10" s="426">
        <v>4</v>
      </c>
      <c r="B10" s="153">
        <v>1</v>
      </c>
      <c r="C10" s="172">
        <f>IF('GPS Anthro Tool'!$B$6=0,0,IF('GPS Anthro Tool'!$B$6=0,0,IF('GPS Anthro Tool'!$B$11=0,0,IF('China Child Data'!$B10=0,0,IF(C28&gt;'GPS Anthro Tool'!$B$16,0,IF(C28&lt;'GPS Anthro Tool'!$B$17,0,C28))))))</f>
        <v>0</v>
      </c>
      <c r="D10" s="172">
        <f>IF('GPS Anthro Tool'!$B$6=0,0,IF('GPS Anthro Tool'!$B$6=0,0,IF('GPS Anthro Tool'!$B$10=0,0,IF('China Child Data'!$B10=0,0,IF(D28&gt;'GPS Anthro Tool'!$B$16,0,IF(D28&lt;'GPS Anthro Tool'!$B$17,0,D28))))))</f>
        <v>0</v>
      </c>
      <c r="E10" s="172">
        <f>IF('GPS Anthro Tool'!$B$6=0,0,IF('GPS Anthro Tool'!$B$6=0,0,IF('GPS Anthro Tool'!$B$9=0,0,IF('China Child Data'!$B10=0,0,IF(E28&gt;'GPS Anthro Tool'!$B$16,0,IF(E28&lt;'GPS Anthro Tool'!$B$17,0,E28))))))</f>
        <v>0</v>
      </c>
      <c r="G10" s="173">
        <f>IF('GPS Anthro Tool'!$B$6=0,0,IF('GPS Anthro Tool'!$B$11=0,0,IF('China Child Data'!$B10=0,0,IF(G28&gt;'GPS Anthro Tool'!$B$14,0,IF(G28&lt;'GPS Anthro Tool'!$B$15,0,G28)))))</f>
        <v>0</v>
      </c>
      <c r="H10" s="173">
        <f>IF('GPS Anthro Tool'!$B$6=0,0,IF('GPS Anthro Tool'!$B$10=0,0,IF('China Child Data'!$B10=0,0,IF(H28&gt;'GPS Anthro Tool'!$B$14,0,IF(H28&lt;'GPS Anthro Tool'!$B$15,0,H28)))))</f>
        <v>0</v>
      </c>
      <c r="I10" s="173">
        <f>IF('GPS Anthro Tool'!$B$6=0,0,IF('GPS Anthro Tool'!$B$9=0,0,IF('China Child Data'!$B10=0,0,IF(I28&gt;'GPS Anthro Tool'!$B$14,0,IF(I28&lt;'GPS Anthro Tool'!$B$15,0,I28)))))</f>
        <v>0</v>
      </c>
      <c r="K10" s="458">
        <f>IF('GPS Anthro Tool'!$B$6=0,0,IF('GPS Anthro Tool'!$B$11=0,0,IF('China Child Data'!$G10=0,0,IF(K28&gt;'GPS Anthro Tool'!$B$14,0,IF(K28&lt;'GPS Anthro Tool'!$B$15,0,IF($G$3=0,0,K28))))))</f>
        <v>0</v>
      </c>
      <c r="L10" s="458">
        <f>IF('GPS Anthro Tool'!$B$6=0,0,IF('GPS Anthro Tool'!$B$10=0,0,IF('China Child Data'!$H10=0,0,IF(L28&gt;'GPS Anthro Tool'!$B$14,0,IF(L28&lt;'GPS Anthro Tool'!$B$15,0,IF($H$3=0,0,L28))))))</f>
        <v>0</v>
      </c>
      <c r="M10" s="458">
        <f>IF('GPS Anthro Tool'!$B$6=0,0,IF('GPS Anthro Tool'!$B$9=0,0,IF('China Child Data'!$I10=0,0,IF(M28&gt;'GPS Anthro Tool'!$B$14,0,IF(M28&lt;'GPS Anthro Tool'!$B$15,0,IF($I$3=0,0,M28))))))</f>
        <v>0</v>
      </c>
      <c r="N10" s="459"/>
      <c r="O10" s="458">
        <f>IF('GPS Anthro Tool'!$B$6=0,0,IF('GPS Anthro Tool'!$B$11=0,0,IF('China Child Data'!$G10=0,0,IF(O28&gt;'GPS Anthro Tool'!$B$14,0,IF(O28&lt;'GPS Anthro Tool'!$B$15,0,IF($G$3=0,0,O28))))))</f>
        <v>0</v>
      </c>
      <c r="P10" s="458">
        <f>IF('GPS Anthro Tool'!$B$6=0,0,IF('GPS Anthro Tool'!$B$10=0,0,IF('China Child Data'!$H10=0,0,IF(P28&gt;'GPS Anthro Tool'!$B$14,0,IF(P28&lt;'GPS Anthro Tool'!$B$15,0,IF($H$3=0,0,P28))))))</f>
        <v>0</v>
      </c>
      <c r="Q10" s="458">
        <f>IF('GPS Anthro Tool'!$B$6=0,0,IF('GPS Anthro Tool'!$B$9=0,0,IF('China Child Data'!$I10=0,0,IF(Q28&gt;'GPS Anthro Tool'!$B$14,0,IF(Q28&lt;'GPS Anthro Tool'!$B$15,0,IF($I$3=0,0,Q28))))))</f>
        <v>0</v>
      </c>
      <c r="S10" s="173">
        <f>IF('GPS Anthro Tool'!$B$6=0,0,IF('GPS Anthro Tool'!$B$11=0,0,IF('China Child Data'!$G10=0,0,IF(S28&gt;'GPS Anthro Tool'!$B$14,0,IF(S28&lt;'GPS Anthro Tool'!$B$15,0,IF($G$3=0,0,S28))))))</f>
        <v>0</v>
      </c>
      <c r="T10" s="173">
        <f>IF('GPS Anthro Tool'!$B$6=0,0,IF('GPS Anthro Tool'!$B$10=0,0,IF('China Child Data'!$H10=0,0,IF(T28&gt;'GPS Anthro Tool'!$B$14,0,IF(T28&lt;'GPS Anthro Tool'!$B$15,0,IF($H$3=0,0,T28))))))</f>
        <v>0</v>
      </c>
      <c r="U10" s="173">
        <f>IF('GPS Anthro Tool'!$B$6=0,0,IF('GPS Anthro Tool'!$B$9=0,0,IF('China Child Data'!$I10=0,0,IF(U28&gt;'GPS Anthro Tool'!$B$14,0,IF(U28&lt;'GPS Anthro Tool'!$B$15,0,IF($I$3=0,0,U28))))))</f>
        <v>0</v>
      </c>
      <c r="W10" s="173">
        <f>IF('GPS Anthro Tool'!$B$6=0,0,IF('GPS Anthro Tool'!$B$11=0,0,IF('China Child Data'!$G10=0,0,IF(W28&gt;'GPS Anthro Tool'!$B$14,0,IF(W28&lt;'GPS Anthro Tool'!$B$15,0,IF($G$3=0,0,W28))))))</f>
        <v>0</v>
      </c>
      <c r="X10" s="173">
        <f>IF('GPS Anthro Tool'!$B$6=0,0,IF('GPS Anthro Tool'!$B$10=0,0,IF('China Child Data'!$H10=0,0,IF(X28&gt;'GPS Anthro Tool'!$B$14,0,IF(X28&lt;'GPS Anthro Tool'!$B$15,0,IF($H$3=0,0,X28))))))</f>
        <v>0</v>
      </c>
      <c r="Y10" s="173">
        <f>IF('GPS Anthro Tool'!$B$6=0,0,IF('GPS Anthro Tool'!$B$9=0,0,IF('China Child Data'!$I10=0,0,IF(Y28&gt;'GPS Anthro Tool'!$B$14,0,IF(Y28&lt;'GPS Anthro Tool'!$B$15,0,IF($I$3=0,0,Y28))))))</f>
        <v>0</v>
      </c>
      <c r="Z10" s="283">
        <v>0</v>
      </c>
      <c r="AA10" s="173">
        <f>IF('GPS Anthro Tool'!$B$6=0,0,IF('GPS Anthro Tool'!$B$11=0,0,IF('China Child Data'!$G10=0,0,IF(AA28&gt;'GPS Anthro Tool'!$B$14,0,IF(AA28&lt;'GPS Anthro Tool'!$B$15,0,IF($G$3=0,0,AA28))))))</f>
        <v>0</v>
      </c>
      <c r="AB10" s="173">
        <f>IF('GPS Anthro Tool'!$B$6=0,0,IF('GPS Anthro Tool'!$B$10=0,0,IF('China Child Data'!$H10=0,0,IF(AB28&gt;'GPS Anthro Tool'!$B$14,0,IF(AB28&lt;'GPS Anthro Tool'!$B$15,0,IF($H$3=0,0,AB28))))))</f>
        <v>0</v>
      </c>
      <c r="AC10" s="173">
        <f>IF('GPS Anthro Tool'!$B$6=0,0,IF('GPS Anthro Tool'!$B$9=0,0,IF('China Child Data'!$I10=0,0,IF(AC28&gt;'GPS Anthro Tool'!$B$14,0,IF(AC28&lt;'GPS Anthro Tool'!$B$15,0,IF($I$3=0,0,AC28))))))</f>
        <v>0</v>
      </c>
      <c r="AE10" s="173">
        <f>IF('GPS Anthro Tool'!$B$6=0,0,IF('GPS Anthro Tool'!$B$11=0,0,IF('China Child Data'!$G10=0,0,IF(AE28&gt;'GPS Anthro Tool'!$B$14,0,IF(AE28&lt;'GPS Anthro Tool'!$B$15,0,IF($G$3=0,0,AE28))))))</f>
        <v>0</v>
      </c>
      <c r="AF10" s="173">
        <f>IF('GPS Anthro Tool'!$B$6=0,0,IF('GPS Anthro Tool'!$B$10=0,0,IF('China Child Data'!$H10=0,0,IF(AF28&gt;'GPS Anthro Tool'!$B$14,0,IF(AF28&lt;'GPS Anthro Tool'!$B$15,0,IF($H$3=0,0,AF28))))))</f>
        <v>0</v>
      </c>
      <c r="AG10" s="173">
        <f>IF('GPS Anthro Tool'!$B$6=0,0,IF('GPS Anthro Tool'!$B$9=0,0,IF('China Child Data'!$I10=0,0,IF(AG28&gt;'GPS Anthro Tool'!$B$14,0,IF(AG28&lt;'GPS Anthro Tool'!$B$15,0,IF($I$3=0,0,AG28))))))</f>
        <v>0</v>
      </c>
      <c r="AI10" s="173">
        <f>IF('GPS Anthro Tool'!$B$6=0,0,IF('GPS Anthro Tool'!$B$11=0,0,IF('China Child Data'!$G10=0,0,IF(AI28&gt;'GPS Anthro Tool'!$B$14,0,IF(AI28&lt;'GPS Anthro Tool'!$B$15,0,IF($G$3=0,0,AI28))))))</f>
        <v>0</v>
      </c>
      <c r="AJ10" s="173">
        <f>IF('GPS Anthro Tool'!$B$6=0,0,IF('GPS Anthro Tool'!$B$10=0,0,IF('China Child Data'!$H10=0,0,IF(AJ28&gt;'GPS Anthro Tool'!$B$14,0,IF(AJ28&lt;'GPS Anthro Tool'!$B$15,0,IF($H$3=0,0,AJ28))))))</f>
        <v>0</v>
      </c>
      <c r="AK10" s="173">
        <f>IF('GPS Anthro Tool'!$B$6=0,0,IF('GPS Anthro Tool'!$B$9=0,0,IF('China Child Data'!$I10=0,0,IF(AK28&gt;'GPS Anthro Tool'!$B$14,0,IF(AK28&lt;'GPS Anthro Tool'!$B$15,0,IF($I$3=0,0,AK28))))))</f>
        <v>0</v>
      </c>
      <c r="AM10" s="173">
        <f>IF('GPS Anthro Tool'!$B$6=0,0,IF('GPS Anthro Tool'!$B$11=0,0,IF('China Child Data'!$G10=0,0,IF(AM28&gt;'GPS Anthro Tool'!$B$14,0,IF(AM28&lt;'GPS Anthro Tool'!$B$15,0,IF($G$3=0,0,-AM28))))))</f>
        <v>0</v>
      </c>
      <c r="AN10" s="173">
        <f>IF('GPS Anthro Tool'!$B$6=0,0,IF('GPS Anthro Tool'!$B$10=0,0,IF('China Child Data'!$H10=0,0,IF(AN28&gt;'GPS Anthro Tool'!$B$14,0,IF(AN28&lt;'GPS Anthro Tool'!$B$15,0,IF($H$3=0,0,-AN28))))))</f>
        <v>0</v>
      </c>
      <c r="AO10" s="173">
        <f>IF('GPS Anthro Tool'!$B$6=0,0,IF('GPS Anthro Tool'!$B$9=0,0,IF('China Child Data'!$I10=0,0,IF(AO28&gt;'GPS Anthro Tool'!$B$14,0,IF(AO28&lt;'GPS Anthro Tool'!$B$15,0,IF($I$3=0,0,-AO28))))))</f>
        <v>0</v>
      </c>
      <c r="AQ10" s="173">
        <f>IF('GPS Anthro Tool'!$B$6=0,0,IF('GPS Anthro Tool'!$B$11=0,0,IF('China Child Data'!$G10=0,0,IF(AQ28&gt;'GPS Anthro Tool'!$B$14,0,IF(AQ28&lt;'GPS Anthro Tool'!$B$15,0,IF($G$3=0,0,AQ28))))))</f>
        <v>0</v>
      </c>
      <c r="AR10" s="173">
        <f>IF('GPS Anthro Tool'!$B$6=0,0,IF('GPS Anthro Tool'!$B$10=0,0,IF('China Child Data'!$H10=0,0,IF(AR28&gt;'GPS Anthro Tool'!$B$14,0,IF(AR28&lt;'GPS Anthro Tool'!$B$15,0,IF($H$3=0,0,AR28))))))</f>
        <v>0</v>
      </c>
      <c r="AS10" s="173">
        <f>IF('GPS Anthro Tool'!$B$6=0,0,IF('GPS Anthro Tool'!$B$9=0,0,IF('China Child Data'!$I10=0,0,IF(AS28&gt;'GPS Anthro Tool'!$B$14,0,IF(AS28&lt;'GPS Anthro Tool'!$B$15,0,IF($I$3=0,0,AS28))))))</f>
        <v>0</v>
      </c>
      <c r="AU10" s="173">
        <f>IF('GPS Anthro Tool'!$B$6=0,0,IF('GPS Anthro Tool'!$B$11=0,0,IF('China Child Data'!$G10=0,0,IF(AU28&gt;'GPS Anthro Tool'!$B$14,0,IF(AU28&lt;'GPS Anthro Tool'!$B$15,0,IF($G$3=0,0,AU28))))))</f>
        <v>0</v>
      </c>
      <c r="AV10" s="173">
        <f>IF('GPS Anthro Tool'!$B$6=0,0,IF('GPS Anthro Tool'!$B$10=0,0,IF('China Child Data'!$H10=0,0,IF(AV28&gt;'GPS Anthro Tool'!$B$14,0,IF(AV28&lt;'GPS Anthro Tool'!$B$15,0,IF($H$3=0,0,AV28))))))</f>
        <v>0</v>
      </c>
      <c r="AW10" s="173">
        <f>IF('GPS Anthro Tool'!$B$6=0,0,IF('GPS Anthro Tool'!$B$9=0,0,IF('China Child Data'!$I10=0,0,IF(AW28&gt;'GPS Anthro Tool'!$B$14,0,IF(AW28&lt;'GPS Anthro Tool'!$B$15,0,IF($I$3=0,0,AW28))))))</f>
        <v>0</v>
      </c>
      <c r="AY10" s="173">
        <f>IF('GPS Anthro Tool'!$B$6=0,0,IF('GPS Anthro Tool'!$B$11=0,0,IF('China Child Data'!$G10=0,0,IF(AY28&gt;'GPS Anthro Tool'!$B$14,0,IF(AY28&lt;'GPS Anthro Tool'!$B$15,0,IF($G$3=0,0,AY28))))))</f>
        <v>0</v>
      </c>
      <c r="AZ10" s="173">
        <f>IF('GPS Anthro Tool'!$B$6=0,0,IF('GPS Anthro Tool'!$B$10=0,0,IF('China Child Data'!$H10=0,0,IF(AZ28&gt;'GPS Anthro Tool'!$B$14,0,IF(AZ28&lt;'GPS Anthro Tool'!$B$15,0,IF($H$3=0,0,AZ28))))))</f>
        <v>0</v>
      </c>
      <c r="BA10" s="173">
        <f>IF('GPS Anthro Tool'!$B$6=0,0,IF('GPS Anthro Tool'!$B$9=0,0,IF('China Child Data'!$I10=0,0,IF(BA28&gt;'GPS Anthro Tool'!$B$14,0,IF(BA28&lt;'GPS Anthro Tool'!$B$15,0,IF($I$3=0,0,BA28))))))</f>
        <v>0</v>
      </c>
      <c r="BC10" s="173">
        <f>IF('GPS Anthro Tool'!$B$6=0,0,IF('GPS Anthro Tool'!$B$11=0,0,IF('China Child Data'!$G10=0,0,IF(BC28&gt;'GPS Anthro Tool'!$B$14,0,IF(BC28&lt;'GPS Anthro Tool'!$B$15,0,IF($G$3=0,0,BC28))))))</f>
        <v>0</v>
      </c>
      <c r="BD10" s="173">
        <f>IF('GPS Anthro Tool'!$B$6=0,0,IF('GPS Anthro Tool'!$B$10=0,0,IF('China Child Data'!$H10=0,0,IF(BD28&gt;'GPS Anthro Tool'!$B$14,0,IF(BD28&lt;'GPS Anthro Tool'!$B$15,0,IF($H$3=0,0,BD28))))))</f>
        <v>0</v>
      </c>
      <c r="BE10" s="173">
        <f>IF('GPS Anthro Tool'!$B$6=0,0,IF('GPS Anthro Tool'!$B$9=0,0,IF('China Child Data'!$I10=0,0,IF(BE28&gt;'GPS Anthro Tool'!$B$14,0,IF(BE28&lt;'GPS Anthro Tool'!$B$15,0,IF($I$3=0,0,BE28))))))</f>
        <v>0</v>
      </c>
      <c r="BF10" s="208"/>
      <c r="BG10" s="157">
        <f t="shared" si="0"/>
        <v>0</v>
      </c>
      <c r="BH10" s="157">
        <f t="shared" si="0"/>
        <v>0</v>
      </c>
      <c r="BI10" s="157">
        <f t="shared" si="0"/>
        <v>0</v>
      </c>
      <c r="BJ10" s="213">
        <v>0</v>
      </c>
      <c r="BK10" s="157">
        <f t="shared" si="1"/>
        <v>0</v>
      </c>
      <c r="BL10" s="157">
        <f t="shared" si="1"/>
        <v>0</v>
      </c>
      <c r="BM10" s="157">
        <f t="shared" si="1"/>
        <v>0</v>
      </c>
      <c r="BN10" s="213">
        <v>0</v>
      </c>
      <c r="BO10" s="157">
        <f t="shared" si="2"/>
        <v>0</v>
      </c>
      <c r="BP10" s="157">
        <f t="shared" si="2"/>
        <v>0</v>
      </c>
      <c r="BQ10" s="157">
        <f t="shared" si="2"/>
        <v>0</v>
      </c>
      <c r="BR10" s="213"/>
      <c r="BS10" s="167">
        <f t="shared" si="3"/>
        <v>0</v>
      </c>
      <c r="BT10" s="167">
        <f t="shared" si="3"/>
        <v>0</v>
      </c>
      <c r="BU10" s="167">
        <f t="shared" si="3"/>
        <v>0</v>
      </c>
      <c r="BV10" s="213">
        <v>0</v>
      </c>
      <c r="BW10" s="168">
        <f t="shared" si="4"/>
        <v>0</v>
      </c>
      <c r="BX10" s="168">
        <f t="shared" si="4"/>
        <v>0</v>
      </c>
      <c r="BY10" s="168">
        <f t="shared" si="4"/>
        <v>0</v>
      </c>
      <c r="BZ10" s="210"/>
      <c r="CA10" s="169">
        <f t="shared" si="5"/>
        <v>0</v>
      </c>
      <c r="CB10" s="169">
        <f t="shared" si="5"/>
        <v>0</v>
      </c>
      <c r="CC10" s="169">
        <f t="shared" si="5"/>
        <v>0</v>
      </c>
      <c r="CD10" s="210"/>
      <c r="CE10" s="170">
        <f t="shared" si="6"/>
        <v>0</v>
      </c>
      <c r="CF10" s="170">
        <f t="shared" si="6"/>
        <v>0</v>
      </c>
      <c r="CG10" s="170">
        <f t="shared" si="6"/>
        <v>0</v>
      </c>
      <c r="CH10" s="210"/>
    </row>
    <row r="11" spans="1:86">
      <c r="A11" s="426">
        <v>5</v>
      </c>
      <c r="B11" s="153">
        <v>1</v>
      </c>
      <c r="C11" s="172">
        <f>IF('GPS Anthro Tool'!$B$6=0,0,IF('GPS Anthro Tool'!$B$6=0,0,IF('GPS Anthro Tool'!$B$11=0,0,IF('China Child Data'!$B11=0,0,IF(C29&gt;'GPS Anthro Tool'!$B$16,0,IF(C29&lt;'GPS Anthro Tool'!$B$17,0,C29))))))</f>
        <v>0</v>
      </c>
      <c r="D11" s="172">
        <f>IF('GPS Anthro Tool'!$B$6=0,0,IF('GPS Anthro Tool'!$B$6=0,0,IF('GPS Anthro Tool'!$B$10=0,0,IF('China Child Data'!$B11=0,0,IF(D29&gt;'GPS Anthro Tool'!$B$16,0,IF(D29&lt;'GPS Anthro Tool'!$B$17,0,D29))))))</f>
        <v>0</v>
      </c>
      <c r="E11" s="172">
        <f>IF('GPS Anthro Tool'!$B$6=0,0,IF('GPS Anthro Tool'!$B$6=0,0,IF('GPS Anthro Tool'!$B$9=0,0,IF('China Child Data'!$B11=0,0,IF(E29&gt;'GPS Anthro Tool'!$B$16,0,IF(E29&lt;'GPS Anthro Tool'!$B$17,0,E29))))))</f>
        <v>0</v>
      </c>
      <c r="G11" s="173">
        <f>IF('GPS Anthro Tool'!$B$6=0,0,IF('GPS Anthro Tool'!$B$11=0,0,IF('China Child Data'!$B11=0,0,IF(G29&gt;'GPS Anthro Tool'!$B$14,0,IF(G29&lt;'GPS Anthro Tool'!$B$15,0,G29)))))</f>
        <v>0</v>
      </c>
      <c r="H11" s="173">
        <f>IF('GPS Anthro Tool'!$B$6=0,0,IF('GPS Anthro Tool'!$B$10=0,0,IF('China Child Data'!$B11=0,0,IF(H29&gt;'GPS Anthro Tool'!$B$14,0,IF(H29&lt;'GPS Anthro Tool'!$B$15,0,H29)))))</f>
        <v>0</v>
      </c>
      <c r="I11" s="173">
        <f>IF('GPS Anthro Tool'!$B$6=0,0,IF('GPS Anthro Tool'!$B$9=0,0,IF('China Child Data'!$B11=0,0,IF(I29&gt;'GPS Anthro Tool'!$B$14,0,IF(I29&lt;'GPS Anthro Tool'!$B$15,0,I29)))))</f>
        <v>0</v>
      </c>
      <c r="K11" s="458">
        <f>IF('GPS Anthro Tool'!$B$6=0,0,IF('GPS Anthro Tool'!$B$11=0,0,IF('China Child Data'!$G11=0,0,IF(K29&gt;'GPS Anthro Tool'!$B$14,0,IF(K29&lt;'GPS Anthro Tool'!$B$15,0,IF($G$3=0,0,K29))))))</f>
        <v>0</v>
      </c>
      <c r="L11" s="458">
        <f>IF('GPS Anthro Tool'!$B$6=0,0,IF('GPS Anthro Tool'!$B$10=0,0,IF('China Child Data'!$H11=0,0,IF(L29&gt;'GPS Anthro Tool'!$B$14,0,IF(L29&lt;'GPS Anthro Tool'!$B$15,0,IF($H$3=0,0,L29))))))</f>
        <v>0</v>
      </c>
      <c r="M11" s="458">
        <f>IF('GPS Anthro Tool'!$B$6=0,0,IF('GPS Anthro Tool'!$B$9=0,0,IF('China Child Data'!$I11=0,0,IF(M29&gt;'GPS Anthro Tool'!$B$14,0,IF(M29&lt;'GPS Anthro Tool'!$B$15,0,IF($I$3=0,0,M29))))))</f>
        <v>0</v>
      </c>
      <c r="N11" s="459"/>
      <c r="O11" s="458">
        <f>IF('GPS Anthro Tool'!$B$6=0,0,IF('GPS Anthro Tool'!$B$11=0,0,IF('China Child Data'!$G11=0,0,IF(O29&gt;'GPS Anthro Tool'!$B$14,0,IF(O29&lt;'GPS Anthro Tool'!$B$15,0,IF($G$3=0,0,O29))))))</f>
        <v>0</v>
      </c>
      <c r="P11" s="458">
        <f>IF('GPS Anthro Tool'!$B$6=0,0,IF('GPS Anthro Tool'!$B$10=0,0,IF('China Child Data'!$H11=0,0,IF(P29&gt;'GPS Anthro Tool'!$B$14,0,IF(P29&lt;'GPS Anthro Tool'!$B$15,0,IF($H$3=0,0,P29))))))</f>
        <v>0</v>
      </c>
      <c r="Q11" s="458">
        <f>IF('GPS Anthro Tool'!$B$6=0,0,IF('GPS Anthro Tool'!$B$9=0,0,IF('China Child Data'!$I11=0,0,IF(Q29&gt;'GPS Anthro Tool'!$B$14,0,IF(Q29&lt;'GPS Anthro Tool'!$B$15,0,IF($I$3=0,0,Q29))))))</f>
        <v>0</v>
      </c>
      <c r="S11" s="173">
        <f>IF('GPS Anthro Tool'!$B$6=0,0,IF('GPS Anthro Tool'!$B$11=0,0,IF('China Child Data'!$G11=0,0,IF(S29&gt;'GPS Anthro Tool'!$B$14,0,IF(S29&lt;'GPS Anthro Tool'!$B$15,0,IF($G$3=0,0,S29))))))</f>
        <v>0</v>
      </c>
      <c r="T11" s="173">
        <f>IF('GPS Anthro Tool'!$B$6=0,0,IF('GPS Anthro Tool'!$B$10=0,0,IF('China Child Data'!$H11=0,0,IF(T29&gt;'GPS Anthro Tool'!$B$14,0,IF(T29&lt;'GPS Anthro Tool'!$B$15,0,IF($H$3=0,0,T29))))))</f>
        <v>0</v>
      </c>
      <c r="U11" s="173">
        <f>IF('GPS Anthro Tool'!$B$6=0,0,IF('GPS Anthro Tool'!$B$9=0,0,IF('China Child Data'!$I11=0,0,IF(U29&gt;'GPS Anthro Tool'!$B$14,0,IF(U29&lt;'GPS Anthro Tool'!$B$15,0,IF($I$3=0,0,U29))))))</f>
        <v>0</v>
      </c>
      <c r="W11" s="173">
        <f>IF('GPS Anthro Tool'!$B$6=0,0,IF('GPS Anthro Tool'!$B$11=0,0,IF('China Child Data'!$G11=0,0,IF(W29&gt;'GPS Anthro Tool'!$B$14,0,IF(W29&lt;'GPS Anthro Tool'!$B$15,0,IF($G$3=0,0,W29))))))</f>
        <v>0</v>
      </c>
      <c r="X11" s="173">
        <f>IF('GPS Anthro Tool'!$B$6=0,0,IF('GPS Anthro Tool'!$B$10=0,0,IF('China Child Data'!$H11=0,0,IF(X29&gt;'GPS Anthro Tool'!$B$14,0,IF(X29&lt;'GPS Anthro Tool'!$B$15,0,IF($H$3=0,0,X29))))))</f>
        <v>0</v>
      </c>
      <c r="Y11" s="173">
        <f>IF('GPS Anthro Tool'!$B$6=0,0,IF('GPS Anthro Tool'!$B$9=0,0,IF('China Child Data'!$I11=0,0,IF(Y29&gt;'GPS Anthro Tool'!$B$14,0,IF(Y29&lt;'GPS Anthro Tool'!$B$15,0,IF($I$3=0,0,Y29))))))</f>
        <v>0</v>
      </c>
      <c r="Z11" s="283">
        <v>0</v>
      </c>
      <c r="AA11" s="173">
        <f>IF('GPS Anthro Tool'!$B$6=0,0,IF('GPS Anthro Tool'!$B$11=0,0,IF('China Child Data'!$G11=0,0,IF(AA29&gt;'GPS Anthro Tool'!$B$14,0,IF(AA29&lt;'GPS Anthro Tool'!$B$15,0,IF($G$3=0,0,AA29))))))</f>
        <v>0</v>
      </c>
      <c r="AB11" s="173">
        <f>IF('GPS Anthro Tool'!$B$6=0,0,IF('GPS Anthro Tool'!$B$10=0,0,IF('China Child Data'!$H11=0,0,IF(AB29&gt;'GPS Anthro Tool'!$B$14,0,IF(AB29&lt;'GPS Anthro Tool'!$B$15,0,IF($H$3=0,0,AB29))))))</f>
        <v>0</v>
      </c>
      <c r="AC11" s="173">
        <f>IF('GPS Anthro Tool'!$B$6=0,0,IF('GPS Anthro Tool'!$B$9=0,0,IF('China Child Data'!$I11=0,0,IF(AC29&gt;'GPS Anthro Tool'!$B$14,0,IF(AC29&lt;'GPS Anthro Tool'!$B$15,0,IF($I$3=0,0,AC29))))))</f>
        <v>0</v>
      </c>
      <c r="AE11" s="173">
        <f>IF('GPS Anthro Tool'!$B$6=0,0,IF('GPS Anthro Tool'!$B$11=0,0,IF('China Child Data'!$G11=0,0,IF(AE29&gt;'GPS Anthro Tool'!$B$14,0,IF(AE29&lt;'GPS Anthro Tool'!$B$15,0,IF($G$3=0,0,AE29))))))</f>
        <v>0</v>
      </c>
      <c r="AF11" s="173">
        <f>IF('GPS Anthro Tool'!$B$6=0,0,IF('GPS Anthro Tool'!$B$10=0,0,IF('China Child Data'!$H11=0,0,IF(AF29&gt;'GPS Anthro Tool'!$B$14,0,IF(AF29&lt;'GPS Anthro Tool'!$B$15,0,IF($H$3=0,0,AF29))))))</f>
        <v>0</v>
      </c>
      <c r="AG11" s="173">
        <f>IF('GPS Anthro Tool'!$B$6=0,0,IF('GPS Anthro Tool'!$B$9=0,0,IF('China Child Data'!$I11=0,0,IF(AG29&gt;'GPS Anthro Tool'!$B$14,0,IF(AG29&lt;'GPS Anthro Tool'!$B$15,0,IF($I$3=0,0,AG29))))))</f>
        <v>0</v>
      </c>
      <c r="AI11" s="173">
        <f>IF('GPS Anthro Tool'!$B$6=0,0,IF('GPS Anthro Tool'!$B$11=0,0,IF('China Child Data'!$G11=0,0,IF(AI29&gt;'GPS Anthro Tool'!$B$14,0,IF(AI29&lt;'GPS Anthro Tool'!$B$15,0,IF($G$3=0,0,AI29))))))</f>
        <v>0</v>
      </c>
      <c r="AJ11" s="173">
        <f>IF('GPS Anthro Tool'!$B$6=0,0,IF('GPS Anthro Tool'!$B$10=0,0,IF('China Child Data'!$H11=0,0,IF(AJ29&gt;'GPS Anthro Tool'!$B$14,0,IF(AJ29&lt;'GPS Anthro Tool'!$B$15,0,IF($H$3=0,0,AJ29))))))</f>
        <v>0</v>
      </c>
      <c r="AK11" s="173">
        <f>IF('GPS Anthro Tool'!$B$6=0,0,IF('GPS Anthro Tool'!$B$9=0,0,IF('China Child Data'!$I11=0,0,IF(AK29&gt;'GPS Anthro Tool'!$B$14,0,IF(AK29&lt;'GPS Anthro Tool'!$B$15,0,IF($I$3=0,0,AK29))))))</f>
        <v>0</v>
      </c>
      <c r="AM11" s="173">
        <f>IF('GPS Anthro Tool'!$B$6=0,0,IF('GPS Anthro Tool'!$B$11=0,0,IF('China Child Data'!$G11=0,0,IF(AM29&gt;'GPS Anthro Tool'!$B$14,0,IF(AM29&lt;'GPS Anthro Tool'!$B$15,0,IF($G$3=0,0,-AM29))))))</f>
        <v>0</v>
      </c>
      <c r="AN11" s="173">
        <f>IF('GPS Anthro Tool'!$B$6=0,0,IF('GPS Anthro Tool'!$B$10=0,0,IF('China Child Data'!$H11=0,0,IF(AN29&gt;'GPS Anthro Tool'!$B$14,0,IF(AN29&lt;'GPS Anthro Tool'!$B$15,0,IF($H$3=0,0,-AN29))))))</f>
        <v>0</v>
      </c>
      <c r="AO11" s="173">
        <f>IF('GPS Anthro Tool'!$B$6=0,0,IF('GPS Anthro Tool'!$B$9=0,0,IF('China Child Data'!$I11=0,0,IF(AO29&gt;'GPS Anthro Tool'!$B$14,0,IF(AO29&lt;'GPS Anthro Tool'!$B$15,0,IF($I$3=0,0,-AO29))))))</f>
        <v>0</v>
      </c>
      <c r="AQ11" s="173">
        <f>IF('GPS Anthro Tool'!$B$6=0,0,IF('GPS Anthro Tool'!$B$11=0,0,IF('China Child Data'!$G11=0,0,IF(AQ29&gt;'GPS Anthro Tool'!$B$14,0,IF(AQ29&lt;'GPS Anthro Tool'!$B$15,0,IF($G$3=0,0,AQ29))))))</f>
        <v>0</v>
      </c>
      <c r="AR11" s="173">
        <f>IF('GPS Anthro Tool'!$B$6=0,0,IF('GPS Anthro Tool'!$B$10=0,0,IF('China Child Data'!$H11=0,0,IF(AR29&gt;'GPS Anthro Tool'!$B$14,0,IF(AR29&lt;'GPS Anthro Tool'!$B$15,0,IF($H$3=0,0,AR29))))))</f>
        <v>0</v>
      </c>
      <c r="AS11" s="173">
        <f>IF('GPS Anthro Tool'!$B$6=0,0,IF('GPS Anthro Tool'!$B$9=0,0,IF('China Child Data'!$I11=0,0,IF(AS29&gt;'GPS Anthro Tool'!$B$14,0,IF(AS29&lt;'GPS Anthro Tool'!$B$15,0,IF($I$3=0,0,AS29))))))</f>
        <v>0</v>
      </c>
      <c r="AU11" s="173">
        <f>IF('GPS Anthro Tool'!$B$6=0,0,IF('GPS Anthro Tool'!$B$11=0,0,IF('China Child Data'!$G11=0,0,IF(AU29&gt;'GPS Anthro Tool'!$B$14,0,IF(AU29&lt;'GPS Anthro Tool'!$B$15,0,IF($G$3=0,0,AU29))))))</f>
        <v>0</v>
      </c>
      <c r="AV11" s="173">
        <f>IF('GPS Anthro Tool'!$B$6=0,0,IF('GPS Anthro Tool'!$B$10=0,0,IF('China Child Data'!$H11=0,0,IF(AV29&gt;'GPS Anthro Tool'!$B$14,0,IF(AV29&lt;'GPS Anthro Tool'!$B$15,0,IF($H$3=0,0,AV29))))))</f>
        <v>0</v>
      </c>
      <c r="AW11" s="173">
        <f>IF('GPS Anthro Tool'!$B$6=0,0,IF('GPS Anthro Tool'!$B$9=0,0,IF('China Child Data'!$I11=0,0,IF(AW29&gt;'GPS Anthro Tool'!$B$14,0,IF(AW29&lt;'GPS Anthro Tool'!$B$15,0,IF($I$3=0,0,AW29))))))</f>
        <v>0</v>
      </c>
      <c r="AY11" s="173">
        <f>IF('GPS Anthro Tool'!$B$6=0,0,IF('GPS Anthro Tool'!$B$11=0,0,IF('China Child Data'!$G11=0,0,IF(AY29&gt;'GPS Anthro Tool'!$B$14,0,IF(AY29&lt;'GPS Anthro Tool'!$B$15,0,IF($G$3=0,0,AY29))))))</f>
        <v>0</v>
      </c>
      <c r="AZ11" s="173">
        <f>IF('GPS Anthro Tool'!$B$6=0,0,IF('GPS Anthro Tool'!$B$10=0,0,IF('China Child Data'!$H11=0,0,IF(AZ29&gt;'GPS Anthro Tool'!$B$14,0,IF(AZ29&lt;'GPS Anthro Tool'!$B$15,0,IF($H$3=0,0,AZ29))))))</f>
        <v>0</v>
      </c>
      <c r="BA11" s="173">
        <f>IF('GPS Anthro Tool'!$B$6=0,0,IF('GPS Anthro Tool'!$B$9=0,0,IF('China Child Data'!$I11=0,0,IF(BA29&gt;'GPS Anthro Tool'!$B$14,0,IF(BA29&lt;'GPS Anthro Tool'!$B$15,0,IF($I$3=0,0,BA29))))))</f>
        <v>0</v>
      </c>
      <c r="BC11" s="173">
        <f>IF('GPS Anthro Tool'!$B$6=0,0,IF('GPS Anthro Tool'!$B$11=0,0,IF('China Child Data'!$G11=0,0,IF(BC29&gt;'GPS Anthro Tool'!$B$14,0,IF(BC29&lt;'GPS Anthro Tool'!$B$15,0,IF($G$3=0,0,BC29))))))</f>
        <v>0</v>
      </c>
      <c r="BD11" s="173">
        <f>IF('GPS Anthro Tool'!$B$6=0,0,IF('GPS Anthro Tool'!$B$10=0,0,IF('China Child Data'!$H11=0,0,IF(BD29&gt;'GPS Anthro Tool'!$B$14,0,IF(BD29&lt;'GPS Anthro Tool'!$B$15,0,IF($H$3=0,0,BD29))))))</f>
        <v>0</v>
      </c>
      <c r="BE11" s="173">
        <f>IF('GPS Anthro Tool'!$B$6=0,0,IF('GPS Anthro Tool'!$B$9=0,0,IF('China Child Data'!$I11=0,0,IF(BE29&gt;'GPS Anthro Tool'!$B$14,0,IF(BE29&lt;'GPS Anthro Tool'!$B$15,0,IF($I$3=0,0,BE29))))))</f>
        <v>0</v>
      </c>
      <c r="BF11" s="208"/>
      <c r="BG11" s="157">
        <f t="shared" si="0"/>
        <v>0</v>
      </c>
      <c r="BH11" s="157">
        <f t="shared" si="0"/>
        <v>0</v>
      </c>
      <c r="BI11" s="157">
        <f t="shared" si="0"/>
        <v>0</v>
      </c>
      <c r="BJ11" s="213">
        <v>0</v>
      </c>
      <c r="BK11" s="157">
        <f t="shared" si="1"/>
        <v>0</v>
      </c>
      <c r="BL11" s="157">
        <f t="shared" si="1"/>
        <v>0</v>
      </c>
      <c r="BM11" s="157">
        <f t="shared" si="1"/>
        <v>0</v>
      </c>
      <c r="BN11" s="213">
        <v>0</v>
      </c>
      <c r="BO11" s="157">
        <f t="shared" si="2"/>
        <v>0</v>
      </c>
      <c r="BP11" s="157">
        <f t="shared" si="2"/>
        <v>0</v>
      </c>
      <c r="BQ11" s="157">
        <f t="shared" si="2"/>
        <v>0</v>
      </c>
      <c r="BR11" s="213"/>
      <c r="BS11" s="167">
        <f t="shared" si="3"/>
        <v>0</v>
      </c>
      <c r="BT11" s="167">
        <f t="shared" si="3"/>
        <v>0</v>
      </c>
      <c r="BU11" s="167">
        <f t="shared" si="3"/>
        <v>0</v>
      </c>
      <c r="BV11" s="213">
        <v>0</v>
      </c>
      <c r="BW11" s="168">
        <f t="shared" si="4"/>
        <v>0</v>
      </c>
      <c r="BX11" s="168">
        <f t="shared" si="4"/>
        <v>0</v>
      </c>
      <c r="BY11" s="168">
        <f t="shared" si="4"/>
        <v>0</v>
      </c>
      <c r="BZ11" s="210"/>
      <c r="CA11" s="169">
        <f t="shared" si="5"/>
        <v>0</v>
      </c>
      <c r="CB11" s="169">
        <f t="shared" si="5"/>
        <v>0</v>
      </c>
      <c r="CC11" s="169">
        <f t="shared" si="5"/>
        <v>0</v>
      </c>
      <c r="CD11" s="210"/>
      <c r="CE11" s="170">
        <f t="shared" si="6"/>
        <v>0</v>
      </c>
      <c r="CF11" s="170">
        <f t="shared" si="6"/>
        <v>0</v>
      </c>
      <c r="CG11" s="170">
        <f t="shared" si="6"/>
        <v>0</v>
      </c>
      <c r="CH11" s="210"/>
    </row>
    <row r="12" spans="1:86">
      <c r="A12" s="426">
        <v>6</v>
      </c>
      <c r="B12" s="153">
        <v>1</v>
      </c>
      <c r="C12" s="172">
        <f>IF('GPS Anthro Tool'!$B$6=0,0,IF('GPS Anthro Tool'!$B$6=0,0,IF('GPS Anthro Tool'!$B$11=0,0,IF('China Child Data'!$B12=0,0,IF(C30&gt;'GPS Anthro Tool'!$B$16,0,IF(C30&lt;'GPS Anthro Tool'!$B$17,0,C30))))))</f>
        <v>0</v>
      </c>
      <c r="D12" s="172">
        <f>IF('GPS Anthro Tool'!$B$6=0,0,IF('GPS Anthro Tool'!$B$6=0,0,IF('GPS Anthro Tool'!$B$10=0,0,IF('China Child Data'!$B12=0,0,IF(D30&gt;'GPS Anthro Tool'!$B$16,0,IF(D30&lt;'GPS Anthro Tool'!$B$17,0,D30))))))</f>
        <v>0</v>
      </c>
      <c r="E12" s="172">
        <f>IF('GPS Anthro Tool'!$B$6=0,0,IF('GPS Anthro Tool'!$B$6=0,0,IF('GPS Anthro Tool'!$B$9=0,0,IF('China Child Data'!$B12=0,0,IF(E30&gt;'GPS Anthro Tool'!$B$16,0,IF(E30&lt;'GPS Anthro Tool'!$B$17,0,E30))))))</f>
        <v>0</v>
      </c>
      <c r="G12" s="173">
        <f>IF('GPS Anthro Tool'!$B$6=0,0,IF('GPS Anthro Tool'!$B$11=0,0,IF('China Child Data'!$B12=0,0,IF(G30&gt;'GPS Anthro Tool'!$B$14,0,IF(G30&lt;'GPS Anthro Tool'!$B$15,0,G30)))))</f>
        <v>0</v>
      </c>
      <c r="H12" s="173">
        <f>IF('GPS Anthro Tool'!$B$6=0,0,IF('GPS Anthro Tool'!$B$10=0,0,IF('China Child Data'!$B12=0,0,IF(H30&gt;'GPS Anthro Tool'!$B$14,0,IF(H30&lt;'GPS Anthro Tool'!$B$15,0,H30)))))</f>
        <v>0</v>
      </c>
      <c r="I12" s="173">
        <f>IF('GPS Anthro Tool'!$B$6=0,0,IF('GPS Anthro Tool'!$B$9=0,0,IF('China Child Data'!$B12=0,0,IF(I30&gt;'GPS Anthro Tool'!$B$14,0,IF(I30&lt;'GPS Anthro Tool'!$B$15,0,I30)))))</f>
        <v>0</v>
      </c>
      <c r="K12" s="458">
        <f>IF('GPS Anthro Tool'!$B$6=0,0,IF('GPS Anthro Tool'!$B$11=0,0,IF('China Child Data'!$G12=0,0,IF(K30&gt;'GPS Anthro Tool'!$B$14,0,IF(K30&lt;'GPS Anthro Tool'!$B$15,0,IF($G$3=0,0,K30))))))</f>
        <v>0</v>
      </c>
      <c r="L12" s="458">
        <f>IF('GPS Anthro Tool'!$B$6=0,0,IF('GPS Anthro Tool'!$B$10=0,0,IF('China Child Data'!$H12=0,0,IF(L30&gt;'GPS Anthro Tool'!$B$14,0,IF(L30&lt;'GPS Anthro Tool'!$B$15,0,IF($H$3=0,0,L30))))))</f>
        <v>0</v>
      </c>
      <c r="M12" s="458">
        <f>IF('GPS Anthro Tool'!$B$6=0,0,IF('GPS Anthro Tool'!$B$9=0,0,IF('China Child Data'!$I12=0,0,IF(M30&gt;'GPS Anthro Tool'!$B$14,0,IF(M30&lt;'GPS Anthro Tool'!$B$15,0,IF($I$3=0,0,M30))))))</f>
        <v>0</v>
      </c>
      <c r="N12" s="459"/>
      <c r="O12" s="458">
        <f>IF('GPS Anthro Tool'!$B$6=0,0,IF('GPS Anthro Tool'!$B$11=0,0,IF('China Child Data'!$G12=0,0,IF(O30&gt;'GPS Anthro Tool'!$B$14,0,IF(O30&lt;'GPS Anthro Tool'!$B$15,0,IF($G$3=0,0,O30))))))</f>
        <v>0</v>
      </c>
      <c r="P12" s="458">
        <f>IF('GPS Anthro Tool'!$B$6=0,0,IF('GPS Anthro Tool'!$B$10=0,0,IF('China Child Data'!$H12=0,0,IF(P30&gt;'GPS Anthro Tool'!$B$14,0,IF(P30&lt;'GPS Anthro Tool'!$B$15,0,IF($H$3=0,0,P30))))))</f>
        <v>0</v>
      </c>
      <c r="Q12" s="458">
        <f>IF('GPS Anthro Tool'!$B$6=0,0,IF('GPS Anthro Tool'!$B$9=0,0,IF('China Child Data'!$I12=0,0,IF(Q30&gt;'GPS Anthro Tool'!$B$14,0,IF(Q30&lt;'GPS Anthro Tool'!$B$15,0,IF($I$3=0,0,Q30))))))</f>
        <v>0</v>
      </c>
      <c r="S12" s="173">
        <f>IF('GPS Anthro Tool'!$B$6=0,0,IF('GPS Anthro Tool'!$B$11=0,0,IF('China Child Data'!$G12=0,0,IF(S30&gt;'GPS Anthro Tool'!$B$14,0,IF(S30&lt;'GPS Anthro Tool'!$B$15,0,IF($G$3=0,0,S30))))))</f>
        <v>0</v>
      </c>
      <c r="T12" s="173">
        <f>IF('GPS Anthro Tool'!$B$6=0,0,IF('GPS Anthro Tool'!$B$10=0,0,IF('China Child Data'!$H12=0,0,IF(T30&gt;'GPS Anthro Tool'!$B$14,0,IF(T30&lt;'GPS Anthro Tool'!$B$15,0,IF($H$3=0,0,T30))))))</f>
        <v>0</v>
      </c>
      <c r="U12" s="173">
        <f>IF('GPS Anthro Tool'!$B$6=0,0,IF('GPS Anthro Tool'!$B$9=0,0,IF('China Child Data'!$I12=0,0,IF(U30&gt;'GPS Anthro Tool'!$B$14,0,IF(U30&lt;'GPS Anthro Tool'!$B$15,0,IF($I$3=0,0,U30))))))</f>
        <v>0</v>
      </c>
      <c r="W12" s="173">
        <f>IF('GPS Anthro Tool'!$B$6=0,0,IF('GPS Anthro Tool'!$B$11=0,0,IF('China Child Data'!$G12=0,0,IF(W30&gt;'GPS Anthro Tool'!$B$14,0,IF(W30&lt;'GPS Anthro Tool'!$B$15,0,IF($G$3=0,0,W30))))))</f>
        <v>0</v>
      </c>
      <c r="X12" s="173">
        <f>IF('GPS Anthro Tool'!$B$6=0,0,IF('GPS Anthro Tool'!$B$10=0,0,IF('China Child Data'!$H12=0,0,IF(X30&gt;'GPS Anthro Tool'!$B$14,0,IF(X30&lt;'GPS Anthro Tool'!$B$15,0,IF($H$3=0,0,X30))))))</f>
        <v>0</v>
      </c>
      <c r="Y12" s="173">
        <f>IF('GPS Anthro Tool'!$B$6=0,0,IF('GPS Anthro Tool'!$B$9=0,0,IF('China Child Data'!$I12=0,0,IF(Y30&gt;'GPS Anthro Tool'!$B$14,0,IF(Y30&lt;'GPS Anthro Tool'!$B$15,0,IF($I$3=0,0,Y30))))))</f>
        <v>0</v>
      </c>
      <c r="Z12" s="283">
        <v>0</v>
      </c>
      <c r="AA12" s="173">
        <f>IF('GPS Anthro Tool'!$B$6=0,0,IF('GPS Anthro Tool'!$B$11=0,0,IF('China Child Data'!$G12=0,0,IF(AA30&gt;'GPS Anthro Tool'!$B$14,0,IF(AA30&lt;'GPS Anthro Tool'!$B$15,0,IF($G$3=0,0,AA30))))))</f>
        <v>0</v>
      </c>
      <c r="AB12" s="173">
        <f>IF('GPS Anthro Tool'!$B$6=0,0,IF('GPS Anthro Tool'!$B$10=0,0,IF('China Child Data'!$H12=0,0,IF(AB30&gt;'GPS Anthro Tool'!$B$14,0,IF(AB30&lt;'GPS Anthro Tool'!$B$15,0,IF($H$3=0,0,AB30))))))</f>
        <v>0</v>
      </c>
      <c r="AC12" s="173">
        <f>IF('GPS Anthro Tool'!$B$6=0,0,IF('GPS Anthro Tool'!$B$9=0,0,IF('China Child Data'!$I12=0,0,IF(AC30&gt;'GPS Anthro Tool'!$B$14,0,IF(AC30&lt;'GPS Anthro Tool'!$B$15,0,IF($I$3=0,0,AC30))))))</f>
        <v>0</v>
      </c>
      <c r="AE12" s="173">
        <f>IF('GPS Anthro Tool'!$B$6=0,0,IF('GPS Anthro Tool'!$B$11=0,0,IF('China Child Data'!$G12=0,0,IF(AE30&gt;'GPS Anthro Tool'!$B$14,0,IF(AE30&lt;'GPS Anthro Tool'!$B$15,0,IF($G$3=0,0,AE30))))))</f>
        <v>0</v>
      </c>
      <c r="AF12" s="173">
        <f>IF('GPS Anthro Tool'!$B$6=0,0,IF('GPS Anthro Tool'!$B$10=0,0,IF('China Child Data'!$H12=0,0,IF(AF30&gt;'GPS Anthro Tool'!$B$14,0,IF(AF30&lt;'GPS Anthro Tool'!$B$15,0,IF($H$3=0,0,AF30))))))</f>
        <v>0</v>
      </c>
      <c r="AG12" s="173">
        <f>IF('GPS Anthro Tool'!$B$6=0,0,IF('GPS Anthro Tool'!$B$9=0,0,IF('China Child Data'!$I12=0,0,IF(AG30&gt;'GPS Anthro Tool'!$B$14,0,IF(AG30&lt;'GPS Anthro Tool'!$B$15,0,IF($I$3=0,0,AG30))))))</f>
        <v>0</v>
      </c>
      <c r="AI12" s="173">
        <f>IF('GPS Anthro Tool'!$B$6=0,0,IF('GPS Anthro Tool'!$B$11=0,0,IF('China Child Data'!$G12=0,0,IF(AI30&gt;'GPS Anthro Tool'!$B$14,0,IF(AI30&lt;'GPS Anthro Tool'!$B$15,0,IF($G$3=0,0,AI30))))))</f>
        <v>0</v>
      </c>
      <c r="AJ12" s="173">
        <f>IF('GPS Anthro Tool'!$B$6=0,0,IF('GPS Anthro Tool'!$B$10=0,0,IF('China Child Data'!$H12=0,0,IF(AJ30&gt;'GPS Anthro Tool'!$B$14,0,IF(AJ30&lt;'GPS Anthro Tool'!$B$15,0,IF($H$3=0,0,AJ30))))))</f>
        <v>0</v>
      </c>
      <c r="AK12" s="173">
        <f>IF('GPS Anthro Tool'!$B$6=0,0,IF('GPS Anthro Tool'!$B$9=0,0,IF('China Child Data'!$I12=0,0,IF(AK30&gt;'GPS Anthro Tool'!$B$14,0,IF(AK30&lt;'GPS Anthro Tool'!$B$15,0,IF($I$3=0,0,AK30))))))</f>
        <v>0</v>
      </c>
      <c r="AM12" s="173">
        <f>IF('GPS Anthro Tool'!$B$6=0,0,IF('GPS Anthro Tool'!$B$11=0,0,IF('China Child Data'!$G12=0,0,IF(AM30&gt;'GPS Anthro Tool'!$B$14,0,IF(AM30&lt;'GPS Anthro Tool'!$B$15,0,IF($G$3=0,0,-AM30))))))</f>
        <v>0</v>
      </c>
      <c r="AN12" s="173">
        <f>IF('GPS Anthro Tool'!$B$6=0,0,IF('GPS Anthro Tool'!$B$10=0,0,IF('China Child Data'!$H12=0,0,IF(AN30&gt;'GPS Anthro Tool'!$B$14,0,IF(AN30&lt;'GPS Anthro Tool'!$B$15,0,IF($H$3=0,0,-AN30))))))</f>
        <v>0</v>
      </c>
      <c r="AO12" s="173">
        <f>IF('GPS Anthro Tool'!$B$6=0,0,IF('GPS Anthro Tool'!$B$9=0,0,IF('China Child Data'!$I12=0,0,IF(AO30&gt;'GPS Anthro Tool'!$B$14,0,IF(AO30&lt;'GPS Anthro Tool'!$B$15,0,IF($I$3=0,0,-AO30))))))</f>
        <v>0</v>
      </c>
      <c r="AQ12" s="173">
        <f>IF('GPS Anthro Tool'!$B$6=0,0,IF('GPS Anthro Tool'!$B$11=0,0,IF('China Child Data'!$G12=0,0,IF(AQ30&gt;'GPS Anthro Tool'!$B$14,0,IF(AQ30&lt;'GPS Anthro Tool'!$B$15,0,IF($G$3=0,0,AQ30))))))</f>
        <v>0</v>
      </c>
      <c r="AR12" s="173">
        <f>IF('GPS Anthro Tool'!$B$6=0,0,IF('GPS Anthro Tool'!$B$10=0,0,IF('China Child Data'!$H12=0,0,IF(AR30&gt;'GPS Anthro Tool'!$B$14,0,IF(AR30&lt;'GPS Anthro Tool'!$B$15,0,IF($H$3=0,0,AR30))))))</f>
        <v>0</v>
      </c>
      <c r="AS12" s="173">
        <f>IF('GPS Anthro Tool'!$B$6=0,0,IF('GPS Anthro Tool'!$B$9=0,0,IF('China Child Data'!$I12=0,0,IF(AS30&gt;'GPS Anthro Tool'!$B$14,0,IF(AS30&lt;'GPS Anthro Tool'!$B$15,0,IF($I$3=0,0,AS30))))))</f>
        <v>0</v>
      </c>
      <c r="AU12" s="173">
        <f>IF('GPS Anthro Tool'!$B$6=0,0,IF('GPS Anthro Tool'!$B$11=0,0,IF('China Child Data'!$G12=0,0,IF(AU30&gt;'GPS Anthro Tool'!$B$14,0,IF(AU30&lt;'GPS Anthro Tool'!$B$15,0,IF($G$3=0,0,AU30))))))</f>
        <v>0</v>
      </c>
      <c r="AV12" s="173">
        <f>IF('GPS Anthro Tool'!$B$6=0,0,IF('GPS Anthro Tool'!$B$10=0,0,IF('China Child Data'!$H12=0,0,IF(AV30&gt;'GPS Anthro Tool'!$B$14,0,IF(AV30&lt;'GPS Anthro Tool'!$B$15,0,IF($H$3=0,0,AV30))))))</f>
        <v>0</v>
      </c>
      <c r="AW12" s="173">
        <f>IF('GPS Anthro Tool'!$B$6=0,0,IF('GPS Anthro Tool'!$B$9=0,0,IF('China Child Data'!$I12=0,0,IF(AW30&gt;'GPS Anthro Tool'!$B$14,0,IF(AW30&lt;'GPS Anthro Tool'!$B$15,0,IF($I$3=0,0,AW30))))))</f>
        <v>0</v>
      </c>
      <c r="AY12" s="173">
        <f>IF('GPS Anthro Tool'!$B$6=0,0,IF('GPS Anthro Tool'!$B$11=0,0,IF('China Child Data'!$G12=0,0,IF(AY30&gt;'GPS Anthro Tool'!$B$14,0,IF(AY30&lt;'GPS Anthro Tool'!$B$15,0,IF($G$3=0,0,AY30))))))</f>
        <v>0</v>
      </c>
      <c r="AZ12" s="173">
        <f>IF('GPS Anthro Tool'!$B$6=0,0,IF('GPS Anthro Tool'!$B$10=0,0,IF('China Child Data'!$H12=0,0,IF(AZ30&gt;'GPS Anthro Tool'!$B$14,0,IF(AZ30&lt;'GPS Anthro Tool'!$B$15,0,IF($H$3=0,0,AZ30))))))</f>
        <v>0</v>
      </c>
      <c r="BA12" s="173">
        <f>IF('GPS Anthro Tool'!$B$6=0,0,IF('GPS Anthro Tool'!$B$9=0,0,IF('China Child Data'!$I12=0,0,IF(BA30&gt;'GPS Anthro Tool'!$B$14,0,IF(BA30&lt;'GPS Anthro Tool'!$B$15,0,IF($I$3=0,0,BA30))))))</f>
        <v>0</v>
      </c>
      <c r="BC12" s="173">
        <f>IF('GPS Anthro Tool'!$B$6=0,0,IF('GPS Anthro Tool'!$B$11=0,0,IF('China Child Data'!$G12=0,0,IF(BC30&gt;'GPS Anthro Tool'!$B$14,0,IF(BC30&lt;'GPS Anthro Tool'!$B$15,0,IF($G$3=0,0,BC30))))))</f>
        <v>0</v>
      </c>
      <c r="BD12" s="173">
        <f>IF('GPS Anthro Tool'!$B$6=0,0,IF('GPS Anthro Tool'!$B$10=0,0,IF('China Child Data'!$H12=0,0,IF(BD30&gt;'GPS Anthro Tool'!$B$14,0,IF(BD30&lt;'GPS Anthro Tool'!$B$15,0,IF($H$3=0,0,BD30))))))</f>
        <v>0</v>
      </c>
      <c r="BE12" s="173">
        <f>IF('GPS Anthro Tool'!$B$6=0,0,IF('GPS Anthro Tool'!$B$9=0,0,IF('China Child Data'!$I12=0,0,IF(BE30&gt;'GPS Anthro Tool'!$B$14,0,IF(BE30&lt;'GPS Anthro Tool'!$B$15,0,IF($I$3=0,0,BE30))))))</f>
        <v>0</v>
      </c>
      <c r="BF12" s="208"/>
      <c r="BG12" s="157">
        <f t="shared" si="0"/>
        <v>0</v>
      </c>
      <c r="BH12" s="157">
        <f t="shared" si="0"/>
        <v>0</v>
      </c>
      <c r="BI12" s="157">
        <f t="shared" si="0"/>
        <v>0</v>
      </c>
      <c r="BJ12" s="213">
        <v>0</v>
      </c>
      <c r="BK12" s="157">
        <f t="shared" si="1"/>
        <v>0</v>
      </c>
      <c r="BL12" s="157">
        <f t="shared" si="1"/>
        <v>0</v>
      </c>
      <c r="BM12" s="157">
        <f t="shared" si="1"/>
        <v>0</v>
      </c>
      <c r="BN12" s="213">
        <v>0</v>
      </c>
      <c r="BO12" s="157">
        <f t="shared" si="2"/>
        <v>0</v>
      </c>
      <c r="BP12" s="157">
        <f t="shared" si="2"/>
        <v>0</v>
      </c>
      <c r="BQ12" s="157">
        <f t="shared" si="2"/>
        <v>0</v>
      </c>
      <c r="BR12" s="213"/>
      <c r="BS12" s="167">
        <f t="shared" si="3"/>
        <v>0</v>
      </c>
      <c r="BT12" s="167">
        <f t="shared" si="3"/>
        <v>0</v>
      </c>
      <c r="BU12" s="167">
        <f t="shared" si="3"/>
        <v>0</v>
      </c>
      <c r="BV12" s="213">
        <v>0</v>
      </c>
      <c r="BW12" s="168">
        <f t="shared" si="4"/>
        <v>0</v>
      </c>
      <c r="BX12" s="168">
        <f t="shared" si="4"/>
        <v>0</v>
      </c>
      <c r="BY12" s="168">
        <f t="shared" si="4"/>
        <v>0</v>
      </c>
      <c r="BZ12" s="210"/>
      <c r="CA12" s="169">
        <f t="shared" si="5"/>
        <v>0</v>
      </c>
      <c r="CB12" s="169">
        <f t="shared" si="5"/>
        <v>0</v>
      </c>
      <c r="CC12" s="169">
        <f t="shared" si="5"/>
        <v>0</v>
      </c>
      <c r="CD12" s="210"/>
      <c r="CE12" s="170">
        <f t="shared" si="6"/>
        <v>0</v>
      </c>
      <c r="CF12" s="170">
        <f t="shared" si="6"/>
        <v>0</v>
      </c>
      <c r="CG12" s="170">
        <f t="shared" si="6"/>
        <v>0</v>
      </c>
      <c r="CH12" s="210"/>
    </row>
    <row r="13" spans="1:86">
      <c r="A13" s="426">
        <v>7</v>
      </c>
      <c r="B13" s="153">
        <v>1</v>
      </c>
      <c r="C13" s="172">
        <f>IF('GPS Anthro Tool'!$B$6=0,0,IF('GPS Anthro Tool'!$B$6=0,0,IF('GPS Anthro Tool'!$B$11=0,0,IF('China Child Data'!$B13=0,0,IF(C31&gt;'GPS Anthro Tool'!$B$16,0,IF(C31&lt;'GPS Anthro Tool'!$B$17,0,C31))))))</f>
        <v>0</v>
      </c>
      <c r="D13" s="172">
        <f>IF('GPS Anthro Tool'!$B$6=0,0,IF('GPS Anthro Tool'!$B$6=0,0,IF('GPS Anthro Tool'!$B$10=0,0,IF('China Child Data'!$B13=0,0,IF(D31&gt;'GPS Anthro Tool'!$B$16,0,IF(D31&lt;'GPS Anthro Tool'!$B$17,0,D31))))))</f>
        <v>0</v>
      </c>
      <c r="E13" s="172">
        <f>IF('GPS Anthro Tool'!$B$6=0,0,IF('GPS Anthro Tool'!$B$6=0,0,IF('GPS Anthro Tool'!$B$9=0,0,IF('China Child Data'!$B13=0,0,IF(E31&gt;'GPS Anthro Tool'!$B$16,0,IF(E31&lt;'GPS Anthro Tool'!$B$17,0,E31))))))</f>
        <v>0</v>
      </c>
      <c r="G13" s="173">
        <f>IF('GPS Anthro Tool'!$B$6=0,0,IF('GPS Anthro Tool'!$B$11=0,0,IF('China Child Data'!$B13=0,0,IF(G31&gt;'GPS Anthro Tool'!$B$14,0,IF(G31&lt;'GPS Anthro Tool'!$B$15,0,G31)))))</f>
        <v>0</v>
      </c>
      <c r="H13" s="173">
        <f>IF('GPS Anthro Tool'!$B$6=0,0,IF('GPS Anthro Tool'!$B$10=0,0,IF('China Child Data'!$B13=0,0,IF(H31&gt;'GPS Anthro Tool'!$B$14,0,IF(H31&lt;'GPS Anthro Tool'!$B$15,0,H31)))))</f>
        <v>0</v>
      </c>
      <c r="I13" s="173">
        <f>IF('GPS Anthro Tool'!$B$6=0,0,IF('GPS Anthro Tool'!$B$9=0,0,IF('China Child Data'!$B13=0,0,IF(I31&gt;'GPS Anthro Tool'!$B$14,0,IF(I31&lt;'GPS Anthro Tool'!$B$15,0,I31)))))</f>
        <v>0</v>
      </c>
      <c r="K13" s="458">
        <f>IF('GPS Anthro Tool'!$B$6=0,0,IF('GPS Anthro Tool'!$B$11=0,0,IF('China Child Data'!$G13=0,0,IF(K31&gt;'GPS Anthro Tool'!$B$14,0,IF(K31&lt;'GPS Anthro Tool'!$B$15,0,IF($G$3=0,0,K31))))))</f>
        <v>0</v>
      </c>
      <c r="L13" s="458">
        <f>IF('GPS Anthro Tool'!$B$6=0,0,IF('GPS Anthro Tool'!$B$10=0,0,IF('China Child Data'!$H13=0,0,IF(L31&gt;'GPS Anthro Tool'!$B$14,0,IF(L31&lt;'GPS Anthro Tool'!$B$15,0,IF($H$3=0,0,L31))))))</f>
        <v>0</v>
      </c>
      <c r="M13" s="458">
        <f>IF('GPS Anthro Tool'!$B$6=0,0,IF('GPS Anthro Tool'!$B$9=0,0,IF('China Child Data'!$I13=0,0,IF(M31&gt;'GPS Anthro Tool'!$B$14,0,IF(M31&lt;'GPS Anthro Tool'!$B$15,0,IF($I$3=0,0,M31))))))</f>
        <v>0</v>
      </c>
      <c r="N13" s="459"/>
      <c r="O13" s="458">
        <f>IF('GPS Anthro Tool'!$B$6=0,0,IF('GPS Anthro Tool'!$B$11=0,0,IF('China Child Data'!$G13=0,0,IF(O31&gt;'GPS Anthro Tool'!$B$14,0,IF(O31&lt;'GPS Anthro Tool'!$B$15,0,IF($G$3=0,0,O31))))))</f>
        <v>0</v>
      </c>
      <c r="P13" s="458">
        <f>IF('GPS Anthro Tool'!$B$6=0,0,IF('GPS Anthro Tool'!$B$10=0,0,IF('China Child Data'!$H13=0,0,IF(P31&gt;'GPS Anthro Tool'!$B$14,0,IF(P31&lt;'GPS Anthro Tool'!$B$15,0,IF($H$3=0,0,P31))))))</f>
        <v>0</v>
      </c>
      <c r="Q13" s="458">
        <f>IF('GPS Anthro Tool'!$B$6=0,0,IF('GPS Anthro Tool'!$B$9=0,0,IF('China Child Data'!$I13=0,0,IF(Q31&gt;'GPS Anthro Tool'!$B$14,0,IF(Q31&lt;'GPS Anthro Tool'!$B$15,0,IF($I$3=0,0,Q31))))))</f>
        <v>0</v>
      </c>
      <c r="S13" s="173">
        <f>IF('GPS Anthro Tool'!$B$6=0,0,IF('GPS Anthro Tool'!$B$11=0,0,IF('China Child Data'!$G13=0,0,IF(S31&gt;'GPS Anthro Tool'!$B$14,0,IF(S31&lt;'GPS Anthro Tool'!$B$15,0,IF($G$3=0,0,S31))))))</f>
        <v>0</v>
      </c>
      <c r="T13" s="173">
        <f>IF('GPS Anthro Tool'!$B$6=0,0,IF('GPS Anthro Tool'!$B$10=0,0,IF('China Child Data'!$H13=0,0,IF(T31&gt;'GPS Anthro Tool'!$B$14,0,IF(T31&lt;'GPS Anthro Tool'!$B$15,0,IF($H$3=0,0,T31))))))</f>
        <v>0</v>
      </c>
      <c r="U13" s="173">
        <f>IF('GPS Anthro Tool'!$B$6=0,0,IF('GPS Anthro Tool'!$B$9=0,0,IF('China Child Data'!$I13=0,0,IF(U31&gt;'GPS Anthro Tool'!$B$14,0,IF(U31&lt;'GPS Anthro Tool'!$B$15,0,IF($I$3=0,0,U31))))))</f>
        <v>0</v>
      </c>
      <c r="W13" s="173">
        <f>IF('GPS Anthro Tool'!$B$6=0,0,IF('GPS Anthro Tool'!$B$11=0,0,IF('China Child Data'!$G13=0,0,IF(W31&gt;'GPS Anthro Tool'!$B$14,0,IF(W31&lt;'GPS Anthro Tool'!$B$15,0,IF($G$3=0,0,W31))))))</f>
        <v>0</v>
      </c>
      <c r="X13" s="173">
        <f>IF('GPS Anthro Tool'!$B$6=0,0,IF('GPS Anthro Tool'!$B$10=0,0,IF('China Child Data'!$H13=0,0,IF(X31&gt;'GPS Anthro Tool'!$B$14,0,IF(X31&lt;'GPS Anthro Tool'!$B$15,0,IF($H$3=0,0,X31))))))</f>
        <v>0</v>
      </c>
      <c r="Y13" s="173">
        <f>IF('GPS Anthro Tool'!$B$6=0,0,IF('GPS Anthro Tool'!$B$9=0,0,IF('China Child Data'!$I13=0,0,IF(Y31&gt;'GPS Anthro Tool'!$B$14,0,IF(Y31&lt;'GPS Anthro Tool'!$B$15,0,IF($I$3=0,0,Y31))))))</f>
        <v>0</v>
      </c>
      <c r="Z13" s="283">
        <v>0</v>
      </c>
      <c r="AA13" s="173">
        <f>IF('GPS Anthro Tool'!$B$6=0,0,IF('GPS Anthro Tool'!$B$11=0,0,IF('China Child Data'!$G13=0,0,IF(AA31&gt;'GPS Anthro Tool'!$B$14,0,IF(AA31&lt;'GPS Anthro Tool'!$B$15,0,IF($G$3=0,0,AA31))))))</f>
        <v>0</v>
      </c>
      <c r="AB13" s="173">
        <f>IF('GPS Anthro Tool'!$B$6=0,0,IF('GPS Anthro Tool'!$B$10=0,0,IF('China Child Data'!$H13=0,0,IF(AB31&gt;'GPS Anthro Tool'!$B$14,0,IF(AB31&lt;'GPS Anthro Tool'!$B$15,0,IF($H$3=0,0,AB31))))))</f>
        <v>0</v>
      </c>
      <c r="AC13" s="173">
        <f>IF('GPS Anthro Tool'!$B$6=0,0,IF('GPS Anthro Tool'!$B$9=0,0,IF('China Child Data'!$I13=0,0,IF(AC31&gt;'GPS Anthro Tool'!$B$14,0,IF(AC31&lt;'GPS Anthro Tool'!$B$15,0,IF($I$3=0,0,AC31))))))</f>
        <v>0</v>
      </c>
      <c r="AE13" s="173">
        <f>IF('GPS Anthro Tool'!$B$6=0,0,IF('GPS Anthro Tool'!$B$11=0,0,IF('China Child Data'!$G13=0,0,IF(AE31&gt;'GPS Anthro Tool'!$B$14,0,IF(AE31&lt;'GPS Anthro Tool'!$B$15,0,IF($G$3=0,0,AE31))))))</f>
        <v>0</v>
      </c>
      <c r="AF13" s="173">
        <f>IF('GPS Anthro Tool'!$B$6=0,0,IF('GPS Anthro Tool'!$B$10=0,0,IF('China Child Data'!$H13=0,0,IF(AF31&gt;'GPS Anthro Tool'!$B$14,0,IF(AF31&lt;'GPS Anthro Tool'!$B$15,0,IF($H$3=0,0,AF31))))))</f>
        <v>0</v>
      </c>
      <c r="AG13" s="173">
        <f>IF('GPS Anthro Tool'!$B$6=0,0,IF('GPS Anthro Tool'!$B$9=0,0,IF('China Child Data'!$I13=0,0,IF(AG31&gt;'GPS Anthro Tool'!$B$14,0,IF(AG31&lt;'GPS Anthro Tool'!$B$15,0,IF($I$3=0,0,AG31))))))</f>
        <v>0</v>
      </c>
      <c r="AI13" s="173">
        <f>IF('GPS Anthro Tool'!$B$6=0,0,IF('GPS Anthro Tool'!$B$11=0,0,IF('China Child Data'!$G13=0,0,IF(AI31&gt;'GPS Anthro Tool'!$B$14,0,IF(AI31&lt;'GPS Anthro Tool'!$B$15,0,IF($G$3=0,0,AI31))))))</f>
        <v>0</v>
      </c>
      <c r="AJ13" s="173">
        <f>IF('GPS Anthro Tool'!$B$6=0,0,IF('GPS Anthro Tool'!$B$10=0,0,IF('China Child Data'!$H13=0,0,IF(AJ31&gt;'GPS Anthro Tool'!$B$14,0,IF(AJ31&lt;'GPS Anthro Tool'!$B$15,0,IF($H$3=0,0,AJ31))))))</f>
        <v>0</v>
      </c>
      <c r="AK13" s="173">
        <f>IF('GPS Anthro Tool'!$B$6=0,0,IF('GPS Anthro Tool'!$B$9=0,0,IF('China Child Data'!$I13=0,0,IF(AK31&gt;'GPS Anthro Tool'!$B$14,0,IF(AK31&lt;'GPS Anthro Tool'!$B$15,0,IF($I$3=0,0,AK31))))))</f>
        <v>0</v>
      </c>
      <c r="AM13" s="173">
        <f>IF('GPS Anthro Tool'!$B$6=0,0,IF('GPS Anthro Tool'!$B$11=0,0,IF('China Child Data'!$G13=0,0,IF(AM31&gt;'GPS Anthro Tool'!$B$14,0,IF(AM31&lt;'GPS Anthro Tool'!$B$15,0,IF($G$3=0,0,-AM31))))))</f>
        <v>0</v>
      </c>
      <c r="AN13" s="173">
        <f>IF('GPS Anthro Tool'!$B$6=0,0,IF('GPS Anthro Tool'!$B$10=0,0,IF('China Child Data'!$H13=0,0,IF(AN31&gt;'GPS Anthro Tool'!$B$14,0,IF(AN31&lt;'GPS Anthro Tool'!$B$15,0,IF($H$3=0,0,-AN31))))))</f>
        <v>0</v>
      </c>
      <c r="AO13" s="173">
        <f>IF('GPS Anthro Tool'!$B$6=0,0,IF('GPS Anthro Tool'!$B$9=0,0,IF('China Child Data'!$I13=0,0,IF(AO31&gt;'GPS Anthro Tool'!$B$14,0,IF(AO31&lt;'GPS Anthro Tool'!$B$15,0,IF($I$3=0,0,-AO31))))))</f>
        <v>0</v>
      </c>
      <c r="AQ13" s="173">
        <f>IF('GPS Anthro Tool'!$B$6=0,0,IF('GPS Anthro Tool'!$B$11=0,0,IF('China Child Data'!$G13=0,0,IF(AQ31&gt;'GPS Anthro Tool'!$B$14,0,IF(AQ31&lt;'GPS Anthro Tool'!$B$15,0,IF($G$3=0,0,AQ31))))))</f>
        <v>0</v>
      </c>
      <c r="AR13" s="173">
        <f>IF('GPS Anthro Tool'!$B$6=0,0,IF('GPS Anthro Tool'!$B$10=0,0,IF('China Child Data'!$H13=0,0,IF(AR31&gt;'GPS Anthro Tool'!$B$14,0,IF(AR31&lt;'GPS Anthro Tool'!$B$15,0,IF($H$3=0,0,AR31))))))</f>
        <v>0</v>
      </c>
      <c r="AS13" s="173">
        <f>IF('GPS Anthro Tool'!$B$6=0,0,IF('GPS Anthro Tool'!$B$9=0,0,IF('China Child Data'!$I13=0,0,IF(AS31&gt;'GPS Anthro Tool'!$B$14,0,IF(AS31&lt;'GPS Anthro Tool'!$B$15,0,IF($I$3=0,0,AS31))))))</f>
        <v>0</v>
      </c>
      <c r="AU13" s="173">
        <f>IF('GPS Anthro Tool'!$B$6=0,0,IF('GPS Anthro Tool'!$B$11=0,0,IF('China Child Data'!$G13=0,0,IF(AU31&gt;'GPS Anthro Tool'!$B$14,0,IF(AU31&lt;'GPS Anthro Tool'!$B$15,0,IF($G$3=0,0,AU31))))))</f>
        <v>0</v>
      </c>
      <c r="AV13" s="173">
        <f>IF('GPS Anthro Tool'!$B$6=0,0,IF('GPS Anthro Tool'!$B$10=0,0,IF('China Child Data'!$H13=0,0,IF(AV31&gt;'GPS Anthro Tool'!$B$14,0,IF(AV31&lt;'GPS Anthro Tool'!$B$15,0,IF($H$3=0,0,AV31))))))</f>
        <v>0</v>
      </c>
      <c r="AW13" s="173">
        <f>IF('GPS Anthro Tool'!$B$6=0,0,IF('GPS Anthro Tool'!$B$9=0,0,IF('China Child Data'!$I13=0,0,IF(AW31&gt;'GPS Anthro Tool'!$B$14,0,IF(AW31&lt;'GPS Anthro Tool'!$B$15,0,IF($I$3=0,0,AW31))))))</f>
        <v>0</v>
      </c>
      <c r="AY13" s="173">
        <f>IF('GPS Anthro Tool'!$B$6=0,0,IF('GPS Anthro Tool'!$B$11=0,0,IF('China Child Data'!$G13=0,0,IF(AY31&gt;'GPS Anthro Tool'!$B$14,0,IF(AY31&lt;'GPS Anthro Tool'!$B$15,0,IF($G$3=0,0,AY31))))))</f>
        <v>0</v>
      </c>
      <c r="AZ13" s="173">
        <f>IF('GPS Anthro Tool'!$B$6=0,0,IF('GPS Anthro Tool'!$B$10=0,0,IF('China Child Data'!$H13=0,0,IF(AZ31&gt;'GPS Anthro Tool'!$B$14,0,IF(AZ31&lt;'GPS Anthro Tool'!$B$15,0,IF($H$3=0,0,AZ31))))))</f>
        <v>0</v>
      </c>
      <c r="BA13" s="173">
        <f>IF('GPS Anthro Tool'!$B$6=0,0,IF('GPS Anthro Tool'!$B$9=0,0,IF('China Child Data'!$I13=0,0,IF(BA31&gt;'GPS Anthro Tool'!$B$14,0,IF(BA31&lt;'GPS Anthro Tool'!$B$15,0,IF($I$3=0,0,BA31))))))</f>
        <v>0</v>
      </c>
      <c r="BC13" s="173">
        <f>IF('GPS Anthro Tool'!$B$6=0,0,IF('GPS Anthro Tool'!$B$11=0,0,IF('China Child Data'!$G13=0,0,IF(BC31&gt;'GPS Anthro Tool'!$B$14,0,IF(BC31&lt;'GPS Anthro Tool'!$B$15,0,IF($G$3=0,0,BC31))))))</f>
        <v>0</v>
      </c>
      <c r="BD13" s="173">
        <f>IF('GPS Anthro Tool'!$B$6=0,0,IF('GPS Anthro Tool'!$B$10=0,0,IF('China Child Data'!$H13=0,0,IF(BD31&gt;'GPS Anthro Tool'!$B$14,0,IF(BD31&lt;'GPS Anthro Tool'!$B$15,0,IF($H$3=0,0,BD31))))))</f>
        <v>0</v>
      </c>
      <c r="BE13" s="173">
        <f>IF('GPS Anthro Tool'!$B$6=0,0,IF('GPS Anthro Tool'!$B$9=0,0,IF('China Child Data'!$I13=0,0,IF(BE31&gt;'GPS Anthro Tool'!$B$14,0,IF(BE31&lt;'GPS Anthro Tool'!$B$15,0,IF($I$3=0,0,BE31))))))</f>
        <v>0</v>
      </c>
      <c r="BF13" s="208"/>
      <c r="BG13" s="157">
        <f t="shared" si="0"/>
        <v>0</v>
      </c>
      <c r="BH13" s="157">
        <f t="shared" si="0"/>
        <v>0</v>
      </c>
      <c r="BI13" s="157">
        <f t="shared" si="0"/>
        <v>0</v>
      </c>
      <c r="BJ13" s="213">
        <v>0</v>
      </c>
      <c r="BK13" s="157">
        <f t="shared" si="1"/>
        <v>0</v>
      </c>
      <c r="BL13" s="157">
        <f t="shared" si="1"/>
        <v>0</v>
      </c>
      <c r="BM13" s="157">
        <f t="shared" si="1"/>
        <v>0</v>
      </c>
      <c r="BN13" s="213">
        <v>0</v>
      </c>
      <c r="BO13" s="157">
        <f t="shared" si="2"/>
        <v>0</v>
      </c>
      <c r="BP13" s="157">
        <f t="shared" si="2"/>
        <v>0</v>
      </c>
      <c r="BQ13" s="157">
        <f t="shared" si="2"/>
        <v>0</v>
      </c>
      <c r="BR13" s="213"/>
      <c r="BS13" s="167">
        <f t="shared" si="3"/>
        <v>0</v>
      </c>
      <c r="BT13" s="167">
        <f t="shared" si="3"/>
        <v>0</v>
      </c>
      <c r="BU13" s="167">
        <f t="shared" si="3"/>
        <v>0</v>
      </c>
      <c r="BV13" s="213">
        <v>0</v>
      </c>
      <c r="BW13" s="168">
        <f t="shared" si="4"/>
        <v>0</v>
      </c>
      <c r="BX13" s="168">
        <f t="shared" si="4"/>
        <v>0</v>
      </c>
      <c r="BY13" s="168">
        <f t="shared" si="4"/>
        <v>0</v>
      </c>
      <c r="BZ13" s="210"/>
      <c r="CA13" s="169">
        <f t="shared" si="5"/>
        <v>0</v>
      </c>
      <c r="CB13" s="169">
        <f t="shared" si="5"/>
        <v>0</v>
      </c>
      <c r="CC13" s="169">
        <f t="shared" si="5"/>
        <v>0</v>
      </c>
      <c r="CD13" s="210"/>
      <c r="CE13" s="170">
        <f t="shared" si="6"/>
        <v>0</v>
      </c>
      <c r="CF13" s="170">
        <f t="shared" si="6"/>
        <v>0</v>
      </c>
      <c r="CG13" s="170">
        <f t="shared" si="6"/>
        <v>0</v>
      </c>
      <c r="CH13" s="210"/>
    </row>
    <row r="14" spans="1:86">
      <c r="A14" s="426">
        <v>8</v>
      </c>
      <c r="B14" s="153">
        <v>1</v>
      </c>
      <c r="C14" s="172">
        <f>IF('GPS Anthro Tool'!$B$6=0,0,IF('GPS Anthro Tool'!$B$6=0,0,IF('GPS Anthro Tool'!$B$11=0,0,IF('China Child Data'!$B14=0,0,IF(C32&gt;'GPS Anthro Tool'!$B$16,0,IF(C32&lt;'GPS Anthro Tool'!$B$17,0,C32))))))</f>
        <v>0</v>
      </c>
      <c r="D14" s="172">
        <f>IF('GPS Anthro Tool'!$B$6=0,0,IF('GPS Anthro Tool'!$B$6=0,0,IF('GPS Anthro Tool'!$B$10=0,0,IF('China Child Data'!$B14=0,0,IF(D32&gt;'GPS Anthro Tool'!$B$16,0,IF(D32&lt;'GPS Anthro Tool'!$B$17,0,D32))))))</f>
        <v>0</v>
      </c>
      <c r="E14" s="172">
        <f>IF('GPS Anthro Tool'!$B$6=0,0,IF('GPS Anthro Tool'!$B$6=0,0,IF('GPS Anthro Tool'!$B$9=0,0,IF('China Child Data'!$B14=0,0,IF(E32&gt;'GPS Anthro Tool'!$B$16,0,IF(E32&lt;'GPS Anthro Tool'!$B$17,0,E32))))))</f>
        <v>0</v>
      </c>
      <c r="G14" s="173">
        <f>IF('GPS Anthro Tool'!$B$6=0,0,IF('GPS Anthro Tool'!$B$11=0,0,IF('China Child Data'!$B14=0,0,IF(G32&gt;'GPS Anthro Tool'!$B$14,0,IF(G32&lt;'GPS Anthro Tool'!$B$15,0,G32)))))</f>
        <v>0</v>
      </c>
      <c r="H14" s="173">
        <f>IF('GPS Anthro Tool'!$B$6=0,0,IF('GPS Anthro Tool'!$B$10=0,0,IF('China Child Data'!$B14=0,0,IF(H32&gt;'GPS Anthro Tool'!$B$14,0,IF(H32&lt;'GPS Anthro Tool'!$B$15,0,H32)))))</f>
        <v>0</v>
      </c>
      <c r="I14" s="173">
        <f>IF('GPS Anthro Tool'!$B$6=0,0,IF('GPS Anthro Tool'!$B$9=0,0,IF('China Child Data'!$B14=0,0,IF(I32&gt;'GPS Anthro Tool'!$B$14,0,IF(I32&lt;'GPS Anthro Tool'!$B$15,0,I32)))))</f>
        <v>0</v>
      </c>
      <c r="K14" s="458">
        <f>IF('GPS Anthro Tool'!$B$6=0,0,IF('GPS Anthro Tool'!$B$11=0,0,IF('China Child Data'!$G14=0,0,IF(K32&gt;'GPS Anthro Tool'!$B$14,0,IF(K32&lt;'GPS Anthro Tool'!$B$15,0,IF($G$3=0,0,K32))))))</f>
        <v>0</v>
      </c>
      <c r="L14" s="458">
        <f>IF('GPS Anthro Tool'!$B$6=0,0,IF('GPS Anthro Tool'!$B$10=0,0,IF('China Child Data'!$H14=0,0,IF(L32&gt;'GPS Anthro Tool'!$B$14,0,IF(L32&lt;'GPS Anthro Tool'!$B$15,0,IF($H$3=0,0,L32))))))</f>
        <v>0</v>
      </c>
      <c r="M14" s="458">
        <f>IF('GPS Anthro Tool'!$B$6=0,0,IF('GPS Anthro Tool'!$B$9=0,0,IF('China Child Data'!$I14=0,0,IF(M32&gt;'GPS Anthro Tool'!$B$14,0,IF(M32&lt;'GPS Anthro Tool'!$B$15,0,IF($I$3=0,0,M32))))))</f>
        <v>0</v>
      </c>
      <c r="N14" s="459"/>
      <c r="O14" s="458">
        <f>IF('GPS Anthro Tool'!$B$6=0,0,IF('GPS Anthro Tool'!$B$11=0,0,IF('China Child Data'!$G14=0,0,IF(O32&gt;'GPS Anthro Tool'!$B$14,0,IF(O32&lt;'GPS Anthro Tool'!$B$15,0,IF($G$3=0,0,O32))))))</f>
        <v>0</v>
      </c>
      <c r="P14" s="458">
        <f>IF('GPS Anthro Tool'!$B$6=0,0,IF('GPS Anthro Tool'!$B$10=0,0,IF('China Child Data'!$H14=0,0,IF(P32&gt;'GPS Anthro Tool'!$B$14,0,IF(P32&lt;'GPS Anthro Tool'!$B$15,0,IF($H$3=0,0,P32))))))</f>
        <v>0</v>
      </c>
      <c r="Q14" s="458">
        <f>IF('GPS Anthro Tool'!$B$6=0,0,IF('GPS Anthro Tool'!$B$9=0,0,IF('China Child Data'!$I14=0,0,IF(Q32&gt;'GPS Anthro Tool'!$B$14,0,IF(Q32&lt;'GPS Anthro Tool'!$B$15,0,IF($I$3=0,0,Q32))))))</f>
        <v>0</v>
      </c>
      <c r="S14" s="173">
        <f>IF('GPS Anthro Tool'!$B$6=0,0,IF('GPS Anthro Tool'!$B$11=0,0,IF('China Child Data'!$G14=0,0,IF(S32&gt;'GPS Anthro Tool'!$B$14,0,IF(S32&lt;'GPS Anthro Tool'!$B$15,0,IF($G$3=0,0,S32))))))</f>
        <v>0</v>
      </c>
      <c r="T14" s="173">
        <f>IF('GPS Anthro Tool'!$B$6=0,0,IF('GPS Anthro Tool'!$B$10=0,0,IF('China Child Data'!$H14=0,0,IF(T32&gt;'GPS Anthro Tool'!$B$14,0,IF(T32&lt;'GPS Anthro Tool'!$B$15,0,IF($H$3=0,0,T32))))))</f>
        <v>0</v>
      </c>
      <c r="U14" s="173">
        <f>IF('GPS Anthro Tool'!$B$6=0,0,IF('GPS Anthro Tool'!$B$9=0,0,IF('China Child Data'!$I14=0,0,IF(U32&gt;'GPS Anthro Tool'!$B$14,0,IF(U32&lt;'GPS Anthro Tool'!$B$15,0,IF($I$3=0,0,U32))))))</f>
        <v>0</v>
      </c>
      <c r="W14" s="173">
        <f>IF('GPS Anthro Tool'!$B$6=0,0,IF('GPS Anthro Tool'!$B$11=0,0,IF('China Child Data'!$G14=0,0,IF(W32&gt;'GPS Anthro Tool'!$B$14,0,IF(W32&lt;'GPS Anthro Tool'!$B$15,0,IF($G$3=0,0,W32))))))</f>
        <v>0</v>
      </c>
      <c r="X14" s="173">
        <f>IF('GPS Anthro Tool'!$B$6=0,0,IF('GPS Anthro Tool'!$B$10=0,0,IF('China Child Data'!$H14=0,0,IF(X32&gt;'GPS Anthro Tool'!$B$14,0,IF(X32&lt;'GPS Anthro Tool'!$B$15,0,IF($H$3=0,0,X32))))))</f>
        <v>0</v>
      </c>
      <c r="Y14" s="173">
        <f>IF('GPS Anthro Tool'!$B$6=0,0,IF('GPS Anthro Tool'!$B$9=0,0,IF('China Child Data'!$I14=0,0,IF(Y32&gt;'GPS Anthro Tool'!$B$14,0,IF(Y32&lt;'GPS Anthro Tool'!$B$15,0,IF($I$3=0,0,Y32))))))</f>
        <v>0</v>
      </c>
      <c r="Z14" s="283">
        <v>0</v>
      </c>
      <c r="AA14" s="173">
        <f>IF('GPS Anthro Tool'!$B$6=0,0,IF('GPS Anthro Tool'!$B$11=0,0,IF('China Child Data'!$G14=0,0,IF(AA32&gt;'GPS Anthro Tool'!$B$14,0,IF(AA32&lt;'GPS Anthro Tool'!$B$15,0,IF($G$3=0,0,AA32))))))</f>
        <v>0</v>
      </c>
      <c r="AB14" s="173">
        <f>IF('GPS Anthro Tool'!$B$6=0,0,IF('GPS Anthro Tool'!$B$10=0,0,IF('China Child Data'!$H14=0,0,IF(AB32&gt;'GPS Anthro Tool'!$B$14,0,IF(AB32&lt;'GPS Anthro Tool'!$B$15,0,IF($H$3=0,0,AB32))))))</f>
        <v>0</v>
      </c>
      <c r="AC14" s="173">
        <f>IF('GPS Anthro Tool'!$B$6=0,0,IF('GPS Anthro Tool'!$B$9=0,0,IF('China Child Data'!$I14=0,0,IF(AC32&gt;'GPS Anthro Tool'!$B$14,0,IF(AC32&lt;'GPS Anthro Tool'!$B$15,0,IF($I$3=0,0,AC32))))))</f>
        <v>0</v>
      </c>
      <c r="AE14" s="173">
        <f>IF('GPS Anthro Tool'!$B$6=0,0,IF('GPS Anthro Tool'!$B$11=0,0,IF('China Child Data'!$G14=0,0,IF(AE32&gt;'GPS Anthro Tool'!$B$14,0,IF(AE32&lt;'GPS Anthro Tool'!$B$15,0,IF($G$3=0,0,AE32))))))</f>
        <v>0</v>
      </c>
      <c r="AF14" s="173">
        <f>IF('GPS Anthro Tool'!$B$6=0,0,IF('GPS Anthro Tool'!$B$10=0,0,IF('China Child Data'!$H14=0,0,IF(AF32&gt;'GPS Anthro Tool'!$B$14,0,IF(AF32&lt;'GPS Anthro Tool'!$B$15,0,IF($H$3=0,0,AF32))))))</f>
        <v>0</v>
      </c>
      <c r="AG14" s="173">
        <f>IF('GPS Anthro Tool'!$B$6=0,0,IF('GPS Anthro Tool'!$B$9=0,0,IF('China Child Data'!$I14=0,0,IF(AG32&gt;'GPS Anthro Tool'!$B$14,0,IF(AG32&lt;'GPS Anthro Tool'!$B$15,0,IF($I$3=0,0,AG32))))))</f>
        <v>0</v>
      </c>
      <c r="AI14" s="173">
        <f>IF('GPS Anthro Tool'!$B$6=0,0,IF('GPS Anthro Tool'!$B$11=0,0,IF('China Child Data'!$G14=0,0,IF(AI32&gt;'GPS Anthro Tool'!$B$14,0,IF(AI32&lt;'GPS Anthro Tool'!$B$15,0,IF($G$3=0,0,AI32))))))</f>
        <v>0</v>
      </c>
      <c r="AJ14" s="173">
        <f>IF('GPS Anthro Tool'!$B$6=0,0,IF('GPS Anthro Tool'!$B$10=0,0,IF('China Child Data'!$H14=0,0,IF(AJ32&gt;'GPS Anthro Tool'!$B$14,0,IF(AJ32&lt;'GPS Anthro Tool'!$B$15,0,IF($H$3=0,0,AJ32))))))</f>
        <v>0</v>
      </c>
      <c r="AK14" s="173">
        <f>IF('GPS Anthro Tool'!$B$6=0,0,IF('GPS Anthro Tool'!$B$9=0,0,IF('China Child Data'!$I14=0,0,IF(AK32&gt;'GPS Anthro Tool'!$B$14,0,IF(AK32&lt;'GPS Anthro Tool'!$B$15,0,IF($I$3=0,0,AK32))))))</f>
        <v>0</v>
      </c>
      <c r="AM14" s="173">
        <f>IF('GPS Anthro Tool'!$B$6=0,0,IF('GPS Anthro Tool'!$B$11=0,0,IF('China Child Data'!$G14=0,0,IF(AM32&gt;'GPS Anthro Tool'!$B$14,0,IF(AM32&lt;'GPS Anthro Tool'!$B$15,0,IF($G$3=0,0,-AM32))))))</f>
        <v>0</v>
      </c>
      <c r="AN14" s="173">
        <f>IF('GPS Anthro Tool'!$B$6=0,0,IF('GPS Anthro Tool'!$B$10=0,0,IF('China Child Data'!$H14=0,0,IF(AN32&gt;'GPS Anthro Tool'!$B$14,0,IF(AN32&lt;'GPS Anthro Tool'!$B$15,0,IF($H$3=0,0,-AN32))))))</f>
        <v>0</v>
      </c>
      <c r="AO14" s="173">
        <f>IF('GPS Anthro Tool'!$B$6=0,0,IF('GPS Anthro Tool'!$B$9=0,0,IF('China Child Data'!$I14=0,0,IF(AO32&gt;'GPS Anthro Tool'!$B$14,0,IF(AO32&lt;'GPS Anthro Tool'!$B$15,0,IF($I$3=0,0,-AO32))))))</f>
        <v>0</v>
      </c>
      <c r="AQ14" s="173">
        <f>IF('GPS Anthro Tool'!$B$6=0,0,IF('GPS Anthro Tool'!$B$11=0,0,IF('China Child Data'!$G14=0,0,IF(AQ32&gt;'GPS Anthro Tool'!$B$14,0,IF(AQ32&lt;'GPS Anthro Tool'!$B$15,0,IF($G$3=0,0,AQ32))))))</f>
        <v>0</v>
      </c>
      <c r="AR14" s="173">
        <f>IF('GPS Anthro Tool'!$B$6=0,0,IF('GPS Anthro Tool'!$B$10=0,0,IF('China Child Data'!$H14=0,0,IF(AR32&gt;'GPS Anthro Tool'!$B$14,0,IF(AR32&lt;'GPS Anthro Tool'!$B$15,0,IF($H$3=0,0,AR32))))))</f>
        <v>0</v>
      </c>
      <c r="AS14" s="173">
        <f>IF('GPS Anthro Tool'!$B$6=0,0,IF('GPS Anthro Tool'!$B$9=0,0,IF('China Child Data'!$I14=0,0,IF(AS32&gt;'GPS Anthro Tool'!$B$14,0,IF(AS32&lt;'GPS Anthro Tool'!$B$15,0,IF($I$3=0,0,AS32))))))</f>
        <v>0</v>
      </c>
      <c r="AU14" s="173">
        <f>IF('GPS Anthro Tool'!$B$6=0,0,IF('GPS Anthro Tool'!$B$11=0,0,IF('China Child Data'!$G14=0,0,IF(AU32&gt;'GPS Anthro Tool'!$B$14,0,IF(AU32&lt;'GPS Anthro Tool'!$B$15,0,IF($G$3=0,0,AU32))))))</f>
        <v>0</v>
      </c>
      <c r="AV14" s="173">
        <f>IF('GPS Anthro Tool'!$B$6=0,0,IF('GPS Anthro Tool'!$B$10=0,0,IF('China Child Data'!$H14=0,0,IF(AV32&gt;'GPS Anthro Tool'!$B$14,0,IF(AV32&lt;'GPS Anthro Tool'!$B$15,0,IF($H$3=0,0,AV32))))))</f>
        <v>0</v>
      </c>
      <c r="AW14" s="173">
        <f>IF('GPS Anthro Tool'!$B$6=0,0,IF('GPS Anthro Tool'!$B$9=0,0,IF('China Child Data'!$I14=0,0,IF(AW32&gt;'GPS Anthro Tool'!$B$14,0,IF(AW32&lt;'GPS Anthro Tool'!$B$15,0,IF($I$3=0,0,AW32))))))</f>
        <v>0</v>
      </c>
      <c r="AY14" s="173">
        <f>IF('GPS Anthro Tool'!$B$6=0,0,IF('GPS Anthro Tool'!$B$11=0,0,IF('China Child Data'!$G14=0,0,IF(AY32&gt;'GPS Anthro Tool'!$B$14,0,IF(AY32&lt;'GPS Anthro Tool'!$B$15,0,IF($G$3=0,0,AY32))))))</f>
        <v>0</v>
      </c>
      <c r="AZ14" s="173">
        <f>IF('GPS Anthro Tool'!$B$6=0,0,IF('GPS Anthro Tool'!$B$10=0,0,IF('China Child Data'!$H14=0,0,IF(AZ32&gt;'GPS Anthro Tool'!$B$14,0,IF(AZ32&lt;'GPS Anthro Tool'!$B$15,0,IF($H$3=0,0,AZ32))))))</f>
        <v>0</v>
      </c>
      <c r="BA14" s="173">
        <f>IF('GPS Anthro Tool'!$B$6=0,0,IF('GPS Anthro Tool'!$B$9=0,0,IF('China Child Data'!$I14=0,0,IF(BA32&gt;'GPS Anthro Tool'!$B$14,0,IF(BA32&lt;'GPS Anthro Tool'!$B$15,0,IF($I$3=0,0,BA32))))))</f>
        <v>0</v>
      </c>
      <c r="BC14" s="173">
        <f>IF('GPS Anthro Tool'!$B$6=0,0,IF('GPS Anthro Tool'!$B$11=0,0,IF('China Child Data'!$G14=0,0,IF(BC32&gt;'GPS Anthro Tool'!$B$14,0,IF(BC32&lt;'GPS Anthro Tool'!$B$15,0,IF($G$3=0,0,BC32))))))</f>
        <v>0</v>
      </c>
      <c r="BD14" s="173">
        <f>IF('GPS Anthro Tool'!$B$6=0,0,IF('GPS Anthro Tool'!$B$10=0,0,IF('China Child Data'!$H14=0,0,IF(BD32&gt;'GPS Anthro Tool'!$B$14,0,IF(BD32&lt;'GPS Anthro Tool'!$B$15,0,IF($H$3=0,0,BD32))))))</f>
        <v>0</v>
      </c>
      <c r="BE14" s="173">
        <f>IF('GPS Anthro Tool'!$B$6=0,0,IF('GPS Anthro Tool'!$B$9=0,0,IF('China Child Data'!$I14=0,0,IF(BE32&gt;'GPS Anthro Tool'!$B$14,0,IF(BE32&lt;'GPS Anthro Tool'!$B$15,0,IF($I$3=0,0,BE32))))))</f>
        <v>0</v>
      </c>
      <c r="BF14" s="208"/>
      <c r="BG14" s="157">
        <f t="shared" si="0"/>
        <v>0</v>
      </c>
      <c r="BH14" s="157">
        <f t="shared" si="0"/>
        <v>0</v>
      </c>
      <c r="BI14" s="157">
        <f t="shared" si="0"/>
        <v>0</v>
      </c>
      <c r="BJ14" s="213">
        <v>0</v>
      </c>
      <c r="BK14" s="157">
        <f t="shared" si="1"/>
        <v>0</v>
      </c>
      <c r="BL14" s="157">
        <f t="shared" si="1"/>
        <v>0</v>
      </c>
      <c r="BM14" s="157">
        <f t="shared" si="1"/>
        <v>0</v>
      </c>
      <c r="BN14" s="213">
        <v>0</v>
      </c>
      <c r="BO14" s="157">
        <f t="shared" si="2"/>
        <v>0</v>
      </c>
      <c r="BP14" s="157">
        <f t="shared" si="2"/>
        <v>0</v>
      </c>
      <c r="BQ14" s="157">
        <f t="shared" si="2"/>
        <v>0</v>
      </c>
      <c r="BR14" s="213"/>
      <c r="BS14" s="167">
        <f t="shared" si="3"/>
        <v>0</v>
      </c>
      <c r="BT14" s="167">
        <f t="shared" si="3"/>
        <v>0</v>
      </c>
      <c r="BU14" s="167">
        <f t="shared" si="3"/>
        <v>0</v>
      </c>
      <c r="BV14" s="213">
        <v>0</v>
      </c>
      <c r="BW14" s="168">
        <f t="shared" si="4"/>
        <v>0</v>
      </c>
      <c r="BX14" s="168">
        <f t="shared" si="4"/>
        <v>0</v>
      </c>
      <c r="BY14" s="168">
        <f t="shared" si="4"/>
        <v>0</v>
      </c>
      <c r="BZ14" s="210"/>
      <c r="CA14" s="169">
        <f t="shared" si="5"/>
        <v>0</v>
      </c>
      <c r="CB14" s="169">
        <f t="shared" si="5"/>
        <v>0</v>
      </c>
      <c r="CC14" s="169">
        <f t="shared" si="5"/>
        <v>0</v>
      </c>
      <c r="CD14" s="210"/>
      <c r="CE14" s="170">
        <f t="shared" si="6"/>
        <v>0</v>
      </c>
      <c r="CF14" s="170">
        <f t="shared" si="6"/>
        <v>0</v>
      </c>
      <c r="CG14" s="170">
        <f t="shared" si="6"/>
        <v>0</v>
      </c>
      <c r="CH14" s="210"/>
    </row>
    <row r="15" spans="1:86">
      <c r="A15" s="426">
        <v>9</v>
      </c>
      <c r="B15" s="153">
        <v>1</v>
      </c>
      <c r="C15" s="172">
        <f>IF('GPS Anthro Tool'!$B$6=0,0,IF('GPS Anthro Tool'!$B$6=0,0,IF('GPS Anthro Tool'!$B$11=0,0,IF('China Child Data'!$B15=0,0,IF(C33&gt;'GPS Anthro Tool'!$B$16,0,IF(C33&lt;'GPS Anthro Tool'!$B$17,0,C33))))))</f>
        <v>0</v>
      </c>
      <c r="D15" s="172">
        <f>IF('GPS Anthro Tool'!$B$6=0,0,IF('GPS Anthro Tool'!$B$6=0,0,IF('GPS Anthro Tool'!$B$10=0,0,IF('China Child Data'!$B15=0,0,IF(D33&gt;'GPS Anthro Tool'!$B$16,0,IF(D33&lt;'GPS Anthro Tool'!$B$17,0,D33))))))</f>
        <v>0</v>
      </c>
      <c r="E15" s="172">
        <f>IF('GPS Anthro Tool'!$B$6=0,0,IF('GPS Anthro Tool'!$B$6=0,0,IF('GPS Anthro Tool'!$B$9=0,0,IF('China Child Data'!$B15=0,0,IF(E33&gt;'GPS Anthro Tool'!$B$16,0,IF(E33&lt;'GPS Anthro Tool'!$B$17,0,E33))))))</f>
        <v>0</v>
      </c>
      <c r="G15" s="173">
        <f>IF('GPS Anthro Tool'!$B$6=0,0,IF('GPS Anthro Tool'!$B$11=0,0,IF('China Child Data'!$B15=0,0,IF(G33&gt;'GPS Anthro Tool'!$B$14,0,IF(G33&lt;'GPS Anthro Tool'!$B$15,0,G33)))))</f>
        <v>0</v>
      </c>
      <c r="H15" s="173">
        <f>IF('GPS Anthro Tool'!$B$6=0,0,IF('GPS Anthro Tool'!$B$10=0,0,IF('China Child Data'!$B15=0,0,IF(H33&gt;'GPS Anthro Tool'!$B$14,0,IF(H33&lt;'GPS Anthro Tool'!$B$15,0,H33)))))</f>
        <v>0</v>
      </c>
      <c r="I15" s="173">
        <f>IF('GPS Anthro Tool'!$B$6=0,0,IF('GPS Anthro Tool'!$B$9=0,0,IF('China Child Data'!$B15=0,0,IF(I33&gt;'GPS Anthro Tool'!$B$14,0,IF(I33&lt;'GPS Anthro Tool'!$B$15,0,I33)))))</f>
        <v>0</v>
      </c>
      <c r="K15" s="458">
        <f>IF('GPS Anthro Tool'!$B$6=0,0,IF('GPS Anthro Tool'!$B$11=0,0,IF('China Child Data'!$G15=0,0,IF(K33&gt;'GPS Anthro Tool'!$B$14,0,IF(K33&lt;'GPS Anthro Tool'!$B$15,0,IF($G$3=0,0,K33))))))</f>
        <v>0</v>
      </c>
      <c r="L15" s="458">
        <f>IF('GPS Anthro Tool'!$B$6=0,0,IF('GPS Anthro Tool'!$B$10=0,0,IF('China Child Data'!$H15=0,0,IF(L33&gt;'GPS Anthro Tool'!$B$14,0,IF(L33&lt;'GPS Anthro Tool'!$B$15,0,IF($H$3=0,0,L33))))))</f>
        <v>0</v>
      </c>
      <c r="M15" s="458">
        <f>IF('GPS Anthro Tool'!$B$6=0,0,IF('GPS Anthro Tool'!$B$9=0,0,IF('China Child Data'!$I15=0,0,IF(M33&gt;'GPS Anthro Tool'!$B$14,0,IF(M33&lt;'GPS Anthro Tool'!$B$15,0,IF($I$3=0,0,M33))))))</f>
        <v>0</v>
      </c>
      <c r="N15" s="459"/>
      <c r="O15" s="458">
        <f>IF('GPS Anthro Tool'!$B$6=0,0,IF('GPS Anthro Tool'!$B$11=0,0,IF('China Child Data'!$G15=0,0,IF(O33&gt;'GPS Anthro Tool'!$B$14,0,IF(O33&lt;'GPS Anthro Tool'!$B$15,0,IF($G$3=0,0,O33))))))</f>
        <v>0</v>
      </c>
      <c r="P15" s="458">
        <f>IF('GPS Anthro Tool'!$B$6=0,0,IF('GPS Anthro Tool'!$B$10=0,0,IF('China Child Data'!$H15=0,0,IF(P33&gt;'GPS Anthro Tool'!$B$14,0,IF(P33&lt;'GPS Anthro Tool'!$B$15,0,IF($H$3=0,0,P33))))))</f>
        <v>0</v>
      </c>
      <c r="Q15" s="458">
        <f>IF('GPS Anthro Tool'!$B$6=0,0,IF('GPS Anthro Tool'!$B$9=0,0,IF('China Child Data'!$I15=0,0,IF(Q33&gt;'GPS Anthro Tool'!$B$14,0,IF(Q33&lt;'GPS Anthro Tool'!$B$15,0,IF($I$3=0,0,Q33))))))</f>
        <v>0</v>
      </c>
      <c r="S15" s="173">
        <f>IF('GPS Anthro Tool'!$B$6=0,0,IF('GPS Anthro Tool'!$B$11=0,0,IF('China Child Data'!$G15=0,0,IF(S33&gt;'GPS Anthro Tool'!$B$14,0,IF(S33&lt;'GPS Anthro Tool'!$B$15,0,IF($G$3=0,0,S33))))))</f>
        <v>0</v>
      </c>
      <c r="T15" s="173">
        <f>IF('GPS Anthro Tool'!$B$6=0,0,IF('GPS Anthro Tool'!$B$10=0,0,IF('China Child Data'!$H15=0,0,IF(T33&gt;'GPS Anthro Tool'!$B$14,0,IF(T33&lt;'GPS Anthro Tool'!$B$15,0,IF($H$3=0,0,T33))))))</f>
        <v>0</v>
      </c>
      <c r="U15" s="173">
        <f>IF('GPS Anthro Tool'!$B$6=0,0,IF('GPS Anthro Tool'!$B$9=0,0,IF('China Child Data'!$I15=0,0,IF(U33&gt;'GPS Anthro Tool'!$B$14,0,IF(U33&lt;'GPS Anthro Tool'!$B$15,0,IF($I$3=0,0,U33))))))</f>
        <v>0</v>
      </c>
      <c r="W15" s="173">
        <f>IF('GPS Anthro Tool'!$B$6=0,0,IF('GPS Anthro Tool'!$B$11=0,0,IF('China Child Data'!$G15=0,0,IF(W33&gt;'GPS Anthro Tool'!$B$14,0,IF(W33&lt;'GPS Anthro Tool'!$B$15,0,IF($G$3=0,0,W33))))))</f>
        <v>0</v>
      </c>
      <c r="X15" s="173">
        <f>IF('GPS Anthro Tool'!$B$6=0,0,IF('GPS Anthro Tool'!$B$10=0,0,IF('China Child Data'!$H15=0,0,IF(X33&gt;'GPS Anthro Tool'!$B$14,0,IF(X33&lt;'GPS Anthro Tool'!$B$15,0,IF($H$3=0,0,X33))))))</f>
        <v>0</v>
      </c>
      <c r="Y15" s="173">
        <f>IF('GPS Anthro Tool'!$B$6=0,0,IF('GPS Anthro Tool'!$B$9=0,0,IF('China Child Data'!$I15=0,0,IF(Y33&gt;'GPS Anthro Tool'!$B$14,0,IF(Y33&lt;'GPS Anthro Tool'!$B$15,0,IF($I$3=0,0,Y33))))))</f>
        <v>0</v>
      </c>
      <c r="Z15" s="283">
        <v>0</v>
      </c>
      <c r="AA15" s="173">
        <f>IF('GPS Anthro Tool'!$B$6=0,0,IF('GPS Anthro Tool'!$B$11=0,0,IF('China Child Data'!$G15=0,0,IF(AA33&gt;'GPS Anthro Tool'!$B$14,0,IF(AA33&lt;'GPS Anthro Tool'!$B$15,0,IF($G$3=0,0,AA33))))))</f>
        <v>0</v>
      </c>
      <c r="AB15" s="173">
        <f>IF('GPS Anthro Tool'!$B$6=0,0,IF('GPS Anthro Tool'!$B$10=0,0,IF('China Child Data'!$H15=0,0,IF(AB33&gt;'GPS Anthro Tool'!$B$14,0,IF(AB33&lt;'GPS Anthro Tool'!$B$15,0,IF($H$3=0,0,AB33))))))</f>
        <v>0</v>
      </c>
      <c r="AC15" s="173">
        <f>IF('GPS Anthro Tool'!$B$6=0,0,IF('GPS Anthro Tool'!$B$9=0,0,IF('China Child Data'!$I15=0,0,IF(AC33&gt;'GPS Anthro Tool'!$B$14,0,IF(AC33&lt;'GPS Anthro Tool'!$B$15,0,IF($I$3=0,0,AC33))))))</f>
        <v>0</v>
      </c>
      <c r="AE15" s="173">
        <f>IF('GPS Anthro Tool'!$B$6=0,0,IF('GPS Anthro Tool'!$B$11=0,0,IF('China Child Data'!$G15=0,0,IF(AE33&gt;'GPS Anthro Tool'!$B$14,0,IF(AE33&lt;'GPS Anthro Tool'!$B$15,0,IF($G$3=0,0,AE33))))))</f>
        <v>0</v>
      </c>
      <c r="AF15" s="173">
        <f>IF('GPS Anthro Tool'!$B$6=0,0,IF('GPS Anthro Tool'!$B$10=0,0,IF('China Child Data'!$H15=0,0,IF(AF33&gt;'GPS Anthro Tool'!$B$14,0,IF(AF33&lt;'GPS Anthro Tool'!$B$15,0,IF($H$3=0,0,AF33))))))</f>
        <v>0</v>
      </c>
      <c r="AG15" s="173">
        <f>IF('GPS Anthro Tool'!$B$6=0,0,IF('GPS Anthro Tool'!$B$9=0,0,IF('China Child Data'!$I15=0,0,IF(AG33&gt;'GPS Anthro Tool'!$B$14,0,IF(AG33&lt;'GPS Anthro Tool'!$B$15,0,IF($I$3=0,0,AG33))))))</f>
        <v>0</v>
      </c>
      <c r="AI15" s="173">
        <f>IF('GPS Anthro Tool'!$B$6=0,0,IF('GPS Anthro Tool'!$B$11=0,0,IF('China Child Data'!$G15=0,0,IF(AI33&gt;'GPS Anthro Tool'!$B$14,0,IF(AI33&lt;'GPS Anthro Tool'!$B$15,0,IF($G$3=0,0,AI33))))))</f>
        <v>0</v>
      </c>
      <c r="AJ15" s="173">
        <f>IF('GPS Anthro Tool'!$B$6=0,0,IF('GPS Anthro Tool'!$B$10=0,0,IF('China Child Data'!$H15=0,0,IF(AJ33&gt;'GPS Anthro Tool'!$B$14,0,IF(AJ33&lt;'GPS Anthro Tool'!$B$15,0,IF($H$3=0,0,AJ33))))))</f>
        <v>0</v>
      </c>
      <c r="AK15" s="173">
        <f>IF('GPS Anthro Tool'!$B$6=0,0,IF('GPS Anthro Tool'!$B$9=0,0,IF('China Child Data'!$I15=0,0,IF(AK33&gt;'GPS Anthro Tool'!$B$14,0,IF(AK33&lt;'GPS Anthro Tool'!$B$15,0,IF($I$3=0,0,AK33))))))</f>
        <v>0</v>
      </c>
      <c r="AM15" s="173">
        <f>IF('GPS Anthro Tool'!$B$6=0,0,IF('GPS Anthro Tool'!$B$11=0,0,IF('China Child Data'!$G15=0,0,IF(AM33&gt;'GPS Anthro Tool'!$B$14,0,IF(AM33&lt;'GPS Anthro Tool'!$B$15,0,IF($G$3=0,0,-AM33))))))</f>
        <v>0</v>
      </c>
      <c r="AN15" s="173">
        <f>IF('GPS Anthro Tool'!$B$6=0,0,IF('GPS Anthro Tool'!$B$10=0,0,IF('China Child Data'!$H15=0,0,IF(AN33&gt;'GPS Anthro Tool'!$B$14,0,IF(AN33&lt;'GPS Anthro Tool'!$B$15,0,IF($H$3=0,0,-AN33))))))</f>
        <v>0</v>
      </c>
      <c r="AO15" s="173">
        <f>IF('GPS Anthro Tool'!$B$6=0,0,IF('GPS Anthro Tool'!$B$9=0,0,IF('China Child Data'!$I15=0,0,IF(AO33&gt;'GPS Anthro Tool'!$B$14,0,IF(AO33&lt;'GPS Anthro Tool'!$B$15,0,IF($I$3=0,0,-AO33))))))</f>
        <v>0</v>
      </c>
      <c r="AQ15" s="173">
        <f>IF('GPS Anthro Tool'!$B$6=0,0,IF('GPS Anthro Tool'!$B$11=0,0,IF('China Child Data'!$G15=0,0,IF(AQ33&gt;'GPS Anthro Tool'!$B$14,0,IF(AQ33&lt;'GPS Anthro Tool'!$B$15,0,IF($G$3=0,0,AQ33))))))</f>
        <v>0</v>
      </c>
      <c r="AR15" s="173">
        <f>IF('GPS Anthro Tool'!$B$6=0,0,IF('GPS Anthro Tool'!$B$10=0,0,IF('China Child Data'!$H15=0,0,IF(AR33&gt;'GPS Anthro Tool'!$B$14,0,IF(AR33&lt;'GPS Anthro Tool'!$B$15,0,IF($H$3=0,0,AR33))))))</f>
        <v>0</v>
      </c>
      <c r="AS15" s="173">
        <f>IF('GPS Anthro Tool'!$B$6=0,0,IF('GPS Anthro Tool'!$B$9=0,0,IF('China Child Data'!$I15=0,0,IF(AS33&gt;'GPS Anthro Tool'!$B$14,0,IF(AS33&lt;'GPS Anthro Tool'!$B$15,0,IF($I$3=0,0,AS33))))))</f>
        <v>0</v>
      </c>
      <c r="AU15" s="173">
        <f>IF('GPS Anthro Tool'!$B$6=0,0,IF('GPS Anthro Tool'!$B$11=0,0,IF('China Child Data'!$G15=0,0,IF(AU33&gt;'GPS Anthro Tool'!$B$14,0,IF(AU33&lt;'GPS Anthro Tool'!$B$15,0,IF($G$3=0,0,AU33))))))</f>
        <v>0</v>
      </c>
      <c r="AV15" s="173">
        <f>IF('GPS Anthro Tool'!$B$6=0,0,IF('GPS Anthro Tool'!$B$10=0,0,IF('China Child Data'!$H15=0,0,IF(AV33&gt;'GPS Anthro Tool'!$B$14,0,IF(AV33&lt;'GPS Anthro Tool'!$B$15,0,IF($H$3=0,0,AV33))))))</f>
        <v>0</v>
      </c>
      <c r="AW15" s="173">
        <f>IF('GPS Anthro Tool'!$B$6=0,0,IF('GPS Anthro Tool'!$B$9=0,0,IF('China Child Data'!$I15=0,0,IF(AW33&gt;'GPS Anthro Tool'!$B$14,0,IF(AW33&lt;'GPS Anthro Tool'!$B$15,0,IF($I$3=0,0,AW33))))))</f>
        <v>0</v>
      </c>
      <c r="AY15" s="173">
        <f>IF('GPS Anthro Tool'!$B$6=0,0,IF('GPS Anthro Tool'!$B$11=0,0,IF('China Child Data'!$G15=0,0,IF(AY33&gt;'GPS Anthro Tool'!$B$14,0,IF(AY33&lt;'GPS Anthro Tool'!$B$15,0,IF($G$3=0,0,AY33))))))</f>
        <v>0</v>
      </c>
      <c r="AZ15" s="173">
        <f>IF('GPS Anthro Tool'!$B$6=0,0,IF('GPS Anthro Tool'!$B$10=0,0,IF('China Child Data'!$H15=0,0,IF(AZ33&gt;'GPS Anthro Tool'!$B$14,0,IF(AZ33&lt;'GPS Anthro Tool'!$B$15,0,IF($H$3=0,0,AZ33))))))</f>
        <v>0</v>
      </c>
      <c r="BA15" s="173">
        <f>IF('GPS Anthro Tool'!$B$6=0,0,IF('GPS Anthro Tool'!$B$9=0,0,IF('China Child Data'!$I15=0,0,IF(BA33&gt;'GPS Anthro Tool'!$B$14,0,IF(BA33&lt;'GPS Anthro Tool'!$B$15,0,IF($I$3=0,0,BA33))))))</f>
        <v>0</v>
      </c>
      <c r="BC15" s="173">
        <f>IF('GPS Anthro Tool'!$B$6=0,0,IF('GPS Anthro Tool'!$B$11=0,0,IF('China Child Data'!$G15=0,0,IF(BC33&gt;'GPS Anthro Tool'!$B$14,0,IF(BC33&lt;'GPS Anthro Tool'!$B$15,0,IF($G$3=0,0,BC33))))))</f>
        <v>0</v>
      </c>
      <c r="BD15" s="173">
        <f>IF('GPS Anthro Tool'!$B$6=0,0,IF('GPS Anthro Tool'!$B$10=0,0,IF('China Child Data'!$H15=0,0,IF(BD33&gt;'GPS Anthro Tool'!$B$14,0,IF(BD33&lt;'GPS Anthro Tool'!$B$15,0,IF($H$3=0,0,BD33))))))</f>
        <v>0</v>
      </c>
      <c r="BE15" s="173">
        <f>IF('GPS Anthro Tool'!$B$6=0,0,IF('GPS Anthro Tool'!$B$9=0,0,IF('China Child Data'!$I15=0,0,IF(BE33&gt;'GPS Anthro Tool'!$B$14,0,IF(BE33&lt;'GPS Anthro Tool'!$B$15,0,IF($I$3=0,0,BE33))))))</f>
        <v>0</v>
      </c>
      <c r="BF15" s="208"/>
      <c r="BG15" s="157">
        <f t="shared" si="0"/>
        <v>0</v>
      </c>
      <c r="BH15" s="157">
        <f t="shared" si="0"/>
        <v>0</v>
      </c>
      <c r="BI15" s="157">
        <f t="shared" si="0"/>
        <v>0</v>
      </c>
      <c r="BJ15" s="213">
        <v>0</v>
      </c>
      <c r="BK15" s="157">
        <f t="shared" si="1"/>
        <v>0</v>
      </c>
      <c r="BL15" s="157">
        <f t="shared" si="1"/>
        <v>0</v>
      </c>
      <c r="BM15" s="157">
        <f t="shared" si="1"/>
        <v>0</v>
      </c>
      <c r="BN15" s="213">
        <v>0</v>
      </c>
      <c r="BO15" s="157">
        <f t="shared" si="2"/>
        <v>0</v>
      </c>
      <c r="BP15" s="157">
        <f t="shared" si="2"/>
        <v>0</v>
      </c>
      <c r="BQ15" s="157">
        <f t="shared" si="2"/>
        <v>0</v>
      </c>
      <c r="BR15" s="213"/>
      <c r="BS15" s="167">
        <f t="shared" si="3"/>
        <v>0</v>
      </c>
      <c r="BT15" s="167">
        <f t="shared" si="3"/>
        <v>0</v>
      </c>
      <c r="BU15" s="167">
        <f t="shared" si="3"/>
        <v>0</v>
      </c>
      <c r="BV15" s="213">
        <v>0</v>
      </c>
      <c r="BW15" s="168">
        <f t="shared" si="4"/>
        <v>0</v>
      </c>
      <c r="BX15" s="168">
        <f t="shared" si="4"/>
        <v>0</v>
      </c>
      <c r="BY15" s="168">
        <f t="shared" si="4"/>
        <v>0</v>
      </c>
      <c r="BZ15" s="210"/>
      <c r="CA15" s="169">
        <f t="shared" si="5"/>
        <v>0</v>
      </c>
      <c r="CB15" s="169">
        <f t="shared" si="5"/>
        <v>0</v>
      </c>
      <c r="CC15" s="169">
        <f t="shared" si="5"/>
        <v>0</v>
      </c>
      <c r="CD15" s="210"/>
      <c r="CE15" s="170">
        <f t="shared" si="6"/>
        <v>0</v>
      </c>
      <c r="CF15" s="170">
        <f t="shared" si="6"/>
        <v>0</v>
      </c>
      <c r="CG15" s="170">
        <f t="shared" si="6"/>
        <v>0</v>
      </c>
      <c r="CH15" s="210"/>
    </row>
    <row r="16" spans="1:86">
      <c r="A16" s="426">
        <v>10</v>
      </c>
      <c r="B16" s="153">
        <v>1</v>
      </c>
      <c r="C16" s="172">
        <f>IF('GPS Anthro Tool'!$B$6=0,0,IF('GPS Anthro Tool'!$B$6=0,0,IF('GPS Anthro Tool'!$B$11=0,0,IF('China Child Data'!$B16=0,0,IF(C34&gt;'GPS Anthro Tool'!$B$16,0,IF(C34&lt;'GPS Anthro Tool'!$B$17,0,C34))))))</f>
        <v>0</v>
      </c>
      <c r="D16" s="172">
        <f>IF('GPS Anthro Tool'!$B$6=0,0,IF('GPS Anthro Tool'!$B$6=0,0,IF('GPS Anthro Tool'!$B$10=0,0,IF('China Child Data'!$B16=0,0,IF(D34&gt;'GPS Anthro Tool'!$B$16,0,IF(D34&lt;'GPS Anthro Tool'!$B$17,0,D34))))))</f>
        <v>0</v>
      </c>
      <c r="E16" s="172">
        <f>IF('GPS Anthro Tool'!$B$6=0,0,IF('GPS Anthro Tool'!$B$6=0,0,IF('GPS Anthro Tool'!$B$9=0,0,IF('China Child Data'!$B16=0,0,IF(E34&gt;'GPS Anthro Tool'!$B$16,0,IF(E34&lt;'GPS Anthro Tool'!$B$17,0,E34))))))</f>
        <v>0</v>
      </c>
      <c r="G16" s="173">
        <f>IF('GPS Anthro Tool'!$B$6=0,0,IF('GPS Anthro Tool'!$B$11=0,0,IF('China Child Data'!$B16=0,0,IF(G34&gt;'GPS Anthro Tool'!$B$14,0,IF(G34&lt;'GPS Anthro Tool'!$B$15,0,G34)))))</f>
        <v>0</v>
      </c>
      <c r="H16" s="173">
        <f>IF('GPS Anthro Tool'!$B$6=0,0,IF('GPS Anthro Tool'!$B$10=0,0,IF('China Child Data'!$B16=0,0,IF(H34&gt;'GPS Anthro Tool'!$B$14,0,IF(H34&lt;'GPS Anthro Tool'!$B$15,0,H34)))))</f>
        <v>0</v>
      </c>
      <c r="I16" s="173">
        <f>IF('GPS Anthro Tool'!$B$6=0,0,IF('GPS Anthro Tool'!$B$9=0,0,IF('China Child Data'!$B16=0,0,IF(I34&gt;'GPS Anthro Tool'!$B$14,0,IF(I34&lt;'GPS Anthro Tool'!$B$15,0,I34)))))</f>
        <v>0</v>
      </c>
      <c r="K16" s="458">
        <f>IF('GPS Anthro Tool'!$B$6=0,0,IF('GPS Anthro Tool'!$B$11=0,0,IF('China Child Data'!$G16=0,0,IF(K34&gt;'GPS Anthro Tool'!$B$14,0,IF(K34&lt;'GPS Anthro Tool'!$B$15,0,IF($G$3=0,0,K34))))))</f>
        <v>0</v>
      </c>
      <c r="L16" s="458">
        <f>IF('GPS Anthro Tool'!$B$6=0,0,IF('GPS Anthro Tool'!$B$10=0,0,IF('China Child Data'!$H16=0,0,IF(L34&gt;'GPS Anthro Tool'!$B$14,0,IF(L34&lt;'GPS Anthro Tool'!$B$15,0,IF($H$3=0,0,L34))))))</f>
        <v>0</v>
      </c>
      <c r="M16" s="458">
        <f>IF('GPS Anthro Tool'!$B$6=0,0,IF('GPS Anthro Tool'!$B$9=0,0,IF('China Child Data'!$I16=0,0,IF(M34&gt;'GPS Anthro Tool'!$B$14,0,IF(M34&lt;'GPS Anthro Tool'!$B$15,0,IF($I$3=0,0,M34))))))</f>
        <v>0</v>
      </c>
      <c r="N16" s="459"/>
      <c r="O16" s="458">
        <f>IF('GPS Anthro Tool'!$B$6=0,0,IF('GPS Anthro Tool'!$B$11=0,0,IF('China Child Data'!$G16=0,0,IF(O34&gt;'GPS Anthro Tool'!$B$14,0,IF(O34&lt;'GPS Anthro Tool'!$B$15,0,IF($G$3=0,0,O34))))))</f>
        <v>0</v>
      </c>
      <c r="P16" s="458">
        <f>IF('GPS Anthro Tool'!$B$6=0,0,IF('GPS Anthro Tool'!$B$10=0,0,IF('China Child Data'!$H16=0,0,IF(P34&gt;'GPS Anthro Tool'!$B$14,0,IF(P34&lt;'GPS Anthro Tool'!$B$15,0,IF($H$3=0,0,P34))))))</f>
        <v>0</v>
      </c>
      <c r="Q16" s="458">
        <f>IF('GPS Anthro Tool'!$B$6=0,0,IF('GPS Anthro Tool'!$B$9=0,0,IF('China Child Data'!$I16=0,0,IF(Q34&gt;'GPS Anthro Tool'!$B$14,0,IF(Q34&lt;'GPS Anthro Tool'!$B$15,0,IF($I$3=0,0,Q34))))))</f>
        <v>0</v>
      </c>
      <c r="S16" s="173">
        <f>IF('GPS Anthro Tool'!$B$6=0,0,IF('GPS Anthro Tool'!$B$11=0,0,IF('China Child Data'!$G16=0,0,IF(S34&gt;'GPS Anthro Tool'!$B$14,0,IF(S34&lt;'GPS Anthro Tool'!$B$15,0,IF($G$3=0,0,S34))))))</f>
        <v>0</v>
      </c>
      <c r="T16" s="173">
        <f>IF('GPS Anthro Tool'!$B$6=0,0,IF('GPS Anthro Tool'!$B$10=0,0,IF('China Child Data'!$H16=0,0,IF(T34&gt;'GPS Anthro Tool'!$B$14,0,IF(T34&lt;'GPS Anthro Tool'!$B$15,0,IF($H$3=0,0,T34))))))</f>
        <v>0</v>
      </c>
      <c r="U16" s="173">
        <f>IF('GPS Anthro Tool'!$B$6=0,0,IF('GPS Anthro Tool'!$B$9=0,0,IF('China Child Data'!$I16=0,0,IF(U34&gt;'GPS Anthro Tool'!$B$14,0,IF(U34&lt;'GPS Anthro Tool'!$B$15,0,IF($I$3=0,0,U34))))))</f>
        <v>0</v>
      </c>
      <c r="W16" s="173">
        <f>IF('GPS Anthro Tool'!$B$6=0,0,IF('GPS Anthro Tool'!$B$11=0,0,IF('China Child Data'!$G16=0,0,IF(W34&gt;'GPS Anthro Tool'!$B$14,0,IF(W34&lt;'GPS Anthro Tool'!$B$15,0,IF($G$3=0,0,W34))))))</f>
        <v>0</v>
      </c>
      <c r="X16" s="173">
        <f>IF('GPS Anthro Tool'!$B$6=0,0,IF('GPS Anthro Tool'!$B$10=0,0,IF('China Child Data'!$H16=0,0,IF(X34&gt;'GPS Anthro Tool'!$B$14,0,IF(X34&lt;'GPS Anthro Tool'!$B$15,0,IF($H$3=0,0,X34))))))</f>
        <v>0</v>
      </c>
      <c r="Y16" s="173">
        <f>IF('GPS Anthro Tool'!$B$6=0,0,IF('GPS Anthro Tool'!$B$9=0,0,IF('China Child Data'!$I16=0,0,IF(Y34&gt;'GPS Anthro Tool'!$B$14,0,IF(Y34&lt;'GPS Anthro Tool'!$B$15,0,IF($I$3=0,0,Y34))))))</f>
        <v>0</v>
      </c>
      <c r="Z16" s="283">
        <v>0</v>
      </c>
      <c r="AA16" s="173">
        <f>IF('GPS Anthro Tool'!$B$6=0,0,IF('GPS Anthro Tool'!$B$11=0,0,IF('China Child Data'!$G16=0,0,IF(AA34&gt;'GPS Anthro Tool'!$B$14,0,IF(AA34&lt;'GPS Anthro Tool'!$B$15,0,IF($G$3=0,0,AA34))))))</f>
        <v>0</v>
      </c>
      <c r="AB16" s="173">
        <f>IF('GPS Anthro Tool'!$B$6=0,0,IF('GPS Anthro Tool'!$B$10=0,0,IF('China Child Data'!$H16=0,0,IF(AB34&gt;'GPS Anthro Tool'!$B$14,0,IF(AB34&lt;'GPS Anthro Tool'!$B$15,0,IF($H$3=0,0,AB34))))))</f>
        <v>0</v>
      </c>
      <c r="AC16" s="173">
        <f>IF('GPS Anthro Tool'!$B$6=0,0,IF('GPS Anthro Tool'!$B$9=0,0,IF('China Child Data'!$I16=0,0,IF(AC34&gt;'GPS Anthro Tool'!$B$14,0,IF(AC34&lt;'GPS Anthro Tool'!$B$15,0,IF($I$3=0,0,AC34))))))</f>
        <v>0</v>
      </c>
      <c r="AE16" s="173">
        <f>IF('GPS Anthro Tool'!$B$6=0,0,IF('GPS Anthro Tool'!$B$11=0,0,IF('China Child Data'!$G16=0,0,IF(AE34&gt;'GPS Anthro Tool'!$B$14,0,IF(AE34&lt;'GPS Anthro Tool'!$B$15,0,IF($G$3=0,0,AE34))))))</f>
        <v>0</v>
      </c>
      <c r="AF16" s="173">
        <f>IF('GPS Anthro Tool'!$B$6=0,0,IF('GPS Anthro Tool'!$B$10=0,0,IF('China Child Data'!$H16=0,0,IF(AF34&gt;'GPS Anthro Tool'!$B$14,0,IF(AF34&lt;'GPS Anthro Tool'!$B$15,0,IF($H$3=0,0,AF34))))))</f>
        <v>0</v>
      </c>
      <c r="AG16" s="173">
        <f>IF('GPS Anthro Tool'!$B$6=0,0,IF('GPS Anthro Tool'!$B$9=0,0,IF('China Child Data'!$I16=0,0,IF(AG34&gt;'GPS Anthro Tool'!$B$14,0,IF(AG34&lt;'GPS Anthro Tool'!$B$15,0,IF($I$3=0,0,AG34))))))</f>
        <v>0</v>
      </c>
      <c r="AI16" s="173">
        <f>IF('GPS Anthro Tool'!$B$6=0,0,IF('GPS Anthro Tool'!$B$11=0,0,IF('China Child Data'!$G16=0,0,IF(AI34&gt;'GPS Anthro Tool'!$B$14,0,IF(AI34&lt;'GPS Anthro Tool'!$B$15,0,IF($G$3=0,0,AI34))))))</f>
        <v>0</v>
      </c>
      <c r="AJ16" s="173">
        <f>IF('GPS Anthro Tool'!$B$6=0,0,IF('GPS Anthro Tool'!$B$10=0,0,IF('China Child Data'!$H16=0,0,IF(AJ34&gt;'GPS Anthro Tool'!$B$14,0,IF(AJ34&lt;'GPS Anthro Tool'!$B$15,0,IF($H$3=0,0,AJ34))))))</f>
        <v>0</v>
      </c>
      <c r="AK16" s="173">
        <f>IF('GPS Anthro Tool'!$B$6=0,0,IF('GPS Anthro Tool'!$B$9=0,0,IF('China Child Data'!$I16=0,0,IF(AK34&gt;'GPS Anthro Tool'!$B$14,0,IF(AK34&lt;'GPS Anthro Tool'!$B$15,0,IF($I$3=0,0,AK34))))))</f>
        <v>0</v>
      </c>
      <c r="AM16" s="173">
        <f>IF('GPS Anthro Tool'!$B$6=0,0,IF('GPS Anthro Tool'!$B$11=0,0,IF('China Child Data'!$G16=0,0,IF(AM34&gt;'GPS Anthro Tool'!$B$14,0,IF(AM34&lt;'GPS Anthro Tool'!$B$15,0,IF($G$3=0,0,-AM34))))))</f>
        <v>0</v>
      </c>
      <c r="AN16" s="173">
        <f>IF('GPS Anthro Tool'!$B$6=0,0,IF('GPS Anthro Tool'!$B$10=0,0,IF('China Child Data'!$H16=0,0,IF(AN34&gt;'GPS Anthro Tool'!$B$14,0,IF(AN34&lt;'GPS Anthro Tool'!$B$15,0,IF($H$3=0,0,-AN34))))))</f>
        <v>0</v>
      </c>
      <c r="AO16" s="173">
        <f>IF('GPS Anthro Tool'!$B$6=0,0,IF('GPS Anthro Tool'!$B$9=0,0,IF('China Child Data'!$I16=0,0,IF(AO34&gt;'GPS Anthro Tool'!$B$14,0,IF(AO34&lt;'GPS Anthro Tool'!$B$15,0,IF($I$3=0,0,-AO34))))))</f>
        <v>0</v>
      </c>
      <c r="AQ16" s="173">
        <f>IF('GPS Anthro Tool'!$B$6=0,0,IF('GPS Anthro Tool'!$B$11=0,0,IF('China Child Data'!$G16=0,0,IF(AQ34&gt;'GPS Anthro Tool'!$B$14,0,IF(AQ34&lt;'GPS Anthro Tool'!$B$15,0,IF($G$3=0,0,AQ34))))))</f>
        <v>0</v>
      </c>
      <c r="AR16" s="173">
        <f>IF('GPS Anthro Tool'!$B$6=0,0,IF('GPS Anthro Tool'!$B$10=0,0,IF('China Child Data'!$H16=0,0,IF(AR34&gt;'GPS Anthro Tool'!$B$14,0,IF(AR34&lt;'GPS Anthro Tool'!$B$15,0,IF($H$3=0,0,AR34))))))</f>
        <v>0</v>
      </c>
      <c r="AS16" s="173">
        <f>IF('GPS Anthro Tool'!$B$6=0,0,IF('GPS Anthro Tool'!$B$9=0,0,IF('China Child Data'!$I16=0,0,IF(AS34&gt;'GPS Anthro Tool'!$B$14,0,IF(AS34&lt;'GPS Anthro Tool'!$B$15,0,IF($I$3=0,0,AS34))))))</f>
        <v>0</v>
      </c>
      <c r="AU16" s="173">
        <f>IF('GPS Anthro Tool'!$B$6=0,0,IF('GPS Anthro Tool'!$B$11=0,0,IF('China Child Data'!$G16=0,0,IF(AU34&gt;'GPS Anthro Tool'!$B$14,0,IF(AU34&lt;'GPS Anthro Tool'!$B$15,0,IF($G$3=0,0,AU34))))))</f>
        <v>0</v>
      </c>
      <c r="AV16" s="173">
        <f>IF('GPS Anthro Tool'!$B$6=0,0,IF('GPS Anthro Tool'!$B$10=0,0,IF('China Child Data'!$H16=0,0,IF(AV34&gt;'GPS Anthro Tool'!$B$14,0,IF(AV34&lt;'GPS Anthro Tool'!$B$15,0,IF($H$3=0,0,AV34))))))</f>
        <v>0</v>
      </c>
      <c r="AW16" s="173">
        <f>IF('GPS Anthro Tool'!$B$6=0,0,IF('GPS Anthro Tool'!$B$9=0,0,IF('China Child Data'!$I16=0,0,IF(AW34&gt;'GPS Anthro Tool'!$B$14,0,IF(AW34&lt;'GPS Anthro Tool'!$B$15,0,IF($I$3=0,0,AW34))))))</f>
        <v>0</v>
      </c>
      <c r="AY16" s="173">
        <f>IF('GPS Anthro Tool'!$B$6=0,0,IF('GPS Anthro Tool'!$B$11=0,0,IF('China Child Data'!$G16=0,0,IF(AY34&gt;'GPS Anthro Tool'!$B$14,0,IF(AY34&lt;'GPS Anthro Tool'!$B$15,0,IF($G$3=0,0,AY34))))))</f>
        <v>0</v>
      </c>
      <c r="AZ16" s="173">
        <f>IF('GPS Anthro Tool'!$B$6=0,0,IF('GPS Anthro Tool'!$B$10=0,0,IF('China Child Data'!$H16=0,0,IF(AZ34&gt;'GPS Anthro Tool'!$B$14,0,IF(AZ34&lt;'GPS Anthro Tool'!$B$15,0,IF($H$3=0,0,AZ34))))))</f>
        <v>0</v>
      </c>
      <c r="BA16" s="173">
        <f>IF('GPS Anthro Tool'!$B$6=0,0,IF('GPS Anthro Tool'!$B$9=0,0,IF('China Child Data'!$I16=0,0,IF(BA34&gt;'GPS Anthro Tool'!$B$14,0,IF(BA34&lt;'GPS Anthro Tool'!$B$15,0,IF($I$3=0,0,BA34))))))</f>
        <v>0</v>
      </c>
      <c r="BC16" s="173">
        <f>IF('GPS Anthro Tool'!$B$6=0,0,IF('GPS Anthro Tool'!$B$11=0,0,IF('China Child Data'!$G16=0,0,IF(BC34&gt;'GPS Anthro Tool'!$B$14,0,IF(BC34&lt;'GPS Anthro Tool'!$B$15,0,IF($G$3=0,0,BC34))))))</f>
        <v>0</v>
      </c>
      <c r="BD16" s="173">
        <f>IF('GPS Anthro Tool'!$B$6=0,0,IF('GPS Anthro Tool'!$B$10=0,0,IF('China Child Data'!$H16=0,0,IF(BD34&gt;'GPS Anthro Tool'!$B$14,0,IF(BD34&lt;'GPS Anthro Tool'!$B$15,0,IF($H$3=0,0,BD34))))))</f>
        <v>0</v>
      </c>
      <c r="BE16" s="173">
        <f>IF('GPS Anthro Tool'!$B$6=0,0,IF('GPS Anthro Tool'!$B$9=0,0,IF('China Child Data'!$I16=0,0,IF(BE34&gt;'GPS Anthro Tool'!$B$14,0,IF(BE34&lt;'GPS Anthro Tool'!$B$15,0,IF($I$3=0,0,BE34))))))</f>
        <v>0</v>
      </c>
      <c r="BF16" s="208"/>
      <c r="BG16" s="157">
        <f t="shared" si="0"/>
        <v>0</v>
      </c>
      <c r="BH16" s="157">
        <f t="shared" si="0"/>
        <v>0</v>
      </c>
      <c r="BI16" s="157">
        <f t="shared" si="0"/>
        <v>0</v>
      </c>
      <c r="BJ16" s="213">
        <v>0</v>
      </c>
      <c r="BK16" s="157">
        <f t="shared" si="1"/>
        <v>0</v>
      </c>
      <c r="BL16" s="157">
        <f t="shared" si="1"/>
        <v>0</v>
      </c>
      <c r="BM16" s="157">
        <f t="shared" si="1"/>
        <v>0</v>
      </c>
      <c r="BN16" s="213">
        <v>0</v>
      </c>
      <c r="BO16" s="157">
        <f t="shared" si="2"/>
        <v>0</v>
      </c>
      <c r="BP16" s="157">
        <f t="shared" si="2"/>
        <v>0</v>
      </c>
      <c r="BQ16" s="157">
        <f t="shared" si="2"/>
        <v>0</v>
      </c>
      <c r="BR16" s="213"/>
      <c r="BS16" s="167">
        <f t="shared" si="3"/>
        <v>0</v>
      </c>
      <c r="BT16" s="167">
        <f t="shared" si="3"/>
        <v>0</v>
      </c>
      <c r="BU16" s="167">
        <f t="shared" si="3"/>
        <v>0</v>
      </c>
      <c r="BV16" s="213">
        <v>0</v>
      </c>
      <c r="BW16" s="168">
        <f t="shared" si="4"/>
        <v>0</v>
      </c>
      <c r="BX16" s="168">
        <f t="shared" si="4"/>
        <v>0</v>
      </c>
      <c r="BY16" s="168">
        <f t="shared" si="4"/>
        <v>0</v>
      </c>
      <c r="BZ16" s="210"/>
      <c r="CA16" s="169">
        <f t="shared" si="5"/>
        <v>0</v>
      </c>
      <c r="CB16" s="169">
        <f t="shared" si="5"/>
        <v>0</v>
      </c>
      <c r="CC16" s="169">
        <f t="shared" si="5"/>
        <v>0</v>
      </c>
      <c r="CD16" s="210"/>
      <c r="CE16" s="170">
        <f t="shared" si="6"/>
        <v>0</v>
      </c>
      <c r="CF16" s="170">
        <f t="shared" si="6"/>
        <v>0</v>
      </c>
      <c r="CG16" s="170">
        <f t="shared" si="6"/>
        <v>0</v>
      </c>
      <c r="CH16" s="210"/>
    </row>
    <row r="17" spans="1:86">
      <c r="BF17" s="208"/>
      <c r="BG17" s="157"/>
      <c r="BH17" s="157"/>
      <c r="BI17" s="157"/>
      <c r="BJ17" s="213"/>
      <c r="BK17" s="157"/>
      <c r="BL17" s="157"/>
      <c r="BM17" s="157"/>
      <c r="BN17" s="213"/>
      <c r="BO17" s="157"/>
      <c r="BP17" s="157"/>
      <c r="BQ17" s="157"/>
      <c r="BR17" s="213"/>
      <c r="BS17" s="167"/>
      <c r="BT17" s="167"/>
      <c r="BU17" s="167"/>
      <c r="BV17" s="213"/>
      <c r="BW17" s="168"/>
      <c r="BX17" s="168"/>
      <c r="BY17" s="168"/>
      <c r="BZ17" s="210"/>
      <c r="CA17" s="169"/>
      <c r="CB17" s="169"/>
      <c r="CC17" s="169"/>
      <c r="CD17" s="210"/>
      <c r="CE17" s="170"/>
      <c r="CF17" s="170"/>
      <c r="CG17" s="170"/>
      <c r="CH17" s="210"/>
    </row>
    <row r="18" spans="1:86">
      <c r="BF18" s="208"/>
      <c r="BG18" s="157"/>
      <c r="BH18" s="157"/>
      <c r="BI18" s="157"/>
      <c r="BJ18" s="213"/>
      <c r="BK18" s="157"/>
      <c r="BL18" s="157"/>
      <c r="BM18" s="157"/>
      <c r="BN18" s="213"/>
      <c r="BO18" s="157"/>
      <c r="BP18" s="157"/>
      <c r="BQ18" s="157"/>
      <c r="BR18" s="213"/>
      <c r="BS18" s="167"/>
      <c r="BT18" s="167"/>
      <c r="BU18" s="167"/>
      <c r="BV18" s="210"/>
      <c r="BW18" s="168"/>
      <c r="BX18" s="168"/>
      <c r="BY18" s="168"/>
      <c r="BZ18" s="210"/>
      <c r="CA18" s="169"/>
      <c r="CB18" s="169"/>
      <c r="CC18" s="169"/>
      <c r="CD18" s="210"/>
      <c r="CE18" s="170"/>
      <c r="CF18" s="170"/>
      <c r="CG18" s="170"/>
      <c r="CH18" s="210"/>
    </row>
    <row r="19" spans="1:86" s="147" customFormat="1" ht="23.1" customHeight="1">
      <c r="C19" s="788" t="s">
        <v>479</v>
      </c>
      <c r="D19" s="788"/>
      <c r="E19" s="788"/>
      <c r="F19" s="282"/>
      <c r="G19" s="788" t="s">
        <v>480</v>
      </c>
      <c r="H19" s="788"/>
      <c r="I19" s="788"/>
      <c r="J19" s="282"/>
      <c r="K19" s="788" t="s">
        <v>481</v>
      </c>
      <c r="L19" s="788"/>
      <c r="M19" s="788"/>
      <c r="N19" s="282"/>
      <c r="O19" s="788" t="s">
        <v>482</v>
      </c>
      <c r="P19" s="788"/>
      <c r="Q19" s="788"/>
      <c r="R19" s="282"/>
      <c r="S19" s="788" t="s">
        <v>483</v>
      </c>
      <c r="T19" s="788"/>
      <c r="U19" s="788"/>
      <c r="V19" s="282"/>
      <c r="W19" s="788" t="s">
        <v>484</v>
      </c>
      <c r="X19" s="788"/>
      <c r="Y19" s="788"/>
      <c r="Z19" s="282"/>
      <c r="AA19" s="790" t="s">
        <v>485</v>
      </c>
      <c r="AB19" s="790"/>
      <c r="AC19" s="790"/>
      <c r="AD19" s="282"/>
      <c r="AE19" s="790" t="s">
        <v>497</v>
      </c>
      <c r="AF19" s="790"/>
      <c r="AG19" s="790"/>
      <c r="AH19" s="282"/>
      <c r="AI19" s="789" t="s">
        <v>486</v>
      </c>
      <c r="AJ19" s="789"/>
      <c r="AK19" s="789"/>
      <c r="AL19" s="282"/>
      <c r="AM19" s="789" t="s">
        <v>487</v>
      </c>
      <c r="AN19" s="789"/>
      <c r="AO19" s="789"/>
      <c r="AP19" s="282"/>
      <c r="AQ19" s="788" t="s">
        <v>488</v>
      </c>
      <c r="AR19" s="788"/>
      <c r="AS19" s="788"/>
      <c r="AT19" s="282"/>
      <c r="AU19" s="789" t="s">
        <v>539</v>
      </c>
      <c r="AV19" s="789"/>
      <c r="AW19" s="789"/>
      <c r="AX19" s="282"/>
      <c r="AY19" s="789" t="s">
        <v>540</v>
      </c>
      <c r="AZ19" s="789"/>
      <c r="BA19" s="789"/>
      <c r="BB19" s="282"/>
      <c r="BC19" s="788" t="s">
        <v>541</v>
      </c>
      <c r="BD19" s="788"/>
      <c r="BE19" s="788"/>
      <c r="BF19" s="207"/>
      <c r="BG19" s="156" t="s">
        <v>499</v>
      </c>
      <c r="BH19" s="156" t="s">
        <v>500</v>
      </c>
      <c r="BI19" s="156" t="s">
        <v>501</v>
      </c>
      <c r="BJ19" s="205"/>
      <c r="BK19" s="156" t="s">
        <v>502</v>
      </c>
      <c r="BL19" s="156" t="s">
        <v>503</v>
      </c>
      <c r="BM19" s="156" t="s">
        <v>504</v>
      </c>
      <c r="BN19" s="205"/>
      <c r="BO19" s="156" t="s">
        <v>505</v>
      </c>
      <c r="BP19" s="156" t="s">
        <v>506</v>
      </c>
      <c r="BQ19" s="156" t="s">
        <v>507</v>
      </c>
      <c r="BR19" s="205"/>
      <c r="BS19" s="156" t="s">
        <v>508</v>
      </c>
      <c r="BT19" s="156" t="s">
        <v>509</v>
      </c>
      <c r="BU19" s="156" t="s">
        <v>510</v>
      </c>
      <c r="BV19" s="210"/>
      <c r="BW19" s="156" t="s">
        <v>511</v>
      </c>
      <c r="BX19" s="156" t="s">
        <v>512</v>
      </c>
      <c r="BY19" s="156" t="s">
        <v>513</v>
      </c>
      <c r="BZ19" s="210"/>
      <c r="CA19" s="156" t="s">
        <v>514</v>
      </c>
      <c r="CB19" s="156" t="s">
        <v>515</v>
      </c>
      <c r="CC19" s="156" t="s">
        <v>516</v>
      </c>
      <c r="CD19" s="210"/>
      <c r="CE19" s="156" t="s">
        <v>517</v>
      </c>
      <c r="CF19" s="156" t="s">
        <v>518</v>
      </c>
      <c r="CG19" s="156" t="s">
        <v>519</v>
      </c>
      <c r="CH19" s="210"/>
    </row>
    <row r="20" spans="1:86">
      <c r="A20" s="42" t="s">
        <v>204</v>
      </c>
      <c r="C20" s="42" t="s">
        <v>308</v>
      </c>
      <c r="D20" s="42" t="s">
        <v>435</v>
      </c>
      <c r="E20" s="42" t="s">
        <v>309</v>
      </c>
      <c r="G20" s="42" t="s">
        <v>308</v>
      </c>
      <c r="H20" s="42" t="s">
        <v>435</v>
      </c>
      <c r="I20" s="42" t="s">
        <v>309</v>
      </c>
      <c r="K20" s="42" t="s">
        <v>308</v>
      </c>
      <c r="L20" s="42" t="s">
        <v>435</v>
      </c>
      <c r="M20" s="42" t="s">
        <v>309</v>
      </c>
      <c r="O20" s="42" t="s">
        <v>308</v>
      </c>
      <c r="P20" s="42" t="s">
        <v>435</v>
      </c>
      <c r="Q20" s="42" t="s">
        <v>309</v>
      </c>
      <c r="S20" s="42" t="s">
        <v>308</v>
      </c>
      <c r="T20" s="42" t="s">
        <v>435</v>
      </c>
      <c r="U20" s="42" t="s">
        <v>309</v>
      </c>
      <c r="W20" s="42" t="s">
        <v>308</v>
      </c>
      <c r="X20" s="42" t="s">
        <v>435</v>
      </c>
      <c r="Y20" s="42" t="s">
        <v>309</v>
      </c>
      <c r="AA20" s="42" t="s">
        <v>308</v>
      </c>
      <c r="AB20" s="42" t="s">
        <v>435</v>
      </c>
      <c r="AC20" s="42" t="s">
        <v>309</v>
      </c>
      <c r="AE20" s="42" t="s">
        <v>308</v>
      </c>
      <c r="AF20" s="42" t="s">
        <v>435</v>
      </c>
      <c r="AG20" s="42" t="s">
        <v>309</v>
      </c>
      <c r="AI20" s="42" t="s">
        <v>308</v>
      </c>
      <c r="AJ20" s="42" t="s">
        <v>435</v>
      </c>
      <c r="AK20" s="42" t="s">
        <v>309</v>
      </c>
      <c r="AM20" s="42" t="s">
        <v>308</v>
      </c>
      <c r="AN20" s="42" t="s">
        <v>435</v>
      </c>
      <c r="AO20" s="42" t="s">
        <v>309</v>
      </c>
      <c r="AQ20" s="42" t="s">
        <v>308</v>
      </c>
      <c r="AR20" s="42" t="s">
        <v>435</v>
      </c>
      <c r="AS20" s="42" t="s">
        <v>309</v>
      </c>
      <c r="AU20" s="42" t="s">
        <v>308</v>
      </c>
      <c r="AV20" s="42" t="s">
        <v>435</v>
      </c>
      <c r="AW20" s="42" t="s">
        <v>309</v>
      </c>
      <c r="AY20" s="42" t="s">
        <v>308</v>
      </c>
      <c r="AZ20" s="42" t="s">
        <v>435</v>
      </c>
      <c r="BA20" s="42" t="s">
        <v>309</v>
      </c>
      <c r="BC20" s="42" t="s">
        <v>308</v>
      </c>
      <c r="BD20" s="42" t="s">
        <v>435</v>
      </c>
      <c r="BE20" s="42" t="s">
        <v>309</v>
      </c>
      <c r="BF20" s="209"/>
      <c r="BG20" s="82"/>
      <c r="BH20" s="82"/>
      <c r="BI20" s="82"/>
      <c r="BJ20" s="210"/>
      <c r="BK20" s="82"/>
      <c r="BL20" s="82"/>
      <c r="BM20" s="82"/>
      <c r="BN20" s="210"/>
      <c r="BO20" s="82"/>
      <c r="BP20" s="82"/>
      <c r="BQ20" s="82"/>
      <c r="BR20" s="210"/>
      <c r="BS20" s="82"/>
      <c r="BT20" s="82"/>
      <c r="BU20" s="82"/>
      <c r="BV20" s="210"/>
      <c r="BW20" s="82"/>
      <c r="BX20" s="82"/>
      <c r="BY20" s="82"/>
      <c r="BZ20" s="210"/>
      <c r="CA20" s="82"/>
      <c r="CB20" s="82"/>
      <c r="CC20" s="82"/>
      <c r="CD20" s="210"/>
      <c r="CE20" s="82"/>
      <c r="CF20" s="82"/>
      <c r="CG20" s="82"/>
      <c r="CH20" s="210"/>
    </row>
    <row r="21" spans="1:86">
      <c r="A21" s="42" t="s">
        <v>489</v>
      </c>
      <c r="C21" s="80">
        <v>3.5999999999999996</v>
      </c>
      <c r="D21" s="80">
        <v>5.6</v>
      </c>
      <c r="E21" s="80">
        <v>7.6</v>
      </c>
      <c r="G21" s="80">
        <v>53.599999999999994</v>
      </c>
      <c r="H21" s="80">
        <v>59.8</v>
      </c>
      <c r="I21" s="80">
        <v>66</v>
      </c>
      <c r="K21" s="80">
        <v>37.199999999999996</v>
      </c>
      <c r="L21" s="262">
        <v>41.8</v>
      </c>
      <c r="M21" s="80">
        <v>46.4</v>
      </c>
      <c r="O21" s="262">
        <v>22.4</v>
      </c>
      <c r="P21" s="262">
        <v>27</v>
      </c>
      <c r="Q21" s="262">
        <v>31.6</v>
      </c>
      <c r="S21" s="80">
        <v>9.8000000000000007</v>
      </c>
      <c r="T21" s="80">
        <v>12.4</v>
      </c>
      <c r="U21" s="80">
        <v>15</v>
      </c>
      <c r="W21" s="80">
        <f>0.892*14.5</f>
        <v>12.934000000000001</v>
      </c>
      <c r="X21" s="80">
        <f>0.892*17.3</f>
        <v>15.431600000000001</v>
      </c>
      <c r="Y21" s="80">
        <f>0.892*20.1</f>
        <v>17.929200000000002</v>
      </c>
      <c r="AA21" s="285">
        <v>6</v>
      </c>
      <c r="AB21" s="285">
        <v>7.3</v>
      </c>
      <c r="AC21" s="285">
        <v>8.9</v>
      </c>
      <c r="AE21" s="285">
        <f>0.9*5.54458598726115</f>
        <v>4.9901273885350346</v>
      </c>
      <c r="AF21" s="285">
        <f>0.9*6.72292993630573</f>
        <v>6.0506369426751574</v>
      </c>
      <c r="AG21" s="285">
        <f>0.9*7.90127388535032</f>
        <v>7.1111464968152882</v>
      </c>
      <c r="AI21" s="80">
        <v>7.3</v>
      </c>
      <c r="AJ21" s="80">
        <v>10.1</v>
      </c>
      <c r="AK21" s="80">
        <v>12.899999999999999</v>
      </c>
      <c r="AM21" s="80">
        <v>7.9</v>
      </c>
      <c r="AN21" s="80">
        <v>11.9</v>
      </c>
      <c r="AO21" s="80">
        <v>15.9</v>
      </c>
      <c r="AQ21" s="80">
        <v>3.1000000000000005</v>
      </c>
      <c r="AR21" s="80">
        <v>4.9000000000000004</v>
      </c>
      <c r="AS21" s="80">
        <v>6.7</v>
      </c>
      <c r="AU21" s="80"/>
      <c r="AV21" s="80"/>
      <c r="AW21" s="80"/>
      <c r="AY21" s="80"/>
      <c r="AZ21" s="80"/>
      <c r="BA21" s="80"/>
      <c r="BC21" s="80"/>
      <c r="BD21" s="80"/>
      <c r="BE21" s="80"/>
      <c r="BF21" s="209"/>
      <c r="BG21" s="82"/>
      <c r="BH21" s="82"/>
      <c r="BI21" s="82"/>
      <c r="BJ21" s="210"/>
      <c r="BK21" s="82"/>
      <c r="BL21" s="82"/>
      <c r="BM21" s="82"/>
      <c r="BN21" s="210"/>
      <c r="BO21" s="82"/>
      <c r="BP21" s="82"/>
      <c r="BQ21" s="82"/>
      <c r="BR21" s="210"/>
      <c r="BS21" s="82"/>
      <c r="BT21" s="82"/>
      <c r="BU21" s="82"/>
      <c r="BV21" s="210"/>
      <c r="BW21" s="82"/>
      <c r="BX21" s="82"/>
      <c r="BY21" s="82"/>
      <c r="BZ21" s="210"/>
      <c r="CA21" s="82"/>
      <c r="CB21" s="82"/>
      <c r="CC21" s="82"/>
      <c r="CD21" s="210"/>
      <c r="CE21" s="82"/>
      <c r="CF21" s="82"/>
      <c r="CG21" s="82"/>
      <c r="CH21" s="210"/>
    </row>
    <row r="22" spans="1:86">
      <c r="A22" s="42" t="s">
        <v>490</v>
      </c>
      <c r="C22" s="80">
        <v>4.6999999999999993</v>
      </c>
      <c r="D22" s="80">
        <v>7.3</v>
      </c>
      <c r="E22" s="80">
        <v>9.9</v>
      </c>
      <c r="G22" s="80">
        <v>58.599999999999994</v>
      </c>
      <c r="H22" s="80">
        <v>65.599999999999994</v>
      </c>
      <c r="I22" s="80">
        <v>72.599999999999994</v>
      </c>
      <c r="K22" s="80">
        <v>39.200000000000003</v>
      </c>
      <c r="L22" s="262">
        <v>44.6</v>
      </c>
      <c r="M22" s="80">
        <v>50</v>
      </c>
      <c r="O22" s="262">
        <v>22.600000000000009</v>
      </c>
      <c r="P22" s="262">
        <v>28.400000000000006</v>
      </c>
      <c r="Q22" s="262">
        <v>34.200000000000003</v>
      </c>
      <c r="S22" s="80">
        <v>11.200000000000001</v>
      </c>
      <c r="T22" s="80">
        <v>13.8</v>
      </c>
      <c r="U22" s="80">
        <v>16.400000000000002</v>
      </c>
      <c r="W22" s="80">
        <f>0.892*16.5</f>
        <v>14.718</v>
      </c>
      <c r="X22" s="80">
        <f>0.892*18.7</f>
        <v>16.680399999999999</v>
      </c>
      <c r="Y22" s="80">
        <f>0.892*20.9</f>
        <v>18.642799999999998</v>
      </c>
      <c r="AA22" s="285">
        <v>7.7</v>
      </c>
      <c r="AB22" s="285">
        <v>8.8000000000000007</v>
      </c>
      <c r="AC22" s="285">
        <v>10.4</v>
      </c>
      <c r="AE22" s="285">
        <f>0.9*6.00636942675159</f>
        <v>5.4057324840764309</v>
      </c>
      <c r="AF22" s="285">
        <f>0.9*7.00636942675159</f>
        <v>6.3057324840764313</v>
      </c>
      <c r="AG22" s="285">
        <f>0.9*8.00636942675159</f>
        <v>7.2057324840764307</v>
      </c>
      <c r="AI22" s="80">
        <v>7.8999999999999995</v>
      </c>
      <c r="AJ22" s="80">
        <v>10.1</v>
      </c>
      <c r="AK22" s="80">
        <v>12.3</v>
      </c>
      <c r="AM22" s="80">
        <v>10.199999999999999</v>
      </c>
      <c r="AN22" s="80">
        <v>13.6</v>
      </c>
      <c r="AO22" s="80">
        <v>17</v>
      </c>
      <c r="AQ22" s="80">
        <v>4</v>
      </c>
      <c r="AR22" s="80">
        <v>5.8</v>
      </c>
      <c r="AS22" s="80">
        <v>7.6</v>
      </c>
      <c r="AU22" s="80"/>
      <c r="AV22" s="80"/>
      <c r="AW22" s="80"/>
      <c r="AY22" s="80"/>
      <c r="AZ22" s="80"/>
      <c r="BA22" s="80"/>
      <c r="BC22" s="80"/>
      <c r="BD22" s="80"/>
      <c r="BE22" s="80"/>
      <c r="BF22" s="207"/>
      <c r="BG22" s="156"/>
      <c r="BH22" s="156"/>
      <c r="BI22" s="156"/>
      <c r="BJ22" s="205"/>
      <c r="BK22" s="156"/>
      <c r="BL22" s="156"/>
      <c r="BM22" s="156"/>
      <c r="BN22" s="205"/>
      <c r="BO22" s="156"/>
      <c r="BP22" s="156"/>
      <c r="BQ22" s="156"/>
      <c r="BR22" s="205"/>
      <c r="BS22" s="156"/>
      <c r="BT22" s="156"/>
      <c r="BU22" s="156"/>
      <c r="BV22" s="210"/>
      <c r="BW22" s="156"/>
      <c r="BX22" s="156"/>
      <c r="BY22" s="156"/>
      <c r="BZ22" s="210"/>
      <c r="CA22" s="156"/>
      <c r="CB22" s="156"/>
      <c r="CC22" s="156"/>
      <c r="CD22" s="210"/>
      <c r="CE22" s="156"/>
      <c r="CF22" s="156"/>
      <c r="CG22" s="156"/>
      <c r="CH22" s="210"/>
    </row>
    <row r="23" spans="1:86">
      <c r="A23" s="42" t="s">
        <v>491</v>
      </c>
      <c r="C23" s="80">
        <v>7</v>
      </c>
      <c r="D23" s="80">
        <v>8.6</v>
      </c>
      <c r="E23" s="80">
        <v>10.199999999999999</v>
      </c>
      <c r="G23" s="80">
        <v>65.2</v>
      </c>
      <c r="H23" s="80">
        <v>71.2</v>
      </c>
      <c r="I23" s="80">
        <v>77.2</v>
      </c>
      <c r="K23" s="80">
        <v>43.699999999999996</v>
      </c>
      <c r="L23" s="262">
        <v>47.9</v>
      </c>
      <c r="M23" s="80">
        <v>52.1</v>
      </c>
      <c r="O23" s="262">
        <v>26.499999999999993</v>
      </c>
      <c r="P23" s="262">
        <v>30.699999999999996</v>
      </c>
      <c r="Q23" s="262">
        <v>34.9</v>
      </c>
      <c r="S23" s="80">
        <v>12.600000000000001</v>
      </c>
      <c r="T23" s="80">
        <v>15.4</v>
      </c>
      <c r="U23" s="80">
        <v>18.2</v>
      </c>
      <c r="W23" s="80">
        <f>0.892*17.8</f>
        <v>15.877600000000001</v>
      </c>
      <c r="X23" s="80">
        <f>0.892*19.6</f>
        <v>17.4832</v>
      </c>
      <c r="Y23" s="80">
        <f>0.892*21.4</f>
        <v>19.088799999999999</v>
      </c>
      <c r="AA23" s="285">
        <v>7.9</v>
      </c>
      <c r="AB23" s="285">
        <v>8.9</v>
      </c>
      <c r="AC23" s="285">
        <v>10.5</v>
      </c>
      <c r="AE23" s="285">
        <f>0.9*6.37579617834395</f>
        <v>5.7382165605095548</v>
      </c>
      <c r="AF23" s="285">
        <f>0.9*7.32484076433121</f>
        <v>6.5923566878980893</v>
      </c>
      <c r="AG23" s="285">
        <f>0.9*8.27388535031847</f>
        <v>7.4464968152866229</v>
      </c>
      <c r="AI23" s="80">
        <v>7.6</v>
      </c>
      <c r="AJ23" s="80">
        <v>10.199999999999999</v>
      </c>
      <c r="AK23" s="80">
        <v>12.799999999999999</v>
      </c>
      <c r="AM23" s="80">
        <v>12.3</v>
      </c>
      <c r="AN23" s="80">
        <v>15.5</v>
      </c>
      <c r="AO23" s="80">
        <v>18.7</v>
      </c>
      <c r="AQ23" s="80">
        <v>3.8</v>
      </c>
      <c r="AR23" s="80">
        <v>5.8</v>
      </c>
      <c r="AS23" s="80">
        <v>7.8</v>
      </c>
      <c r="AU23" s="80"/>
      <c r="AV23" s="80"/>
      <c r="AW23" s="80"/>
      <c r="AY23" s="80"/>
      <c r="AZ23" s="80"/>
      <c r="BA23" s="80"/>
      <c r="BC23" s="80"/>
      <c r="BD23" s="80"/>
      <c r="BE23" s="80"/>
      <c r="BF23" s="208"/>
      <c r="BG23" s="157"/>
      <c r="BH23" s="157"/>
      <c r="BI23" s="157"/>
      <c r="BJ23" s="213"/>
      <c r="BK23" s="157"/>
      <c r="BL23" s="157"/>
      <c r="BM23" s="157"/>
      <c r="BN23" s="213"/>
      <c r="BO23" s="157"/>
      <c r="BP23" s="157"/>
      <c r="BQ23" s="157"/>
      <c r="BR23" s="213"/>
      <c r="BS23" s="167"/>
      <c r="BT23" s="167"/>
      <c r="BU23" s="167"/>
      <c r="BV23" s="210"/>
      <c r="BW23" s="168"/>
      <c r="BX23" s="168"/>
      <c r="BY23" s="168"/>
      <c r="BZ23" s="210"/>
      <c r="CA23" s="169"/>
      <c r="CB23" s="169"/>
      <c r="CC23" s="169"/>
      <c r="CD23" s="210"/>
      <c r="CE23" s="170"/>
      <c r="CF23" s="170"/>
      <c r="CG23" s="170"/>
      <c r="CH23" s="210"/>
    </row>
    <row r="24" spans="1:86">
      <c r="A24" s="42" t="s">
        <v>492</v>
      </c>
      <c r="C24" s="80">
        <v>7.9</v>
      </c>
      <c r="D24" s="80">
        <v>9.5</v>
      </c>
      <c r="E24" s="80">
        <v>11.1</v>
      </c>
      <c r="G24" s="80">
        <v>70.099999999999994</v>
      </c>
      <c r="H24" s="80">
        <v>75.5</v>
      </c>
      <c r="I24" s="80">
        <v>80.900000000000006</v>
      </c>
      <c r="K24" s="80">
        <v>46.4</v>
      </c>
      <c r="L24" s="262">
        <v>49.8</v>
      </c>
      <c r="M24" s="80">
        <v>53.199999999999996</v>
      </c>
      <c r="O24" s="262">
        <v>28.500000000000007</v>
      </c>
      <c r="P24" s="262">
        <v>32.299999999999997</v>
      </c>
      <c r="Q24" s="262">
        <v>36.099999999999987</v>
      </c>
      <c r="S24" s="80">
        <v>13.399999999999999</v>
      </c>
      <c r="T24" s="80">
        <v>15.2</v>
      </c>
      <c r="U24" s="80">
        <v>17</v>
      </c>
      <c r="W24" s="80">
        <f>0.892*19.1</f>
        <v>17.037200000000002</v>
      </c>
      <c r="X24" s="80">
        <f>0.892*20.9</f>
        <v>18.642799999999998</v>
      </c>
      <c r="Y24" s="80">
        <f>0.892*22.7</f>
        <v>20.2484</v>
      </c>
      <c r="AA24" s="285">
        <v>7.9</v>
      </c>
      <c r="AB24" s="285">
        <v>9.1</v>
      </c>
      <c r="AC24" s="285">
        <v>10.7</v>
      </c>
      <c r="AE24" s="285">
        <f>0.9*6.60509554140127</f>
        <v>5.9445859872611431</v>
      </c>
      <c r="AF24" s="285">
        <f>0.9*7.43312101910828</f>
        <v>6.6898089171974524</v>
      </c>
      <c r="AG24" s="285">
        <f>0.9*8.26114649681529</f>
        <v>7.4350318471337609</v>
      </c>
      <c r="AI24" s="80">
        <v>7.3999999999999995</v>
      </c>
      <c r="AJ24" s="80">
        <v>10.6</v>
      </c>
      <c r="AK24" s="80">
        <v>13.8</v>
      </c>
      <c r="AM24" s="80">
        <v>14.499999999999998</v>
      </c>
      <c r="AN24" s="80">
        <v>16.899999999999999</v>
      </c>
      <c r="AO24" s="80">
        <v>19.299999999999997</v>
      </c>
      <c r="AQ24" s="80">
        <v>4</v>
      </c>
      <c r="AR24" s="80">
        <v>6</v>
      </c>
      <c r="AS24" s="80">
        <v>8</v>
      </c>
      <c r="AU24" s="80"/>
      <c r="AV24" s="80"/>
      <c r="AW24" s="80"/>
      <c r="AY24" s="80"/>
      <c r="AZ24" s="80"/>
      <c r="BA24" s="80"/>
      <c r="BC24" s="80"/>
      <c r="BD24" s="80"/>
      <c r="BE24" s="80"/>
      <c r="BF24" s="208"/>
      <c r="BG24" s="157"/>
      <c r="BH24" s="157"/>
      <c r="BI24" s="157"/>
      <c r="BJ24" s="213"/>
      <c r="BK24" s="157"/>
      <c r="BL24" s="157"/>
      <c r="BM24" s="157"/>
      <c r="BN24" s="213"/>
      <c r="BO24" s="157"/>
      <c r="BP24" s="157"/>
      <c r="BQ24" s="157"/>
      <c r="BR24" s="213"/>
      <c r="BS24" s="167"/>
      <c r="BT24" s="167"/>
      <c r="BU24" s="167"/>
      <c r="BV24" s="210"/>
      <c r="BW24" s="168"/>
      <c r="BX24" s="168"/>
      <c r="BY24" s="168"/>
      <c r="BZ24" s="210"/>
      <c r="CA24" s="169"/>
      <c r="CB24" s="169"/>
      <c r="CC24" s="169"/>
      <c r="CD24" s="210"/>
      <c r="CE24" s="170"/>
      <c r="CF24" s="170"/>
      <c r="CG24" s="170"/>
      <c r="CH24" s="210"/>
    </row>
    <row r="25" spans="1:86">
      <c r="A25" s="42" t="s">
        <v>493</v>
      </c>
      <c r="C25" s="80">
        <v>8.5</v>
      </c>
      <c r="D25" s="80">
        <v>10.7</v>
      </c>
      <c r="E25" s="80">
        <v>12.899999999999999</v>
      </c>
      <c r="G25" s="80">
        <v>71.899999999999991</v>
      </c>
      <c r="H25" s="80">
        <v>78.099999999999994</v>
      </c>
      <c r="I25" s="80">
        <v>84.3</v>
      </c>
      <c r="K25" s="80">
        <v>45.8</v>
      </c>
      <c r="L25" s="262">
        <v>50.8</v>
      </c>
      <c r="M25" s="80">
        <v>55.8</v>
      </c>
      <c r="O25" s="262">
        <v>28.800000000000011</v>
      </c>
      <c r="P25" s="262">
        <v>33.400000000000006</v>
      </c>
      <c r="Q25" s="262">
        <v>38</v>
      </c>
      <c r="S25" s="80">
        <v>12.9</v>
      </c>
      <c r="T25" s="80">
        <v>15.9</v>
      </c>
      <c r="U25" s="80">
        <v>18.899999999999999</v>
      </c>
      <c r="W25" s="80">
        <f>0.892*19.6</f>
        <v>17.4832</v>
      </c>
      <c r="X25" s="80">
        <f>0.892*21.6</f>
        <v>19.267200000000003</v>
      </c>
      <c r="Y25" s="80">
        <f>0.892*23.6</f>
        <v>21.051200000000001</v>
      </c>
      <c r="AA25" s="285">
        <v>7.4</v>
      </c>
      <c r="AB25" s="285">
        <v>9.8000000000000007</v>
      </c>
      <c r="AC25" s="285">
        <v>10.9</v>
      </c>
      <c r="AE25" s="285">
        <f>0.9*6.61464968152866</f>
        <v>5.9531847133757942</v>
      </c>
      <c r="AF25" s="285">
        <f>0.9*7.46815286624204</f>
        <v>6.7213375796178356</v>
      </c>
      <c r="AG25" s="285">
        <f>0.9*8.32165605095541</f>
        <v>7.489490445859869</v>
      </c>
      <c r="AI25" s="80">
        <v>9.4</v>
      </c>
      <c r="AJ25" s="80">
        <v>11.4</v>
      </c>
      <c r="AK25" s="80">
        <v>13.4</v>
      </c>
      <c r="AM25" s="80">
        <v>14.899999999999999</v>
      </c>
      <c r="AN25" s="80">
        <v>18.899999999999999</v>
      </c>
      <c r="AO25" s="80">
        <v>22.9</v>
      </c>
      <c r="AQ25" s="80">
        <v>4.7</v>
      </c>
      <c r="AR25" s="80">
        <v>6.7</v>
      </c>
      <c r="AS25" s="80">
        <v>8.6999999999999993</v>
      </c>
      <c r="AU25" s="80"/>
      <c r="AV25" s="80"/>
      <c r="AW25" s="80"/>
      <c r="AY25" s="80"/>
      <c r="AZ25" s="80"/>
      <c r="BA25" s="80"/>
      <c r="BC25" s="80"/>
      <c r="BD25" s="80"/>
      <c r="BE25" s="80"/>
      <c r="BF25" s="208"/>
      <c r="BG25" s="157"/>
      <c r="BH25" s="157"/>
      <c r="BI25" s="157"/>
      <c r="BJ25" s="213"/>
      <c r="BK25" s="157"/>
      <c r="BL25" s="157"/>
      <c r="BM25" s="157"/>
      <c r="BN25" s="213"/>
      <c r="BO25" s="157"/>
      <c r="BP25" s="157"/>
      <c r="BQ25" s="157"/>
      <c r="BR25" s="213"/>
      <c r="BS25" s="167"/>
      <c r="BT25" s="167"/>
      <c r="BU25" s="167"/>
      <c r="BV25" s="210"/>
      <c r="BW25" s="168"/>
      <c r="BX25" s="168"/>
      <c r="BY25" s="168"/>
      <c r="BZ25" s="210"/>
      <c r="CA25" s="169"/>
      <c r="CB25" s="169"/>
      <c r="CC25" s="169"/>
      <c r="CD25" s="210"/>
      <c r="CE25" s="170"/>
      <c r="CF25" s="170"/>
      <c r="CG25" s="170"/>
      <c r="CH25" s="210"/>
    </row>
    <row r="26" spans="1:86">
      <c r="A26" s="42">
        <v>2</v>
      </c>
      <c r="C26" s="80">
        <v>10.7</v>
      </c>
      <c r="D26" s="80">
        <v>14.5</v>
      </c>
      <c r="E26" s="80">
        <v>18.3</v>
      </c>
      <c r="G26" s="80">
        <v>84.9</v>
      </c>
      <c r="H26" s="80">
        <v>93.9</v>
      </c>
      <c r="I26" s="80">
        <v>102.9</v>
      </c>
      <c r="K26" s="80">
        <v>50.8</v>
      </c>
      <c r="L26" s="80">
        <v>55.4</v>
      </c>
      <c r="M26" s="80">
        <v>60</v>
      </c>
      <c r="O26" s="80">
        <v>29.6</v>
      </c>
      <c r="P26" s="80">
        <v>34</v>
      </c>
      <c r="Q26" s="80">
        <v>38.4</v>
      </c>
      <c r="S26" s="80">
        <v>16.3</v>
      </c>
      <c r="T26" s="80">
        <v>19.100000000000001</v>
      </c>
      <c r="U26" s="80">
        <v>21.900000000000002</v>
      </c>
      <c r="W26" s="80">
        <f>0.892*21.1</f>
        <v>18.821200000000001</v>
      </c>
      <c r="X26" s="80">
        <f>0.892*24.3</f>
        <v>21.675599999999999</v>
      </c>
      <c r="Y26" s="80">
        <f>0.892*27.5</f>
        <v>24.53</v>
      </c>
      <c r="AA26" s="285">
        <f>0.73*12.5</f>
        <v>9.125</v>
      </c>
      <c r="AB26" s="285">
        <f>0.73*14.5</f>
        <v>10.584999999999999</v>
      </c>
      <c r="AC26" s="285">
        <f>0.73*16.5</f>
        <v>12.045</v>
      </c>
      <c r="AE26" s="285">
        <f>0.9*6.62420382165605</f>
        <v>5.9617834394904454</v>
      </c>
      <c r="AF26" s="285">
        <f>0.9*7.51592356687898</f>
        <v>6.7643312101910826</v>
      </c>
      <c r="AG26" s="285">
        <f>0.9*8.40764331210191</f>
        <v>7.5668789808917198</v>
      </c>
      <c r="AI26" s="80">
        <v>11.6</v>
      </c>
      <c r="AJ26" s="80">
        <v>13</v>
      </c>
      <c r="AK26" s="80">
        <v>14.4</v>
      </c>
      <c r="AM26" s="80">
        <v>20.900000000000002</v>
      </c>
      <c r="AN26" s="80">
        <v>24.1</v>
      </c>
      <c r="AO26" s="80">
        <v>27.3</v>
      </c>
      <c r="AQ26" s="80">
        <v>6.1999999999999993</v>
      </c>
      <c r="AR26" s="80">
        <v>7.6</v>
      </c>
      <c r="AS26" s="80">
        <v>9</v>
      </c>
      <c r="AU26" s="80"/>
      <c r="AV26" s="80"/>
      <c r="AW26" s="80"/>
      <c r="AY26" s="80"/>
      <c r="AZ26" s="80"/>
      <c r="BA26" s="80"/>
      <c r="BC26" s="80"/>
      <c r="BD26" s="80"/>
      <c r="BE26" s="80"/>
      <c r="BF26" s="208"/>
      <c r="BG26" s="157"/>
      <c r="BH26" s="157"/>
      <c r="BI26" s="157"/>
      <c r="BJ26" s="213"/>
      <c r="BK26" s="157"/>
      <c r="BL26" s="157"/>
      <c r="BM26" s="157"/>
      <c r="BN26" s="213"/>
      <c r="BO26" s="157"/>
      <c r="BP26" s="157"/>
      <c r="BQ26" s="157"/>
      <c r="BR26" s="213"/>
      <c r="BS26" s="167"/>
      <c r="BT26" s="167"/>
      <c r="BU26" s="167"/>
      <c r="BV26" s="210"/>
      <c r="BW26" s="168"/>
      <c r="BX26" s="168"/>
      <c r="BY26" s="168"/>
      <c r="BZ26" s="210"/>
      <c r="CA26" s="169"/>
      <c r="CB26" s="169"/>
      <c r="CC26" s="169"/>
      <c r="CD26" s="210"/>
      <c r="CE26" s="170"/>
      <c r="CF26" s="170"/>
      <c r="CG26" s="170"/>
      <c r="CH26" s="210"/>
    </row>
    <row r="27" spans="1:86">
      <c r="A27" s="42">
        <v>3</v>
      </c>
      <c r="C27" s="80">
        <v>13</v>
      </c>
      <c r="D27" s="80">
        <v>17</v>
      </c>
      <c r="E27" s="80">
        <v>21</v>
      </c>
      <c r="G27" s="80">
        <v>93.3</v>
      </c>
      <c r="H27" s="80">
        <v>102.1</v>
      </c>
      <c r="I27" s="80">
        <v>110.89999999999999</v>
      </c>
      <c r="K27" s="80">
        <v>53.5</v>
      </c>
      <c r="L27" s="80">
        <v>58.1</v>
      </c>
      <c r="M27" s="80">
        <v>62.7</v>
      </c>
      <c r="O27" s="80">
        <v>30.4</v>
      </c>
      <c r="P27" s="80">
        <v>35</v>
      </c>
      <c r="Q27" s="80">
        <v>39.6</v>
      </c>
      <c r="S27" s="80">
        <v>17.5</v>
      </c>
      <c r="T27" s="80">
        <v>20.100000000000001</v>
      </c>
      <c r="U27" s="80">
        <v>22.700000000000003</v>
      </c>
      <c r="W27" s="80">
        <f>0.892*23.4</f>
        <v>20.872799999999998</v>
      </c>
      <c r="X27" s="80">
        <f>0.892*25.6</f>
        <v>22.8352</v>
      </c>
      <c r="Y27" s="80">
        <f>0.892*27.8</f>
        <v>24.797600000000003</v>
      </c>
      <c r="AA27" s="285">
        <f>0.73*13</f>
        <v>9.49</v>
      </c>
      <c r="AB27" s="285">
        <f>0.73*15</f>
        <v>10.95</v>
      </c>
      <c r="AC27" s="285">
        <f>0.73*17</f>
        <v>12.41</v>
      </c>
      <c r="AE27" s="285">
        <f>0.9*7.5</f>
        <v>6.75</v>
      </c>
      <c r="AF27" s="285">
        <f>0.9*8.42356687898089</f>
        <v>7.5812101910828016</v>
      </c>
      <c r="AG27" s="285">
        <f>0.9*9.34713375796178</f>
        <v>8.4124203821656014</v>
      </c>
      <c r="AI27" s="80">
        <v>11.799999999999999</v>
      </c>
      <c r="AJ27" s="80">
        <v>13.6</v>
      </c>
      <c r="AK27" s="80">
        <v>15.4</v>
      </c>
      <c r="AM27" s="80">
        <v>23.5</v>
      </c>
      <c r="AN27" s="80">
        <v>26.7</v>
      </c>
      <c r="AO27" s="80">
        <v>29.9</v>
      </c>
      <c r="AQ27" s="80">
        <v>6.3000000000000007</v>
      </c>
      <c r="AR27" s="80">
        <v>7.9</v>
      </c>
      <c r="AS27" s="80">
        <v>9.5</v>
      </c>
      <c r="AU27" s="80"/>
      <c r="AV27" s="80"/>
      <c r="AW27" s="80"/>
      <c r="AY27" s="80"/>
      <c r="AZ27" s="80"/>
      <c r="BA27" s="80"/>
      <c r="BC27" s="80"/>
      <c r="BD27" s="80"/>
      <c r="BE27" s="80"/>
      <c r="BF27" s="208"/>
      <c r="BG27" s="157"/>
      <c r="BH27" s="157"/>
      <c r="BI27" s="157"/>
      <c r="BJ27" s="213"/>
      <c r="BK27" s="157"/>
      <c r="BL27" s="157"/>
      <c r="BM27" s="157"/>
      <c r="BN27" s="213"/>
      <c r="BO27" s="157"/>
      <c r="BP27" s="157"/>
      <c r="BQ27" s="157"/>
      <c r="BR27" s="213"/>
      <c r="BS27" s="167"/>
      <c r="BT27" s="167"/>
      <c r="BU27" s="167"/>
      <c r="BV27" s="210"/>
      <c r="BW27" s="168"/>
      <c r="BX27" s="168"/>
      <c r="BY27" s="168"/>
      <c r="BZ27" s="210"/>
      <c r="CA27" s="169"/>
      <c r="CB27" s="169"/>
      <c r="CC27" s="169"/>
      <c r="CD27" s="210"/>
      <c r="CE27" s="170"/>
      <c r="CF27" s="170"/>
      <c r="CG27" s="170"/>
      <c r="CH27" s="210"/>
    </row>
    <row r="28" spans="1:86">
      <c r="A28" s="42">
        <v>4</v>
      </c>
      <c r="C28" s="80">
        <v>14.96</v>
      </c>
      <c r="D28" s="80">
        <v>18.96</v>
      </c>
      <c r="E28" s="80">
        <v>22.96</v>
      </c>
      <c r="G28" s="80">
        <v>99.1</v>
      </c>
      <c r="H28" s="80">
        <v>108.5</v>
      </c>
      <c r="I28" s="80">
        <v>117.9</v>
      </c>
      <c r="K28" s="80">
        <v>55.8</v>
      </c>
      <c r="L28" s="80">
        <v>60.8</v>
      </c>
      <c r="M28" s="80">
        <v>65.8</v>
      </c>
      <c r="O28" s="80">
        <v>31.2</v>
      </c>
      <c r="P28" s="80">
        <v>36</v>
      </c>
      <c r="Q28" s="80">
        <v>40.799999999999997</v>
      </c>
      <c r="S28" s="80">
        <v>18.599999999999998</v>
      </c>
      <c r="T28" s="80">
        <v>21.4</v>
      </c>
      <c r="U28" s="80">
        <v>24.2</v>
      </c>
      <c r="W28" s="80">
        <f>0.892*24.2</f>
        <v>21.586400000000001</v>
      </c>
      <c r="X28" s="80">
        <f>0.892*26.8</f>
        <v>23.9056</v>
      </c>
      <c r="Y28" s="80">
        <f>0.892*29.4</f>
        <v>26.224799999999998</v>
      </c>
      <c r="AA28" s="285">
        <f>0.73*13.5</f>
        <v>9.8550000000000004</v>
      </c>
      <c r="AB28" s="285">
        <f>0.73*15.5</f>
        <v>11.315</v>
      </c>
      <c r="AC28" s="285">
        <f>0.73*17.5</f>
        <v>12.775</v>
      </c>
      <c r="AE28" s="285">
        <f>0.9*7.82165605095541</f>
        <v>7.0394904458598688</v>
      </c>
      <c r="AF28" s="285">
        <f>0.9*8.68152866242038</f>
        <v>7.8133757961783425</v>
      </c>
      <c r="AG28" s="285">
        <f>0.9*9.54140127388535</f>
        <v>8.5872611464968163</v>
      </c>
      <c r="AI28" s="80">
        <v>12.2</v>
      </c>
      <c r="AJ28" s="80">
        <v>14</v>
      </c>
      <c r="AK28" s="80">
        <v>15.8</v>
      </c>
      <c r="AM28" s="80">
        <v>24.7</v>
      </c>
      <c r="AN28" s="80">
        <v>28.5</v>
      </c>
      <c r="AO28" s="80">
        <v>32.299999999999997</v>
      </c>
      <c r="AQ28" s="80">
        <v>6.4</v>
      </c>
      <c r="AR28" s="80">
        <v>8</v>
      </c>
      <c r="AS28" s="80">
        <v>9.6</v>
      </c>
      <c r="AU28" s="80"/>
      <c r="AV28" s="80"/>
      <c r="AW28" s="80"/>
      <c r="AY28" s="80"/>
      <c r="AZ28" s="80"/>
      <c r="BA28" s="80"/>
      <c r="BC28" s="80"/>
      <c r="BD28" s="80"/>
      <c r="BE28" s="80"/>
      <c r="BF28" s="208"/>
      <c r="BG28" s="157"/>
      <c r="BH28" s="157"/>
      <c r="BI28" s="157"/>
      <c r="BJ28" s="213"/>
      <c r="BK28" s="157"/>
      <c r="BL28" s="157"/>
      <c r="BM28" s="157"/>
      <c r="BN28" s="213"/>
      <c r="BO28" s="157"/>
      <c r="BP28" s="157"/>
      <c r="BQ28" s="157"/>
      <c r="BR28" s="213"/>
      <c r="BS28" s="167"/>
      <c r="BT28" s="167"/>
      <c r="BU28" s="167"/>
      <c r="BV28" s="210"/>
      <c r="BW28" s="168"/>
      <c r="BX28" s="168"/>
      <c r="BY28" s="168"/>
      <c r="BZ28" s="210"/>
      <c r="CA28" s="169"/>
      <c r="CB28" s="169"/>
      <c r="CC28" s="169"/>
      <c r="CD28" s="210"/>
      <c r="CE28" s="170"/>
      <c r="CF28" s="170"/>
      <c r="CG28" s="170"/>
      <c r="CH28" s="210"/>
    </row>
    <row r="29" spans="1:86">
      <c r="A29" s="42">
        <v>5</v>
      </c>
      <c r="C29" s="80">
        <v>16</v>
      </c>
      <c r="D29" s="80">
        <v>21.6</v>
      </c>
      <c r="E29" s="80">
        <v>27.200000000000003</v>
      </c>
      <c r="G29" s="80">
        <v>107.4</v>
      </c>
      <c r="H29" s="80">
        <v>117</v>
      </c>
      <c r="I29" s="80">
        <v>126.6</v>
      </c>
      <c r="K29" s="80">
        <v>59.5</v>
      </c>
      <c r="L29" s="80">
        <v>63.9</v>
      </c>
      <c r="M29" s="80">
        <v>68.3</v>
      </c>
      <c r="O29" s="80">
        <v>33</v>
      </c>
      <c r="P29" s="80">
        <v>38</v>
      </c>
      <c r="Q29" s="80">
        <v>43</v>
      </c>
      <c r="S29" s="80">
        <v>19.2</v>
      </c>
      <c r="T29" s="80">
        <v>22.4</v>
      </c>
      <c r="U29" s="80">
        <v>25.599999999999998</v>
      </c>
      <c r="W29" s="80">
        <f>0.892*25.4</f>
        <v>22.6568</v>
      </c>
      <c r="X29" s="80">
        <f>0.892*28.2</f>
        <v>25.154399999999999</v>
      </c>
      <c r="Y29" s="80">
        <f>0.892*31</f>
        <v>27.652000000000001</v>
      </c>
      <c r="AA29" s="285">
        <f>0.73*13.1</f>
        <v>9.5629999999999988</v>
      </c>
      <c r="AB29" s="285">
        <f>0.73*15.5</f>
        <v>11.315</v>
      </c>
      <c r="AC29" s="285">
        <f>0.73*17.9</f>
        <v>13.066999999999998</v>
      </c>
      <c r="AE29" s="285">
        <f>0.9*7.72292993630573</f>
        <v>6.9506369426751577</v>
      </c>
      <c r="AF29" s="285">
        <f>0.9*8.97770700636943</f>
        <v>8.0799363057324864</v>
      </c>
      <c r="AG29" s="285">
        <f>0.9*10.2324840764331</f>
        <v>9.2092356687897894</v>
      </c>
      <c r="AI29" s="80">
        <v>12.899999999999999</v>
      </c>
      <c r="AJ29" s="80">
        <v>14.7</v>
      </c>
      <c r="AK29" s="80">
        <v>16.5</v>
      </c>
      <c r="AM29" s="80">
        <v>27.3</v>
      </c>
      <c r="AN29" s="80">
        <v>31.5</v>
      </c>
      <c r="AO29" s="80">
        <v>35.700000000000003</v>
      </c>
      <c r="AQ29" s="80">
        <v>6.8000000000000007</v>
      </c>
      <c r="AR29" s="80">
        <v>8.4</v>
      </c>
      <c r="AS29" s="80">
        <v>10</v>
      </c>
      <c r="AU29" s="80"/>
      <c r="AV29" s="80"/>
      <c r="AW29" s="80"/>
      <c r="AY29" s="80"/>
      <c r="AZ29" s="80"/>
      <c r="BA29" s="80"/>
      <c r="BC29" s="80"/>
      <c r="BD29" s="80"/>
      <c r="BE29" s="80"/>
      <c r="BF29" s="208"/>
      <c r="BG29" s="157"/>
      <c r="BH29" s="157"/>
      <c r="BI29" s="157"/>
      <c r="BJ29" s="213"/>
      <c r="BK29" s="157"/>
      <c r="BL29" s="157"/>
      <c r="BM29" s="157"/>
      <c r="BN29" s="213"/>
      <c r="BO29" s="157"/>
      <c r="BP29" s="157"/>
      <c r="BQ29" s="157"/>
      <c r="BR29" s="213"/>
      <c r="BS29" s="167"/>
      <c r="BT29" s="167"/>
      <c r="BU29" s="167"/>
      <c r="BV29" s="210"/>
      <c r="BW29" s="168"/>
      <c r="BX29" s="168"/>
      <c r="BY29" s="168"/>
      <c r="BZ29" s="210"/>
      <c r="CA29" s="169"/>
      <c r="CB29" s="169"/>
      <c r="CC29" s="169"/>
      <c r="CD29" s="210"/>
      <c r="CE29" s="170"/>
      <c r="CF29" s="170"/>
      <c r="CG29" s="170"/>
      <c r="CH29" s="210"/>
    </row>
    <row r="30" spans="1:86">
      <c r="A30" s="42">
        <v>6</v>
      </c>
      <c r="C30" s="80">
        <v>18.5</v>
      </c>
      <c r="D30" s="80">
        <v>23.5</v>
      </c>
      <c r="E30" s="80">
        <v>28.5</v>
      </c>
      <c r="G30" s="80">
        <v>113.1</v>
      </c>
      <c r="H30" s="80">
        <v>122.5</v>
      </c>
      <c r="I30" s="80">
        <v>131.9</v>
      </c>
      <c r="K30" s="80">
        <v>61.000000000000007</v>
      </c>
      <c r="L30" s="80">
        <v>66.400000000000006</v>
      </c>
      <c r="M30" s="80">
        <v>71.800000000000011</v>
      </c>
      <c r="O30" s="80">
        <v>33.200000000000003</v>
      </c>
      <c r="P30" s="80">
        <v>39</v>
      </c>
      <c r="Q30" s="80">
        <v>44.8</v>
      </c>
      <c r="S30" s="80">
        <v>20</v>
      </c>
      <c r="T30" s="80">
        <v>22.8</v>
      </c>
      <c r="U30" s="80">
        <v>25.6</v>
      </c>
      <c r="W30" s="80">
        <f>0.892*26.5</f>
        <v>23.638000000000002</v>
      </c>
      <c r="X30" s="80">
        <f>0.892*29.1</f>
        <v>25.9572</v>
      </c>
      <c r="Y30" s="80">
        <f>0.892*31.7</f>
        <v>28.276399999999999</v>
      </c>
      <c r="AA30" s="285">
        <f>0.73*12.8</f>
        <v>9.3439999999999994</v>
      </c>
      <c r="AB30" s="285">
        <f>0.73*16</f>
        <v>11.68</v>
      </c>
      <c r="AC30" s="285">
        <f>0.73*19.2</f>
        <v>14.016</v>
      </c>
      <c r="AE30" s="285">
        <f>0.9*8.03821656050955</f>
        <v>7.2343949044585951</v>
      </c>
      <c r="AF30" s="285">
        <f>0.9*9.05732484076433</f>
        <v>8.1515923566878978</v>
      </c>
      <c r="AG30" s="285">
        <f>0.9*10.0764331210191</f>
        <v>9.0687898089171899</v>
      </c>
      <c r="AI30" s="80">
        <v>13.299999999999999</v>
      </c>
      <c r="AJ30" s="80">
        <v>15.1</v>
      </c>
      <c r="AK30" s="80">
        <v>16.899999999999999</v>
      </c>
      <c r="AM30" s="80">
        <v>29.000000000000004</v>
      </c>
      <c r="AN30" s="80">
        <v>33.200000000000003</v>
      </c>
      <c r="AO30" s="80">
        <v>37.400000000000006</v>
      </c>
      <c r="AQ30" s="80">
        <v>6.8999999999999995</v>
      </c>
      <c r="AR30" s="80">
        <v>8.6999999999999993</v>
      </c>
      <c r="AS30" s="80">
        <v>10.5</v>
      </c>
      <c r="AU30" s="80"/>
      <c r="AV30" s="80"/>
      <c r="AW30" s="80"/>
      <c r="AY30" s="80"/>
      <c r="AZ30" s="80"/>
      <c r="BA30" s="80"/>
      <c r="BC30" s="80"/>
      <c r="BD30" s="80"/>
      <c r="BE30" s="80"/>
      <c r="BF30" s="208"/>
      <c r="BG30" s="157"/>
      <c r="BH30" s="157"/>
      <c r="BI30" s="157"/>
      <c r="BJ30" s="213"/>
      <c r="BK30" s="157"/>
      <c r="BL30" s="157"/>
      <c r="BM30" s="157"/>
      <c r="BN30" s="213"/>
      <c r="BO30" s="157"/>
      <c r="BP30" s="157"/>
      <c r="BQ30" s="157"/>
      <c r="BR30" s="213"/>
      <c r="BS30" s="167"/>
      <c r="BT30" s="167"/>
      <c r="BU30" s="167"/>
      <c r="BV30" s="210"/>
      <c r="BW30" s="168"/>
      <c r="BX30" s="168"/>
      <c r="BY30" s="168"/>
      <c r="BZ30" s="210"/>
      <c r="CA30" s="169"/>
      <c r="CB30" s="169"/>
      <c r="CC30" s="169"/>
      <c r="CD30" s="210"/>
      <c r="CE30" s="170"/>
      <c r="CF30" s="170"/>
      <c r="CG30" s="170"/>
      <c r="CH30" s="210"/>
    </row>
    <row r="31" spans="1:86">
      <c r="A31" s="42">
        <v>7</v>
      </c>
      <c r="C31" s="80">
        <v>19.2</v>
      </c>
      <c r="D31" s="80">
        <v>26.4</v>
      </c>
      <c r="E31" s="80">
        <v>33.6</v>
      </c>
      <c r="G31" s="80">
        <v>118.1</v>
      </c>
      <c r="H31" s="80">
        <v>128.69999999999999</v>
      </c>
      <c r="I31" s="80">
        <v>139.29999999999998</v>
      </c>
      <c r="K31" s="80">
        <v>63.6</v>
      </c>
      <c r="L31" s="80">
        <v>69</v>
      </c>
      <c r="M31" s="80">
        <v>74.400000000000006</v>
      </c>
      <c r="O31" s="80">
        <v>35.1</v>
      </c>
      <c r="P31" s="80">
        <v>40.5</v>
      </c>
      <c r="Q31" s="80">
        <v>45.9</v>
      </c>
      <c r="S31" s="80">
        <v>20.5</v>
      </c>
      <c r="T31" s="80">
        <v>23.9</v>
      </c>
      <c r="U31" s="80">
        <v>27.299999999999997</v>
      </c>
      <c r="W31" s="80">
        <f>0.892*27.2</f>
        <v>24.2624</v>
      </c>
      <c r="X31" s="80">
        <f>0.892*30.4</f>
        <v>27.116799999999998</v>
      </c>
      <c r="Y31" s="80">
        <f>0.892*33.6</f>
        <v>29.971200000000003</v>
      </c>
      <c r="AA31" s="285">
        <f>0.73*12.7</f>
        <v>9.270999999999999</v>
      </c>
      <c r="AB31" s="285">
        <f>0.73*16.5</f>
        <v>12.045</v>
      </c>
      <c r="AC31" s="285">
        <f>0.73*20.3</f>
        <v>14.819000000000001</v>
      </c>
      <c r="AE31" s="285">
        <f>0.9*8.09872611464968</f>
        <v>7.2888535031847113</v>
      </c>
      <c r="AF31" s="285">
        <f>0.9*9.30891719745223</f>
        <v>8.3780254777070073</v>
      </c>
      <c r="AG31" s="285">
        <f>0.9*10.5191082802548</f>
        <v>9.4671974522293194</v>
      </c>
      <c r="AI31" s="80">
        <v>13.3</v>
      </c>
      <c r="AJ31" s="80">
        <v>15.5</v>
      </c>
      <c r="AK31" s="80">
        <v>17.7</v>
      </c>
      <c r="AM31" s="80">
        <v>31</v>
      </c>
      <c r="AN31" s="80">
        <v>35.4</v>
      </c>
      <c r="AO31" s="80">
        <v>39.799999999999997</v>
      </c>
      <c r="AQ31" s="80">
        <v>7.3000000000000007</v>
      </c>
      <c r="AR31" s="80">
        <v>9.3000000000000007</v>
      </c>
      <c r="AS31" s="80">
        <v>11.3</v>
      </c>
      <c r="AU31" s="80"/>
      <c r="AV31" s="80"/>
      <c r="AW31" s="80"/>
      <c r="AY31" s="80"/>
      <c r="AZ31" s="80"/>
      <c r="BA31" s="80"/>
      <c r="BC31" s="80"/>
      <c r="BD31" s="80"/>
      <c r="BE31" s="80"/>
      <c r="BF31" s="208"/>
      <c r="BG31" s="157"/>
      <c r="BH31" s="157"/>
      <c r="BI31" s="157"/>
      <c r="BJ31" s="213"/>
      <c r="BK31" s="157"/>
      <c r="BL31" s="157"/>
      <c r="BM31" s="157"/>
      <c r="BN31" s="213"/>
      <c r="BO31" s="157"/>
      <c r="BP31" s="157"/>
      <c r="BQ31" s="157"/>
      <c r="BR31" s="213"/>
      <c r="BS31" s="167"/>
      <c r="BT31" s="167"/>
      <c r="BU31" s="167"/>
      <c r="BV31" s="210"/>
      <c r="BW31" s="168"/>
      <c r="BX31" s="168"/>
      <c r="BY31" s="168"/>
      <c r="BZ31" s="210"/>
      <c r="CA31" s="169"/>
      <c r="CB31" s="169"/>
      <c r="CC31" s="169"/>
      <c r="CD31" s="210"/>
      <c r="CE31" s="170"/>
      <c r="CF31" s="170"/>
      <c r="CG31" s="170"/>
      <c r="CH31" s="210"/>
    </row>
    <row r="32" spans="1:86">
      <c r="A32" s="42">
        <v>8</v>
      </c>
      <c r="C32" s="80">
        <v>20.7</v>
      </c>
      <c r="D32" s="80">
        <v>28.9</v>
      </c>
      <c r="E32" s="80">
        <v>37.099999999999994</v>
      </c>
      <c r="G32" s="80">
        <v>124</v>
      </c>
      <c r="H32" s="80">
        <v>134</v>
      </c>
      <c r="I32" s="80">
        <v>144</v>
      </c>
      <c r="K32" s="80">
        <v>65.5</v>
      </c>
      <c r="L32" s="80">
        <v>70.900000000000006</v>
      </c>
      <c r="M32" s="80">
        <v>76.300000000000011</v>
      </c>
      <c r="O32" s="80">
        <v>37.1</v>
      </c>
      <c r="P32" s="80">
        <v>42.5</v>
      </c>
      <c r="Q32" s="80">
        <v>47.9</v>
      </c>
      <c r="S32" s="80">
        <v>22.4</v>
      </c>
      <c r="T32" s="80">
        <v>26</v>
      </c>
      <c r="U32" s="80">
        <v>29.6</v>
      </c>
      <c r="W32" s="80">
        <f>0.892*28.2</f>
        <v>25.154399999999999</v>
      </c>
      <c r="X32" s="80">
        <f>0.892*31.6</f>
        <v>28.187200000000001</v>
      </c>
      <c r="Y32" s="80">
        <f>0.892*35</f>
        <v>31.22</v>
      </c>
      <c r="AA32" s="285">
        <f>0.73*13</f>
        <v>9.49</v>
      </c>
      <c r="AB32" s="285">
        <f>0.73*17</f>
        <v>12.41</v>
      </c>
      <c r="AC32" s="285">
        <f>0.73*21</f>
        <v>15.33</v>
      </c>
      <c r="AE32" s="285">
        <f>0.9*8.328025477707</f>
        <v>7.4952229299362996</v>
      </c>
      <c r="AF32" s="285">
        <f>0.9*9.53184713375796</f>
        <v>8.5786624203821642</v>
      </c>
      <c r="AG32" s="285">
        <f>0.9*10.7356687898089</f>
        <v>9.6621019108280102</v>
      </c>
      <c r="AI32" s="80">
        <v>13.4</v>
      </c>
      <c r="AJ32" s="80">
        <v>15.8</v>
      </c>
      <c r="AK32" s="80">
        <v>18.2</v>
      </c>
      <c r="AM32" s="80">
        <v>32.200000000000003</v>
      </c>
      <c r="AN32" s="80">
        <v>37.200000000000003</v>
      </c>
      <c r="AO32" s="80">
        <v>42.2</v>
      </c>
      <c r="AQ32" s="80">
        <v>7.6999999999999993</v>
      </c>
      <c r="AR32" s="80">
        <v>9.6999999999999993</v>
      </c>
      <c r="AS32" s="80">
        <v>11.7</v>
      </c>
      <c r="AU32" s="80"/>
      <c r="AV32" s="80"/>
      <c r="AW32" s="80"/>
      <c r="AY32" s="80"/>
      <c r="AZ32" s="80"/>
      <c r="BA32" s="80"/>
      <c r="BC32" s="80"/>
      <c r="BD32" s="80"/>
      <c r="BE32" s="80"/>
      <c r="BF32" s="208"/>
      <c r="BG32" s="157"/>
      <c r="BH32" s="157"/>
      <c r="BI32" s="157"/>
      <c r="BJ32" s="213"/>
      <c r="BK32" s="157"/>
      <c r="BL32" s="157"/>
      <c r="BM32" s="157"/>
      <c r="BN32" s="213"/>
      <c r="BO32" s="157"/>
      <c r="BP32" s="157"/>
      <c r="BQ32" s="157"/>
      <c r="BR32" s="213"/>
      <c r="BS32" s="167"/>
      <c r="BT32" s="167"/>
      <c r="BU32" s="167"/>
      <c r="BV32" s="210"/>
      <c r="BW32" s="168"/>
      <c r="BX32" s="168"/>
      <c r="BY32" s="168"/>
      <c r="BZ32" s="210"/>
      <c r="CA32" s="169"/>
      <c r="CB32" s="169"/>
      <c r="CC32" s="169"/>
      <c r="CD32" s="210"/>
      <c r="CE32" s="170"/>
      <c r="CF32" s="170"/>
      <c r="CG32" s="170"/>
      <c r="CH32" s="210"/>
    </row>
    <row r="33" spans="1:86">
      <c r="A33" s="42">
        <v>9</v>
      </c>
      <c r="C33" s="80">
        <v>23.099999999999998</v>
      </c>
      <c r="D33" s="80">
        <v>32.9</v>
      </c>
      <c r="E33" s="80">
        <v>42.7</v>
      </c>
      <c r="G33" s="80">
        <v>130.80000000000001</v>
      </c>
      <c r="H33" s="80">
        <v>141.80000000000001</v>
      </c>
      <c r="I33" s="80">
        <v>152.80000000000001</v>
      </c>
      <c r="K33" s="80">
        <v>68.400000000000006</v>
      </c>
      <c r="L33" s="80">
        <v>74.2</v>
      </c>
      <c r="M33" s="80">
        <v>80</v>
      </c>
      <c r="O33" s="80">
        <v>38.200000000000003</v>
      </c>
      <c r="P33" s="80">
        <v>44</v>
      </c>
      <c r="Q33" s="80">
        <v>49.8</v>
      </c>
      <c r="S33" s="80">
        <v>21.8</v>
      </c>
      <c r="T33" s="80">
        <v>26</v>
      </c>
      <c r="U33" s="80">
        <v>30.2</v>
      </c>
      <c r="W33" s="80">
        <f>0.892*29.6</f>
        <v>26.403200000000002</v>
      </c>
      <c r="X33" s="80">
        <f>0.892*32.8</f>
        <v>29.257599999999996</v>
      </c>
      <c r="Y33" s="80">
        <f>0.892*36</f>
        <v>32.112000000000002</v>
      </c>
      <c r="AA33" s="285">
        <f>0.73*13.8</f>
        <v>10.074</v>
      </c>
      <c r="AB33" s="285">
        <f>0.73*18</f>
        <v>13.14</v>
      </c>
      <c r="AC33" s="285">
        <f>0.73*22.2</f>
        <v>16.206</v>
      </c>
      <c r="AE33" s="285">
        <f>0.9*8.37261146496815</f>
        <v>7.5353503184713357</v>
      </c>
      <c r="AF33" s="285">
        <f>0.9*9.7484076433121</f>
        <v>8.7735668789808905</v>
      </c>
      <c r="AG33" s="285">
        <f>0.9*11.1242038216561</f>
        <v>10.01178343949049</v>
      </c>
      <c r="AI33" s="80">
        <v>14.200000000000001</v>
      </c>
      <c r="AJ33" s="80">
        <v>16.600000000000001</v>
      </c>
      <c r="AK33" s="80">
        <v>19</v>
      </c>
      <c r="AM33" s="80">
        <v>34.799999999999997</v>
      </c>
      <c r="AN33" s="80">
        <v>39.799999999999997</v>
      </c>
      <c r="AO33" s="80">
        <v>44.8</v>
      </c>
      <c r="AQ33" s="80">
        <v>8.5</v>
      </c>
      <c r="AR33" s="80">
        <v>10.3</v>
      </c>
      <c r="AS33" s="80">
        <v>12.100000000000001</v>
      </c>
      <c r="AU33" s="80"/>
      <c r="AV33" s="80"/>
      <c r="AW33" s="80"/>
      <c r="AY33" s="80"/>
      <c r="AZ33" s="80"/>
      <c r="BA33" s="80"/>
      <c r="BC33" s="80"/>
      <c r="BD33" s="80"/>
      <c r="BE33" s="80"/>
      <c r="BF33" s="208"/>
      <c r="BG33" s="157"/>
      <c r="BH33" s="157"/>
      <c r="BI33" s="157"/>
      <c r="BJ33" s="213"/>
      <c r="BK33" s="157"/>
      <c r="BL33" s="157"/>
      <c r="BM33" s="157"/>
      <c r="BN33" s="213"/>
      <c r="BO33" s="157"/>
      <c r="BP33" s="157"/>
      <c r="BQ33" s="157"/>
      <c r="BR33" s="213"/>
      <c r="BS33" s="167"/>
      <c r="BT33" s="167"/>
      <c r="BU33" s="167"/>
      <c r="BV33" s="210"/>
      <c r="BW33" s="168"/>
      <c r="BX33" s="168"/>
      <c r="BY33" s="168"/>
      <c r="BZ33" s="210"/>
      <c r="CA33" s="169"/>
      <c r="CB33" s="169"/>
      <c r="CC33" s="169"/>
      <c r="CD33" s="210"/>
      <c r="CE33" s="170"/>
      <c r="CF33" s="170"/>
      <c r="CG33" s="170"/>
      <c r="CH33" s="210"/>
    </row>
    <row r="34" spans="1:86">
      <c r="A34" s="42">
        <v>10</v>
      </c>
      <c r="C34" s="80">
        <v>24.2</v>
      </c>
      <c r="D34" s="80">
        <v>36.4</v>
      </c>
      <c r="E34" s="80">
        <v>48.599999999999994</v>
      </c>
      <c r="G34" s="80">
        <v>132.4</v>
      </c>
      <c r="H34" s="80">
        <v>146</v>
      </c>
      <c r="I34" s="80">
        <v>159.6</v>
      </c>
      <c r="K34" s="80">
        <v>68.7</v>
      </c>
      <c r="L34" s="80">
        <v>75.7</v>
      </c>
      <c r="M34" s="80">
        <v>82.7</v>
      </c>
      <c r="O34" s="80">
        <v>39.9</v>
      </c>
      <c r="P34" s="80">
        <v>45.5</v>
      </c>
      <c r="Q34" s="80">
        <v>51.1</v>
      </c>
      <c r="S34" s="80">
        <v>22.5</v>
      </c>
      <c r="T34" s="80">
        <v>27.1</v>
      </c>
      <c r="U34" s="80">
        <v>31.700000000000003</v>
      </c>
      <c r="W34" s="80">
        <f>0.892*30.4</f>
        <v>27.116799999999998</v>
      </c>
      <c r="X34" s="80">
        <f>0.892*34.2</f>
        <v>30.506400000000003</v>
      </c>
      <c r="Y34" s="80">
        <f>0.892*38</f>
        <v>33.896000000000001</v>
      </c>
      <c r="AA34" s="285">
        <f>0.73*13.5</f>
        <v>9.8550000000000004</v>
      </c>
      <c r="AB34" s="285">
        <f>0.73*18.5</f>
        <v>13.504999999999999</v>
      </c>
      <c r="AC34" s="285">
        <f>0.73*23.5</f>
        <v>17.155000000000001</v>
      </c>
      <c r="AE34" s="285">
        <f>0.9*8.6687898089172</f>
        <v>7.8019108280254805</v>
      </c>
      <c r="AF34" s="285">
        <f>0.9*9.9171974522293</f>
        <v>8.9254777070063689</v>
      </c>
      <c r="AG34" s="285">
        <f>0.9*11.1656050955414</f>
        <v>10.049044585987261</v>
      </c>
      <c r="AI34" s="80">
        <v>14.2</v>
      </c>
      <c r="AJ34" s="80">
        <v>17.2</v>
      </c>
      <c r="AK34" s="80">
        <v>20.2</v>
      </c>
      <c r="AM34" s="80">
        <v>36.199999999999996</v>
      </c>
      <c r="AN34" s="80">
        <v>41.4</v>
      </c>
      <c r="AO34" s="80">
        <v>46.6</v>
      </c>
      <c r="AQ34" s="80">
        <v>8.5</v>
      </c>
      <c r="AR34" s="80">
        <v>10.9</v>
      </c>
      <c r="AS34" s="80">
        <v>13.3</v>
      </c>
      <c r="AU34" s="80"/>
      <c r="AV34" s="80"/>
      <c r="AW34" s="80"/>
      <c r="AY34" s="80"/>
      <c r="AZ34" s="80"/>
      <c r="BA34" s="80"/>
      <c r="BC34" s="80"/>
      <c r="BD34" s="80"/>
      <c r="BE34" s="80"/>
      <c r="BF34" s="208"/>
      <c r="BG34" s="157"/>
      <c r="BH34" s="157"/>
      <c r="BI34" s="157"/>
      <c r="BJ34" s="213"/>
      <c r="BK34" s="157"/>
      <c r="BL34" s="157"/>
      <c r="BM34" s="157"/>
      <c r="BN34" s="213"/>
      <c r="BO34" s="157"/>
      <c r="BP34" s="157"/>
      <c r="BQ34" s="157"/>
      <c r="BR34" s="213"/>
      <c r="BS34" s="167"/>
      <c r="BT34" s="167"/>
      <c r="BU34" s="167"/>
      <c r="BV34" s="210"/>
      <c r="BW34" s="168"/>
      <c r="BX34" s="168"/>
      <c r="BY34" s="168"/>
      <c r="BZ34" s="210"/>
      <c r="CA34" s="169"/>
      <c r="CB34" s="169"/>
      <c r="CC34" s="169"/>
      <c r="CD34" s="210"/>
      <c r="CE34" s="170"/>
      <c r="CF34" s="170"/>
      <c r="CG34" s="170"/>
      <c r="CH34" s="210"/>
    </row>
    <row r="35" spans="1:86">
      <c r="BF35" s="208"/>
      <c r="BG35" s="157"/>
      <c r="BH35" s="157"/>
      <c r="BI35" s="157"/>
      <c r="BJ35" s="213"/>
      <c r="BK35" s="157"/>
      <c r="BL35" s="157"/>
      <c r="BM35" s="157"/>
      <c r="BN35" s="213"/>
      <c r="BO35" s="157"/>
      <c r="BP35" s="157"/>
      <c r="BQ35" s="157"/>
      <c r="BR35" s="213"/>
      <c r="BS35" s="167"/>
      <c r="BT35" s="167"/>
      <c r="BU35" s="167"/>
      <c r="BV35" s="210"/>
      <c r="BW35" s="168"/>
      <c r="BX35" s="168"/>
      <c r="BY35" s="168"/>
      <c r="BZ35" s="210"/>
      <c r="CA35" s="169"/>
      <c r="CB35" s="169"/>
      <c r="CC35" s="169"/>
      <c r="CD35" s="210"/>
      <c r="CE35" s="170"/>
      <c r="CF35" s="170"/>
      <c r="CG35" s="170"/>
      <c r="CH35" s="210"/>
    </row>
    <row r="36" spans="1:86">
      <c r="BF36" s="208"/>
      <c r="BG36" s="157"/>
      <c r="BH36" s="157"/>
      <c r="BI36" s="157"/>
      <c r="BJ36" s="213"/>
      <c r="BK36" s="157"/>
      <c r="BL36" s="157"/>
      <c r="BM36" s="157"/>
      <c r="BN36" s="213"/>
      <c r="BO36" s="157"/>
      <c r="BP36" s="157"/>
      <c r="BQ36" s="157"/>
      <c r="BR36" s="213"/>
      <c r="BS36" s="167"/>
      <c r="BT36" s="167"/>
      <c r="BU36" s="167"/>
      <c r="BV36" s="210"/>
      <c r="BW36" s="168"/>
      <c r="BX36" s="168"/>
      <c r="BY36" s="168"/>
      <c r="BZ36" s="210"/>
      <c r="CA36" s="169"/>
      <c r="CB36" s="169"/>
      <c r="CC36" s="169"/>
      <c r="CD36" s="210"/>
      <c r="CE36" s="170"/>
      <c r="CF36" s="170"/>
      <c r="CG36" s="170"/>
      <c r="CH36" s="210"/>
    </row>
    <row r="37" spans="1:86">
      <c r="BF37" s="208"/>
      <c r="BG37" s="157"/>
      <c r="BH37" s="157"/>
      <c r="BI37" s="157"/>
      <c r="BJ37" s="213"/>
      <c r="BK37" s="157"/>
      <c r="BL37" s="157"/>
      <c r="BM37" s="157"/>
      <c r="BN37" s="213"/>
      <c r="BO37" s="157"/>
      <c r="BP37" s="157"/>
      <c r="BQ37" s="157"/>
      <c r="BR37" s="213"/>
      <c r="BS37" s="167"/>
      <c r="BT37" s="167"/>
      <c r="BU37" s="167"/>
      <c r="BV37" s="210"/>
      <c r="BW37" s="168"/>
      <c r="BX37" s="168"/>
      <c r="BY37" s="168"/>
      <c r="BZ37" s="210"/>
      <c r="CA37" s="169"/>
      <c r="CB37" s="169"/>
      <c r="CC37" s="169"/>
      <c r="CD37" s="210"/>
      <c r="CE37" s="170"/>
      <c r="CF37" s="170"/>
      <c r="CG37" s="170"/>
      <c r="CH37" s="210"/>
    </row>
    <row r="38" spans="1:86">
      <c r="G38" s="82"/>
      <c r="H38" s="86"/>
      <c r="I38" s="82"/>
      <c r="AE38" s="226"/>
      <c r="AF38" s="226"/>
      <c r="AG38" s="226"/>
      <c r="BF38" s="208"/>
      <c r="BG38" s="157"/>
      <c r="BH38" s="157"/>
      <c r="BI38" s="157"/>
      <c r="BJ38" s="213"/>
      <c r="BK38" s="157"/>
      <c r="BL38" s="157"/>
      <c r="BM38" s="157"/>
      <c r="BN38" s="213"/>
      <c r="BO38" s="157"/>
      <c r="BP38" s="157"/>
      <c r="BQ38" s="157"/>
      <c r="BR38" s="213"/>
      <c r="BS38" s="167"/>
      <c r="BT38" s="167"/>
      <c r="BU38" s="167"/>
      <c r="BV38" s="210"/>
      <c r="BW38" s="168"/>
      <c r="BX38" s="168"/>
      <c r="BY38" s="168"/>
      <c r="BZ38" s="210"/>
      <c r="CA38" s="169"/>
      <c r="CB38" s="169"/>
      <c r="CC38" s="169"/>
      <c r="CD38" s="210"/>
      <c r="CE38" s="170"/>
      <c r="CF38" s="170"/>
      <c r="CG38" s="170"/>
      <c r="CH38" s="210"/>
    </row>
    <row r="39" spans="1:86">
      <c r="G39" s="82"/>
      <c r="H39" s="86"/>
      <c r="I39" s="82"/>
      <c r="AE39" s="226"/>
      <c r="AF39" s="226"/>
      <c r="AG39" s="226"/>
      <c r="BF39" s="209"/>
      <c r="BG39" s="82"/>
      <c r="BH39" s="82"/>
      <c r="BI39" s="82"/>
      <c r="BJ39" s="210"/>
      <c r="BK39" s="82"/>
      <c r="BL39" s="82"/>
      <c r="BM39" s="82"/>
      <c r="BN39" s="210"/>
      <c r="BO39" s="82"/>
      <c r="BP39" s="82"/>
      <c r="BQ39" s="82"/>
      <c r="BR39" s="210"/>
      <c r="BS39" s="82"/>
      <c r="BT39" s="82"/>
      <c r="BU39" s="82"/>
      <c r="BV39" s="210"/>
      <c r="BW39" s="82"/>
      <c r="BX39" s="82"/>
      <c r="BY39" s="82"/>
      <c r="BZ39" s="210"/>
      <c r="CA39" s="82"/>
      <c r="CB39" s="82"/>
      <c r="CC39" s="82"/>
      <c r="CD39" s="210"/>
      <c r="CE39" s="82"/>
      <c r="CF39" s="82"/>
      <c r="CG39" s="82"/>
      <c r="CH39" s="210"/>
    </row>
    <row r="40" spans="1:86">
      <c r="G40" s="82"/>
      <c r="H40" s="86"/>
      <c r="I40" s="82"/>
      <c r="AE40" s="226"/>
      <c r="AF40" s="226"/>
      <c r="AG40" s="226"/>
      <c r="BF40" s="209"/>
      <c r="BG40" s="82"/>
      <c r="BH40" s="82"/>
      <c r="BI40" s="82"/>
      <c r="BJ40" s="210"/>
      <c r="BK40" s="82"/>
      <c r="BL40" s="82"/>
      <c r="BM40" s="82"/>
      <c r="BN40" s="210"/>
      <c r="BO40" s="82"/>
      <c r="BP40" s="82"/>
      <c r="BQ40" s="82"/>
      <c r="BR40" s="210"/>
      <c r="BS40" s="82"/>
      <c r="BT40" s="82"/>
      <c r="BU40" s="82"/>
      <c r="BV40" s="210"/>
      <c r="BW40" s="82"/>
      <c r="BX40" s="82"/>
      <c r="BY40" s="82"/>
      <c r="BZ40" s="210"/>
      <c r="CA40" s="82"/>
      <c r="CB40" s="82"/>
      <c r="CC40" s="82"/>
      <c r="CD40" s="210"/>
      <c r="CE40" s="82"/>
      <c r="CF40" s="82"/>
      <c r="CG40" s="82"/>
      <c r="CH40" s="210"/>
    </row>
    <row r="41" spans="1:86">
      <c r="G41" s="82"/>
      <c r="H41" s="86"/>
      <c r="I41" s="82"/>
      <c r="AE41" s="226"/>
      <c r="AF41" s="226"/>
      <c r="AG41" s="226"/>
      <c r="BF41" s="209"/>
      <c r="BG41" s="82"/>
      <c r="BH41" s="82"/>
      <c r="BI41" s="82"/>
      <c r="BJ41" s="210"/>
      <c r="BK41" s="82"/>
      <c r="BL41" s="82"/>
      <c r="BM41" s="82"/>
      <c r="BN41" s="210"/>
      <c r="BO41" s="82"/>
      <c r="BP41" s="82"/>
      <c r="BQ41" s="82"/>
      <c r="BR41" s="210"/>
      <c r="BS41" s="82"/>
      <c r="BT41" s="82"/>
      <c r="BU41" s="82"/>
      <c r="BV41" s="210"/>
      <c r="BW41" s="82"/>
      <c r="BX41" s="82"/>
      <c r="BY41" s="82"/>
      <c r="BZ41" s="210"/>
      <c r="CA41" s="82"/>
      <c r="CB41" s="82"/>
      <c r="CC41" s="82"/>
      <c r="CD41" s="210"/>
      <c r="CE41" s="82"/>
      <c r="CF41" s="82"/>
      <c r="CG41" s="82"/>
      <c r="CH41" s="210"/>
    </row>
    <row r="42" spans="1:86">
      <c r="G42" s="82"/>
      <c r="H42" s="86"/>
      <c r="I42" s="82"/>
      <c r="AE42" s="226"/>
      <c r="AF42" s="226"/>
      <c r="AG42" s="226"/>
      <c r="BF42" s="209"/>
      <c r="BG42" s="82"/>
      <c r="BH42" s="82"/>
      <c r="BI42" s="82"/>
      <c r="BJ42" s="210"/>
      <c r="BK42" s="82"/>
      <c r="BL42" s="82"/>
      <c r="BM42" s="82"/>
      <c r="BN42" s="210"/>
      <c r="BO42" s="82"/>
      <c r="BP42" s="82"/>
      <c r="BQ42" s="82"/>
      <c r="BR42" s="210"/>
      <c r="BS42" s="82"/>
      <c r="BT42" s="82"/>
      <c r="BU42" s="82"/>
      <c r="BV42" s="210"/>
      <c r="BW42" s="82"/>
      <c r="BX42" s="82"/>
      <c r="BY42" s="82"/>
      <c r="BZ42" s="210"/>
      <c r="CA42" s="82"/>
      <c r="CB42" s="82"/>
      <c r="CC42" s="82"/>
      <c r="CD42" s="210"/>
      <c r="CE42" s="82"/>
      <c r="CF42" s="82"/>
      <c r="CG42" s="82"/>
      <c r="CH42" s="210"/>
    </row>
    <row r="43" spans="1:86">
      <c r="AE43" s="226"/>
      <c r="AF43" s="226"/>
      <c r="AG43" s="226"/>
      <c r="BF43" s="209"/>
      <c r="BG43" s="82"/>
      <c r="BH43" s="82"/>
      <c r="BI43" s="82"/>
      <c r="BJ43" s="210"/>
      <c r="BK43" s="82"/>
      <c r="BL43" s="82"/>
      <c r="BM43" s="82"/>
      <c r="BN43" s="210"/>
      <c r="BO43" s="82"/>
      <c r="BP43" s="82"/>
      <c r="BQ43" s="82"/>
      <c r="BR43" s="210"/>
      <c r="BS43" s="82"/>
      <c r="BT43" s="82"/>
      <c r="BU43" s="82"/>
      <c r="BV43" s="210"/>
      <c r="BW43" s="82"/>
      <c r="BX43" s="82"/>
      <c r="BY43" s="82"/>
      <c r="BZ43" s="210"/>
      <c r="CA43" s="82"/>
      <c r="CB43" s="82"/>
      <c r="CC43" s="82"/>
      <c r="CD43" s="210"/>
      <c r="CE43" s="82"/>
      <c r="CF43" s="82"/>
      <c r="CG43" s="82"/>
      <c r="CH43" s="210"/>
    </row>
    <row r="44" spans="1:86">
      <c r="AE44" s="226"/>
      <c r="AF44" s="226"/>
      <c r="AG44" s="226"/>
      <c r="BF44" s="209"/>
      <c r="BG44" s="82"/>
      <c r="BH44" s="82"/>
      <c r="BI44" s="82"/>
      <c r="BJ44" s="210"/>
      <c r="BK44" s="82"/>
      <c r="BL44" s="82"/>
      <c r="BM44" s="82"/>
      <c r="BN44" s="210"/>
      <c r="BO44" s="82"/>
      <c r="BP44" s="82"/>
      <c r="BQ44" s="82"/>
      <c r="BR44" s="210"/>
      <c r="BS44" s="82"/>
      <c r="BT44" s="82"/>
      <c r="BU44" s="82"/>
      <c r="BV44" s="210"/>
      <c r="BW44" s="82"/>
      <c r="BX44" s="82"/>
      <c r="BY44" s="82"/>
      <c r="BZ44" s="210"/>
      <c r="CA44" s="82"/>
      <c r="CB44" s="82"/>
      <c r="CC44" s="82"/>
      <c r="CD44" s="210"/>
      <c r="CE44" s="82"/>
      <c r="CF44" s="82"/>
      <c r="CG44" s="82"/>
      <c r="CH44" s="210"/>
    </row>
    <row r="45" spans="1:86">
      <c r="AE45" s="226"/>
      <c r="AF45" s="226"/>
      <c r="AG45" s="226"/>
      <c r="BF45" s="209"/>
      <c r="BG45" s="82"/>
      <c r="BH45" s="82"/>
      <c r="BI45" s="82"/>
      <c r="BJ45" s="210"/>
      <c r="BK45" s="82"/>
      <c r="BL45" s="82"/>
      <c r="BM45" s="82"/>
      <c r="BN45" s="210"/>
      <c r="BO45" s="82"/>
      <c r="BP45" s="82"/>
      <c r="BQ45" s="82"/>
      <c r="BR45" s="210"/>
      <c r="BS45" s="82"/>
      <c r="BT45" s="82"/>
      <c r="BU45" s="82"/>
      <c r="BV45" s="210"/>
      <c r="BW45" s="82"/>
      <c r="BX45" s="82"/>
      <c r="BY45" s="82"/>
      <c r="BZ45" s="210"/>
      <c r="CA45" s="82"/>
      <c r="CB45" s="82"/>
      <c r="CC45" s="82"/>
      <c r="CD45" s="210"/>
      <c r="CE45" s="82"/>
      <c r="CF45" s="82"/>
      <c r="CG45" s="82"/>
      <c r="CH45" s="210"/>
    </row>
    <row r="46" spans="1:86">
      <c r="AE46" s="226"/>
      <c r="AF46" s="226"/>
      <c r="AG46" s="226"/>
      <c r="BF46" s="209"/>
      <c r="BG46" s="82"/>
      <c r="BH46" s="82"/>
      <c r="BI46" s="82"/>
      <c r="BJ46" s="210"/>
      <c r="BK46" s="82"/>
      <c r="BL46" s="82"/>
      <c r="BM46" s="82"/>
      <c r="BN46" s="210"/>
      <c r="BO46" s="82"/>
      <c r="BP46" s="82"/>
      <c r="BQ46" s="82"/>
      <c r="BR46" s="210"/>
      <c r="BS46" s="82"/>
      <c r="BT46" s="82"/>
      <c r="BU46" s="82"/>
      <c r="BV46" s="210"/>
      <c r="BW46" s="82"/>
      <c r="BX46" s="82"/>
      <c r="BY46" s="82"/>
      <c r="BZ46" s="210"/>
      <c r="CA46" s="82"/>
      <c r="CB46" s="82"/>
      <c r="CC46" s="82"/>
      <c r="CD46" s="210"/>
      <c r="CE46" s="82"/>
      <c r="CF46" s="82"/>
      <c r="CG46" s="82"/>
      <c r="CH46" s="210"/>
    </row>
    <row r="47" spans="1:86">
      <c r="AE47" s="226"/>
      <c r="AF47" s="226"/>
      <c r="AG47" s="226"/>
      <c r="BF47" s="209"/>
      <c r="BG47" s="82"/>
      <c r="BH47" s="82"/>
      <c r="BI47" s="82"/>
      <c r="BJ47" s="210"/>
      <c r="BK47" s="82"/>
      <c r="BL47" s="82"/>
      <c r="BM47" s="82"/>
      <c r="BN47" s="210"/>
      <c r="BO47" s="82"/>
      <c r="BP47" s="82"/>
      <c r="BQ47" s="82"/>
      <c r="BR47" s="210"/>
      <c r="BS47" s="82"/>
      <c r="BT47" s="82"/>
      <c r="BU47" s="82"/>
      <c r="BV47" s="210"/>
      <c r="BW47" s="82"/>
      <c r="BX47" s="82"/>
      <c r="BY47" s="82"/>
      <c r="BZ47" s="210"/>
      <c r="CA47" s="82"/>
      <c r="CB47" s="82"/>
      <c r="CC47" s="82"/>
      <c r="CD47" s="210"/>
      <c r="CE47" s="82"/>
      <c r="CF47" s="82"/>
      <c r="CG47" s="82"/>
      <c r="CH47" s="210"/>
    </row>
    <row r="48" spans="1:86">
      <c r="AE48" s="226"/>
      <c r="AF48" s="226"/>
      <c r="AG48" s="226"/>
      <c r="BF48" s="209"/>
      <c r="BG48" s="82"/>
      <c r="BH48" s="82"/>
      <c r="BI48" s="82"/>
      <c r="BJ48" s="210"/>
      <c r="BK48" s="82"/>
      <c r="BL48" s="82"/>
      <c r="BM48" s="82"/>
      <c r="BN48" s="210"/>
      <c r="BO48" s="82"/>
      <c r="BP48" s="82"/>
      <c r="BQ48" s="82"/>
      <c r="BR48" s="210"/>
      <c r="BS48" s="82"/>
      <c r="BT48" s="82"/>
      <c r="BU48" s="82"/>
      <c r="BV48" s="210"/>
      <c r="BW48" s="82"/>
      <c r="BX48" s="82"/>
      <c r="BY48" s="82"/>
      <c r="BZ48" s="210"/>
      <c r="CA48" s="82"/>
      <c r="CB48" s="82"/>
      <c r="CC48" s="82"/>
      <c r="CD48" s="210"/>
      <c r="CE48" s="82"/>
      <c r="CF48" s="82"/>
      <c r="CG48" s="82"/>
      <c r="CH48" s="210"/>
    </row>
    <row r="49" spans="31:86">
      <c r="AE49" s="226"/>
      <c r="AF49" s="226"/>
      <c r="AG49" s="226"/>
      <c r="BF49" s="209"/>
      <c r="BG49" s="82"/>
      <c r="BH49" s="82"/>
      <c r="BI49" s="82"/>
      <c r="BJ49" s="210"/>
      <c r="BK49" s="82"/>
      <c r="BL49" s="82"/>
      <c r="BM49" s="82"/>
      <c r="BN49" s="210"/>
      <c r="BO49" s="82"/>
      <c r="BP49" s="82"/>
      <c r="BQ49" s="82"/>
      <c r="BR49" s="210"/>
      <c r="BS49" s="82"/>
      <c r="BT49" s="82"/>
      <c r="BU49" s="82"/>
      <c r="BV49" s="210"/>
      <c r="BW49" s="82"/>
      <c r="BX49" s="82"/>
      <c r="BY49" s="82"/>
      <c r="BZ49" s="210"/>
      <c r="CA49" s="82"/>
      <c r="CB49" s="82"/>
      <c r="CC49" s="82"/>
      <c r="CD49" s="210"/>
      <c r="CE49" s="82"/>
      <c r="CF49" s="82"/>
      <c r="CG49" s="82"/>
      <c r="CH49" s="210"/>
    </row>
    <row r="50" spans="31:86">
      <c r="AE50" s="226"/>
      <c r="AF50" s="226"/>
      <c r="AG50" s="226"/>
      <c r="BF50" s="209"/>
      <c r="BG50" s="82"/>
      <c r="BH50" s="82"/>
      <c r="BI50" s="82"/>
      <c r="BJ50" s="210"/>
      <c r="BK50" s="82"/>
      <c r="BL50" s="82"/>
      <c r="BM50" s="82"/>
      <c r="BN50" s="210"/>
      <c r="BO50" s="82"/>
      <c r="BP50" s="82"/>
      <c r="BQ50" s="82"/>
      <c r="BR50" s="210"/>
      <c r="BS50" s="82"/>
      <c r="BT50" s="82"/>
      <c r="BU50" s="82"/>
      <c r="BV50" s="210"/>
      <c r="BW50" s="82"/>
      <c r="BX50" s="82"/>
      <c r="BY50" s="82"/>
      <c r="BZ50" s="210"/>
      <c r="CA50" s="82"/>
      <c r="CB50" s="82"/>
      <c r="CC50" s="82"/>
      <c r="CD50" s="210"/>
      <c r="CE50" s="82"/>
      <c r="CF50" s="82"/>
      <c r="CG50" s="82"/>
      <c r="CH50" s="210"/>
    </row>
    <row r="51" spans="31:86">
      <c r="AE51" s="226"/>
      <c r="AF51" s="226"/>
      <c r="AG51" s="226"/>
      <c r="BF51" s="209"/>
      <c r="BG51" s="82"/>
      <c r="BH51" s="82"/>
      <c r="BI51" s="82"/>
      <c r="BJ51" s="210"/>
      <c r="BK51" s="82"/>
      <c r="BL51" s="82"/>
      <c r="BM51" s="82"/>
      <c r="BN51" s="210"/>
      <c r="BO51" s="82"/>
      <c r="BP51" s="82"/>
      <c r="BQ51" s="82"/>
      <c r="BR51" s="210"/>
      <c r="BS51" s="82"/>
      <c r="BT51" s="82"/>
      <c r="BU51" s="82"/>
      <c r="BV51" s="210"/>
      <c r="BW51" s="82"/>
      <c r="BX51" s="82"/>
      <c r="BY51" s="82"/>
      <c r="BZ51" s="210"/>
      <c r="CA51" s="82"/>
      <c r="CB51" s="82"/>
      <c r="CC51" s="82"/>
      <c r="CD51" s="210"/>
      <c r="CE51" s="82"/>
      <c r="CF51" s="82"/>
      <c r="CG51" s="82"/>
      <c r="CH51" s="210"/>
    </row>
    <row r="52" spans="31:86">
      <c r="AE52" s="226"/>
      <c r="AF52" s="226"/>
      <c r="AG52" s="226"/>
      <c r="BF52" s="209"/>
      <c r="BG52" s="82"/>
      <c r="BH52" s="82"/>
      <c r="BI52" s="82"/>
      <c r="BJ52" s="210"/>
      <c r="BK52" s="82"/>
      <c r="BL52" s="82"/>
      <c r="BM52" s="82"/>
      <c r="BN52" s="210"/>
      <c r="BO52" s="82"/>
      <c r="BP52" s="82"/>
      <c r="BQ52" s="82"/>
      <c r="BR52" s="210"/>
      <c r="BS52" s="82"/>
      <c r="BT52" s="82"/>
      <c r="BU52" s="82"/>
      <c r="BV52" s="210"/>
      <c r="BW52" s="82"/>
      <c r="BX52" s="82"/>
      <c r="BY52" s="82"/>
      <c r="BZ52" s="210"/>
      <c r="CA52" s="82"/>
      <c r="CB52" s="82"/>
      <c r="CC52" s="82"/>
      <c r="CD52" s="210"/>
      <c r="CE52" s="82"/>
      <c r="CF52" s="82"/>
      <c r="CG52" s="82"/>
      <c r="CH52" s="210"/>
    </row>
    <row r="53" spans="31:86">
      <c r="BF53" s="209"/>
      <c r="BG53" s="82"/>
      <c r="BH53" s="82"/>
      <c r="BI53" s="82"/>
      <c r="BJ53" s="210"/>
      <c r="BK53" s="82"/>
      <c r="BL53" s="82"/>
      <c r="BM53" s="82"/>
      <c r="BN53" s="210"/>
      <c r="BO53" s="82"/>
      <c r="BP53" s="82"/>
      <c r="BQ53" s="82"/>
      <c r="BR53" s="210"/>
      <c r="BS53" s="82"/>
      <c r="BT53" s="82"/>
      <c r="BU53" s="82"/>
      <c r="BV53" s="210"/>
      <c r="BW53" s="82"/>
      <c r="BX53" s="82"/>
      <c r="BY53" s="82"/>
      <c r="BZ53" s="210"/>
      <c r="CA53" s="82"/>
      <c r="CB53" s="82"/>
      <c r="CC53" s="82"/>
      <c r="CD53" s="210"/>
      <c r="CE53" s="82"/>
      <c r="CF53" s="82"/>
      <c r="CG53" s="82"/>
      <c r="CH53" s="210"/>
    </row>
    <row r="54" spans="31:86">
      <c r="BF54" s="209"/>
      <c r="BG54" s="82"/>
      <c r="BH54" s="82"/>
      <c r="BI54" s="82"/>
      <c r="BJ54" s="210"/>
      <c r="BK54" s="82"/>
      <c r="BL54" s="82"/>
      <c r="BM54" s="82"/>
      <c r="BN54" s="210"/>
      <c r="BO54" s="82"/>
      <c r="BP54" s="82"/>
      <c r="BQ54" s="82"/>
      <c r="BR54" s="210"/>
      <c r="BS54" s="82"/>
      <c r="BT54" s="82"/>
      <c r="BU54" s="82"/>
      <c r="BV54" s="210"/>
      <c r="BW54" s="82"/>
      <c r="BX54" s="82"/>
      <c r="BY54" s="82"/>
      <c r="BZ54" s="210"/>
      <c r="CA54" s="82"/>
      <c r="CB54" s="82"/>
      <c r="CC54" s="82"/>
      <c r="CD54" s="210"/>
      <c r="CE54" s="82"/>
      <c r="CF54" s="82"/>
      <c r="CG54" s="82"/>
      <c r="CH54" s="210"/>
    </row>
    <row r="55" spans="31:86">
      <c r="BF55" s="209"/>
      <c r="BG55" s="82"/>
      <c r="BH55" s="82"/>
      <c r="BI55" s="82"/>
      <c r="BJ55" s="210"/>
      <c r="BK55" s="82"/>
      <c r="BL55" s="82"/>
      <c r="BM55" s="82"/>
      <c r="BN55" s="210"/>
      <c r="BO55" s="82"/>
      <c r="BP55" s="82"/>
      <c r="BQ55" s="82"/>
      <c r="BR55" s="210"/>
      <c r="BS55" s="82"/>
      <c r="BT55" s="82"/>
      <c r="BU55" s="82"/>
      <c r="BV55" s="210"/>
      <c r="BW55" s="82"/>
      <c r="BX55" s="82"/>
      <c r="BY55" s="82"/>
      <c r="BZ55" s="210"/>
      <c r="CA55" s="82"/>
      <c r="CB55" s="82"/>
      <c r="CC55" s="82"/>
      <c r="CD55" s="210"/>
      <c r="CE55" s="82"/>
      <c r="CF55" s="82"/>
      <c r="CG55" s="82"/>
      <c r="CH55" s="210"/>
    </row>
    <row r="56" spans="31:86">
      <c r="BF56" s="209"/>
      <c r="BG56" s="82"/>
      <c r="BH56" s="82"/>
      <c r="BI56" s="82"/>
      <c r="BJ56" s="210"/>
      <c r="BK56" s="82"/>
      <c r="BL56" s="82"/>
      <c r="BM56" s="82"/>
      <c r="BN56" s="210"/>
      <c r="BO56" s="82"/>
      <c r="BP56" s="82"/>
      <c r="BQ56" s="82"/>
      <c r="BR56" s="210"/>
      <c r="BS56" s="82"/>
      <c r="BT56" s="82"/>
      <c r="BU56" s="82"/>
      <c r="BV56" s="210"/>
      <c r="BW56" s="82"/>
      <c r="BX56" s="82"/>
      <c r="BY56" s="82"/>
      <c r="BZ56" s="210"/>
      <c r="CA56" s="82"/>
      <c r="CB56" s="82"/>
      <c r="CC56" s="82"/>
      <c r="CD56" s="210"/>
      <c r="CE56" s="82"/>
      <c r="CF56" s="82"/>
      <c r="CG56" s="82"/>
      <c r="CH56" s="210"/>
    </row>
    <row r="57" spans="31:86">
      <c r="BF57" s="209"/>
      <c r="BG57" s="82"/>
      <c r="BH57" s="82"/>
      <c r="BI57" s="82"/>
      <c r="BJ57" s="210"/>
      <c r="BK57" s="82"/>
      <c r="BL57" s="82"/>
      <c r="BM57" s="82"/>
      <c r="BN57" s="210"/>
      <c r="BO57" s="82"/>
      <c r="BP57" s="82"/>
      <c r="BQ57" s="82"/>
      <c r="BR57" s="210"/>
      <c r="BS57" s="82"/>
      <c r="BT57" s="82"/>
      <c r="BU57" s="82"/>
      <c r="BV57" s="210"/>
      <c r="BW57" s="82"/>
      <c r="BX57" s="82"/>
      <c r="BY57" s="82"/>
      <c r="BZ57" s="210"/>
      <c r="CA57" s="82"/>
      <c r="CB57" s="82"/>
      <c r="CC57" s="82"/>
      <c r="CD57" s="210"/>
      <c r="CE57" s="82"/>
      <c r="CF57" s="82"/>
      <c r="CG57" s="82"/>
      <c r="CH57" s="210"/>
    </row>
    <row r="58" spans="31:86">
      <c r="BF58" s="209"/>
      <c r="BG58" s="82"/>
      <c r="BH58" s="82"/>
      <c r="BI58" s="82"/>
      <c r="BJ58" s="210"/>
      <c r="BK58" s="82"/>
      <c r="BL58" s="82"/>
      <c r="BM58" s="82"/>
      <c r="BN58" s="210"/>
      <c r="BO58" s="82"/>
      <c r="BP58" s="82"/>
      <c r="BQ58" s="82"/>
      <c r="BR58" s="210"/>
      <c r="BS58" s="82"/>
      <c r="BT58" s="82"/>
      <c r="BU58" s="82"/>
      <c r="BV58" s="210"/>
      <c r="BW58" s="82"/>
      <c r="BX58" s="82"/>
      <c r="BY58" s="82"/>
      <c r="BZ58" s="210"/>
      <c r="CA58" s="82"/>
      <c r="CB58" s="82"/>
      <c r="CC58" s="82"/>
      <c r="CD58" s="210"/>
      <c r="CE58" s="82"/>
      <c r="CF58" s="82"/>
      <c r="CG58" s="82"/>
      <c r="CH58" s="210"/>
    </row>
    <row r="59" spans="31:86">
      <c r="BF59" s="209"/>
      <c r="BG59" s="82"/>
      <c r="BH59" s="82"/>
      <c r="BI59" s="82"/>
      <c r="BJ59" s="210"/>
      <c r="BK59" s="82"/>
      <c r="BL59" s="82"/>
      <c r="BM59" s="82"/>
      <c r="BN59" s="210"/>
      <c r="BO59" s="82"/>
      <c r="BP59" s="82"/>
      <c r="BQ59" s="82"/>
      <c r="BR59" s="210"/>
      <c r="BS59" s="82"/>
      <c r="BT59" s="82"/>
      <c r="BU59" s="82"/>
      <c r="BV59" s="210"/>
      <c r="BW59" s="82"/>
      <c r="BX59" s="82"/>
      <c r="BY59" s="82"/>
      <c r="BZ59" s="210"/>
      <c r="CA59" s="82"/>
      <c r="CB59" s="82"/>
      <c r="CC59" s="82"/>
      <c r="CD59" s="210"/>
      <c r="CE59" s="82"/>
      <c r="CF59" s="82"/>
      <c r="CG59" s="82"/>
      <c r="CH59" s="210"/>
    </row>
    <row r="60" spans="31:86">
      <c r="BF60" s="209"/>
      <c r="BG60" s="82"/>
      <c r="BH60" s="82"/>
      <c r="BI60" s="82"/>
      <c r="BJ60" s="210"/>
      <c r="BK60" s="82"/>
      <c r="BL60" s="82"/>
      <c r="BM60" s="82"/>
      <c r="BN60" s="210"/>
      <c r="BO60" s="82"/>
      <c r="BP60" s="82"/>
      <c r="BQ60" s="82"/>
      <c r="BR60" s="210"/>
      <c r="BS60" s="82"/>
      <c r="BT60" s="82"/>
      <c r="BU60" s="82"/>
      <c r="BV60" s="210"/>
      <c r="BW60" s="82"/>
      <c r="BX60" s="82"/>
      <c r="BY60" s="82"/>
      <c r="BZ60" s="210"/>
      <c r="CA60" s="82"/>
      <c r="CB60" s="82"/>
      <c r="CC60" s="82"/>
      <c r="CD60" s="210"/>
      <c r="CE60" s="82"/>
      <c r="CF60" s="82"/>
      <c r="CG60" s="82"/>
      <c r="CH60" s="210"/>
    </row>
    <row r="61" spans="31:86">
      <c r="BF61" s="209"/>
      <c r="BG61" s="82"/>
      <c r="BH61" s="82"/>
      <c r="BI61" s="82"/>
      <c r="BJ61" s="210"/>
      <c r="BK61" s="82"/>
      <c r="BL61" s="82"/>
      <c r="BM61" s="82"/>
      <c r="BN61" s="210"/>
      <c r="BO61" s="82"/>
      <c r="BP61" s="82"/>
      <c r="BQ61" s="82"/>
      <c r="BR61" s="210"/>
      <c r="BS61" s="82"/>
      <c r="BT61" s="82"/>
      <c r="BU61" s="82"/>
      <c r="BV61" s="210"/>
      <c r="BW61" s="82"/>
      <c r="BX61" s="82"/>
      <c r="BY61" s="82"/>
      <c r="BZ61" s="210"/>
      <c r="CA61" s="82"/>
      <c r="CB61" s="82"/>
      <c r="CC61" s="82"/>
      <c r="CD61" s="210"/>
      <c r="CE61" s="82"/>
      <c r="CF61" s="82"/>
      <c r="CG61" s="82"/>
      <c r="CH61" s="210"/>
    </row>
    <row r="62" spans="31:86">
      <c r="BF62" s="209"/>
      <c r="BG62" s="82"/>
      <c r="BH62" s="82"/>
      <c r="BI62" s="82"/>
      <c r="BJ62" s="210"/>
      <c r="BK62" s="82"/>
      <c r="BL62" s="82"/>
      <c r="BM62" s="82"/>
      <c r="BN62" s="210"/>
      <c r="BO62" s="82"/>
      <c r="BP62" s="82"/>
      <c r="BQ62" s="82"/>
      <c r="BR62" s="210"/>
      <c r="BS62" s="82"/>
      <c r="BT62" s="82"/>
      <c r="BU62" s="82"/>
      <c r="BV62" s="210"/>
      <c r="BW62" s="82"/>
      <c r="BX62" s="82"/>
      <c r="BY62" s="82"/>
      <c r="BZ62" s="210"/>
      <c r="CA62" s="82"/>
      <c r="CB62" s="82"/>
      <c r="CC62" s="82"/>
      <c r="CD62" s="210"/>
      <c r="CE62" s="82"/>
      <c r="CF62" s="82"/>
      <c r="CG62" s="82"/>
      <c r="CH62" s="210"/>
    </row>
    <row r="63" spans="31:86">
      <c r="BF63" s="209"/>
      <c r="BG63" s="82"/>
      <c r="BH63" s="82"/>
      <c r="BI63" s="82"/>
      <c r="BJ63" s="210"/>
      <c r="BK63" s="82"/>
      <c r="BL63" s="82"/>
      <c r="BM63" s="82"/>
      <c r="BN63" s="210"/>
      <c r="BO63" s="82"/>
      <c r="BP63" s="82"/>
      <c r="BQ63" s="82"/>
      <c r="BR63" s="210"/>
      <c r="BS63" s="82"/>
      <c r="BT63" s="82"/>
      <c r="BU63" s="82"/>
      <c r="BV63" s="210"/>
      <c r="BW63" s="82"/>
      <c r="BX63" s="82"/>
      <c r="BY63" s="82"/>
      <c r="BZ63" s="210"/>
      <c r="CA63" s="82"/>
      <c r="CB63" s="82"/>
      <c r="CC63" s="82"/>
      <c r="CD63" s="210"/>
      <c r="CE63" s="82"/>
      <c r="CF63" s="82"/>
      <c r="CG63" s="82"/>
      <c r="CH63" s="210"/>
    </row>
    <row r="64" spans="31:86">
      <c r="BF64" s="209"/>
      <c r="BG64" s="82"/>
      <c r="BH64" s="82"/>
      <c r="BI64" s="82"/>
      <c r="BJ64" s="210"/>
      <c r="BK64" s="82"/>
      <c r="BL64" s="82"/>
      <c r="BM64" s="82"/>
      <c r="BN64" s="210"/>
      <c r="BO64" s="82"/>
      <c r="BP64" s="82"/>
      <c r="BQ64" s="82"/>
      <c r="BR64" s="210"/>
      <c r="BS64" s="82"/>
      <c r="BT64" s="82"/>
      <c r="BU64" s="82"/>
      <c r="BV64" s="210"/>
      <c r="BW64" s="82"/>
      <c r="BX64" s="82"/>
      <c r="BY64" s="82"/>
      <c r="BZ64" s="210"/>
      <c r="CA64" s="82"/>
      <c r="CB64" s="82"/>
      <c r="CC64" s="82"/>
      <c r="CD64" s="210"/>
      <c r="CE64" s="82"/>
      <c r="CF64" s="82"/>
      <c r="CG64" s="82"/>
      <c r="CH64" s="210"/>
    </row>
    <row r="65" spans="58:86">
      <c r="BF65" s="209"/>
      <c r="BG65" s="82"/>
      <c r="BH65" s="82"/>
      <c r="BI65" s="82"/>
      <c r="BJ65" s="210"/>
      <c r="BK65" s="82"/>
      <c r="BL65" s="82"/>
      <c r="BM65" s="82"/>
      <c r="BN65" s="210"/>
      <c r="BO65" s="82"/>
      <c r="BP65" s="82"/>
      <c r="BQ65" s="82"/>
      <c r="BR65" s="210"/>
      <c r="BS65" s="82"/>
      <c r="BT65" s="82"/>
      <c r="BU65" s="82"/>
      <c r="BV65" s="210"/>
      <c r="BW65" s="82"/>
      <c r="BX65" s="82"/>
      <c r="BY65" s="82"/>
      <c r="BZ65" s="210"/>
      <c r="CA65" s="82"/>
      <c r="CB65" s="82"/>
      <c r="CC65" s="82"/>
      <c r="CD65" s="210"/>
      <c r="CE65" s="82"/>
      <c r="CF65" s="82"/>
      <c r="CG65" s="82"/>
      <c r="CH65" s="210"/>
    </row>
    <row r="66" spans="58:86">
      <c r="BF66" s="209"/>
      <c r="BG66" s="82"/>
      <c r="BH66" s="82"/>
      <c r="BI66" s="82"/>
      <c r="BJ66" s="210"/>
      <c r="BK66" s="82"/>
      <c r="BL66" s="82"/>
      <c r="BM66" s="82"/>
      <c r="BN66" s="210"/>
      <c r="BO66" s="82"/>
      <c r="BP66" s="82"/>
      <c r="BQ66" s="82"/>
      <c r="BR66" s="210"/>
      <c r="BS66" s="82"/>
      <c r="BT66" s="82"/>
      <c r="BU66" s="82"/>
      <c r="BV66" s="210"/>
      <c r="BW66" s="82"/>
      <c r="BX66" s="82"/>
      <c r="BY66" s="82"/>
      <c r="BZ66" s="210"/>
      <c r="CA66" s="82"/>
      <c r="CB66" s="82"/>
      <c r="CC66" s="82"/>
      <c r="CD66" s="210"/>
      <c r="CE66" s="82"/>
      <c r="CF66" s="82"/>
      <c r="CG66" s="82"/>
      <c r="CH66" s="210"/>
    </row>
    <row r="67" spans="58:86">
      <c r="BF67" s="209"/>
      <c r="BG67" s="82"/>
      <c r="BH67" s="82"/>
      <c r="BI67" s="82"/>
      <c r="BJ67" s="210"/>
      <c r="BK67" s="82"/>
      <c r="BL67" s="82"/>
      <c r="BM67" s="82"/>
      <c r="BN67" s="210"/>
      <c r="BO67" s="82"/>
      <c r="BP67" s="82"/>
      <c r="BQ67" s="82"/>
      <c r="BR67" s="210"/>
      <c r="BS67" s="82"/>
      <c r="BT67" s="82"/>
      <c r="BU67" s="82"/>
      <c r="BV67" s="210"/>
      <c r="BW67" s="82"/>
      <c r="BX67" s="82"/>
      <c r="BY67" s="82"/>
      <c r="BZ67" s="210"/>
      <c r="CA67" s="82"/>
      <c r="CB67" s="82"/>
      <c r="CC67" s="82"/>
      <c r="CD67" s="210"/>
      <c r="CE67" s="82"/>
      <c r="CF67" s="82"/>
      <c r="CG67" s="82"/>
      <c r="CH67" s="210"/>
    </row>
    <row r="68" spans="58:86">
      <c r="BF68" s="209"/>
      <c r="BG68" s="82"/>
      <c r="BH68" s="82"/>
      <c r="BI68" s="82"/>
      <c r="BJ68" s="210"/>
      <c r="BK68" s="82"/>
      <c r="BL68" s="82"/>
      <c r="BM68" s="82"/>
      <c r="BN68" s="210"/>
      <c r="BO68" s="82"/>
      <c r="BP68" s="82"/>
      <c r="BQ68" s="82"/>
      <c r="BR68" s="210"/>
      <c r="BS68" s="82"/>
      <c r="BT68" s="82"/>
      <c r="BU68" s="82"/>
      <c r="BV68" s="210"/>
      <c r="BW68" s="82"/>
      <c r="BX68" s="82"/>
      <c r="BY68" s="82"/>
      <c r="BZ68" s="210"/>
      <c r="CA68" s="82"/>
      <c r="CB68" s="82"/>
      <c r="CC68" s="82"/>
      <c r="CD68" s="210"/>
      <c r="CE68" s="82"/>
      <c r="CF68" s="82"/>
      <c r="CG68" s="82"/>
      <c r="CH68" s="210"/>
    </row>
    <row r="69" spans="58:86">
      <c r="BF69" s="209"/>
      <c r="BG69" s="82"/>
      <c r="BH69" s="82"/>
      <c r="BI69" s="82"/>
      <c r="BJ69" s="210"/>
      <c r="BK69" s="82"/>
      <c r="BL69" s="82"/>
      <c r="BM69" s="82"/>
      <c r="BN69" s="210"/>
      <c r="BO69" s="82"/>
      <c r="BP69" s="82"/>
      <c r="BQ69" s="82"/>
      <c r="BR69" s="210"/>
      <c r="BS69" s="82"/>
      <c r="BT69" s="82"/>
      <c r="BU69" s="82"/>
      <c r="BV69" s="210"/>
      <c r="BW69" s="82"/>
      <c r="BX69" s="82"/>
      <c r="BY69" s="82"/>
      <c r="BZ69" s="210"/>
      <c r="CA69" s="82"/>
      <c r="CB69" s="82"/>
      <c r="CC69" s="82"/>
      <c r="CD69" s="210"/>
      <c r="CE69" s="82"/>
      <c r="CF69" s="82"/>
      <c r="CG69" s="82"/>
      <c r="CH69" s="210"/>
    </row>
    <row r="70" spans="58:86">
      <c r="BF70" s="209"/>
      <c r="BG70" s="82"/>
      <c r="BH70" s="82"/>
      <c r="BI70" s="82"/>
      <c r="BJ70" s="210"/>
      <c r="BK70" s="82"/>
      <c r="BL70" s="82"/>
      <c r="BM70" s="82"/>
      <c r="BN70" s="210"/>
      <c r="BO70" s="82"/>
      <c r="BP70" s="82"/>
      <c r="BQ70" s="82"/>
      <c r="BR70" s="210"/>
      <c r="BS70" s="82"/>
      <c r="BT70" s="82"/>
      <c r="BU70" s="82"/>
      <c r="BV70" s="210"/>
      <c r="BW70" s="82"/>
      <c r="BX70" s="82"/>
      <c r="BY70" s="82"/>
      <c r="BZ70" s="210"/>
      <c r="CA70" s="82"/>
      <c r="CB70" s="82"/>
      <c r="CC70" s="82"/>
      <c r="CD70" s="210"/>
      <c r="CE70" s="82"/>
      <c r="CF70" s="82"/>
      <c r="CG70" s="82"/>
      <c r="CH70" s="210"/>
    </row>
    <row r="71" spans="58:86">
      <c r="BF71" s="209"/>
      <c r="BG71" s="82"/>
      <c r="BH71" s="82"/>
      <c r="BI71" s="82"/>
      <c r="BJ71" s="210"/>
      <c r="BK71" s="82"/>
      <c r="BL71" s="82"/>
      <c r="BM71" s="82"/>
      <c r="BN71" s="210"/>
      <c r="BO71" s="82"/>
      <c r="BP71" s="82"/>
      <c r="BQ71" s="82"/>
      <c r="BR71" s="210"/>
      <c r="BS71" s="82"/>
      <c r="BT71" s="82"/>
      <c r="BU71" s="82"/>
      <c r="BV71" s="210"/>
      <c r="BW71" s="82"/>
      <c r="BX71" s="82"/>
      <c r="BY71" s="82"/>
      <c r="BZ71" s="210"/>
      <c r="CA71" s="82"/>
      <c r="CB71" s="82"/>
      <c r="CC71" s="82"/>
      <c r="CD71" s="210"/>
      <c r="CE71" s="82"/>
      <c r="CF71" s="82"/>
      <c r="CG71" s="82"/>
      <c r="CH71" s="210"/>
    </row>
    <row r="72" spans="58:86">
      <c r="BF72" s="209"/>
      <c r="BG72" s="82"/>
      <c r="BH72" s="82"/>
      <c r="BI72" s="82"/>
      <c r="BJ72" s="210"/>
      <c r="BK72" s="82"/>
      <c r="BL72" s="82"/>
      <c r="BM72" s="82"/>
      <c r="BN72" s="210"/>
      <c r="BO72" s="82"/>
      <c r="BP72" s="82"/>
      <c r="BQ72" s="82"/>
      <c r="BR72" s="210"/>
      <c r="BS72" s="82"/>
      <c r="BT72" s="82"/>
      <c r="BU72" s="82"/>
      <c r="BV72" s="210"/>
      <c r="BW72" s="82"/>
      <c r="BX72" s="82"/>
      <c r="BY72" s="82"/>
      <c r="BZ72" s="210"/>
      <c r="CA72" s="82"/>
      <c r="CB72" s="82"/>
      <c r="CC72" s="82"/>
      <c r="CD72" s="210"/>
      <c r="CE72" s="82"/>
      <c r="CF72" s="82"/>
      <c r="CG72" s="82"/>
      <c r="CH72" s="210"/>
    </row>
    <row r="73" spans="58:86">
      <c r="BF73" s="209"/>
      <c r="BG73" s="82"/>
      <c r="BH73" s="82"/>
      <c r="BI73" s="82"/>
      <c r="BJ73" s="210"/>
      <c r="BK73" s="82"/>
      <c r="BL73" s="82"/>
      <c r="BM73" s="82"/>
      <c r="BN73" s="210"/>
      <c r="BO73" s="82"/>
      <c r="BP73" s="82"/>
      <c r="BQ73" s="82"/>
      <c r="BR73" s="210"/>
      <c r="BS73" s="82"/>
      <c r="BT73" s="82"/>
      <c r="BU73" s="82"/>
      <c r="BV73" s="210"/>
      <c r="BW73" s="82"/>
      <c r="BX73" s="82"/>
      <c r="BY73" s="82"/>
      <c r="BZ73" s="210"/>
      <c r="CA73" s="82"/>
      <c r="CB73" s="82"/>
      <c r="CC73" s="82"/>
      <c r="CD73" s="210"/>
      <c r="CE73" s="82"/>
      <c r="CF73" s="82"/>
      <c r="CG73" s="82"/>
      <c r="CH73" s="210"/>
    </row>
    <row r="74" spans="58:86">
      <c r="BF74" s="209"/>
      <c r="BG74" s="82"/>
      <c r="BH74" s="82"/>
      <c r="BI74" s="82"/>
      <c r="BJ74" s="210"/>
      <c r="BK74" s="82"/>
      <c r="BL74" s="82"/>
      <c r="BM74" s="82"/>
      <c r="BN74" s="210"/>
      <c r="BO74" s="82"/>
      <c r="BP74" s="82"/>
      <c r="BQ74" s="82"/>
      <c r="BR74" s="210"/>
      <c r="BS74" s="82"/>
      <c r="BT74" s="82"/>
      <c r="BU74" s="82"/>
      <c r="BV74" s="210"/>
      <c r="BW74" s="82"/>
      <c r="BX74" s="82"/>
      <c r="BY74" s="82"/>
      <c r="BZ74" s="210"/>
      <c r="CA74" s="82"/>
      <c r="CB74" s="82"/>
      <c r="CC74" s="82"/>
      <c r="CD74" s="210"/>
      <c r="CE74" s="82"/>
      <c r="CF74" s="82"/>
      <c r="CG74" s="82"/>
      <c r="CH74" s="210"/>
    </row>
    <row r="75" spans="58:86">
      <c r="BF75" s="209"/>
      <c r="BG75" s="82"/>
      <c r="BH75" s="82"/>
      <c r="BI75" s="82"/>
      <c r="BJ75" s="210"/>
      <c r="BK75" s="82"/>
      <c r="BL75" s="82"/>
      <c r="BM75" s="82"/>
      <c r="BN75" s="210"/>
      <c r="BO75" s="82"/>
      <c r="BP75" s="82"/>
      <c r="BQ75" s="82"/>
      <c r="BR75" s="210"/>
      <c r="BS75" s="82"/>
      <c r="BT75" s="82"/>
      <c r="BU75" s="82"/>
      <c r="BV75" s="210"/>
      <c r="BW75" s="82"/>
      <c r="BX75" s="82"/>
      <c r="BY75" s="82"/>
      <c r="BZ75" s="210"/>
      <c r="CA75" s="82"/>
      <c r="CB75" s="82"/>
      <c r="CC75" s="82"/>
      <c r="CD75" s="210"/>
      <c r="CE75" s="82"/>
      <c r="CF75" s="82"/>
      <c r="CG75" s="82"/>
      <c r="CH75" s="210"/>
    </row>
    <row r="76" spans="58:86">
      <c r="BF76" s="209"/>
      <c r="BG76" s="82"/>
      <c r="BH76" s="82"/>
      <c r="BI76" s="82"/>
      <c r="BJ76" s="210"/>
      <c r="BK76" s="82"/>
      <c r="BL76" s="82"/>
      <c r="BM76" s="82"/>
      <c r="BN76" s="210"/>
      <c r="BO76" s="82"/>
      <c r="BP76" s="82"/>
      <c r="BQ76" s="82"/>
      <c r="BR76" s="210"/>
      <c r="BS76" s="82"/>
      <c r="BT76" s="82"/>
      <c r="BU76" s="82"/>
      <c r="BV76" s="210"/>
      <c r="BW76" s="82"/>
      <c r="BX76" s="82"/>
      <c r="BY76" s="82"/>
      <c r="BZ76" s="210"/>
      <c r="CA76" s="82"/>
      <c r="CB76" s="82"/>
      <c r="CC76" s="82"/>
      <c r="CD76" s="210"/>
      <c r="CE76" s="82"/>
      <c r="CF76" s="82"/>
      <c r="CG76" s="82"/>
      <c r="CH76" s="210"/>
    </row>
    <row r="77" spans="58:86">
      <c r="BF77" s="209"/>
      <c r="BG77" s="82"/>
      <c r="BH77" s="82"/>
      <c r="BI77" s="82"/>
      <c r="BJ77" s="210"/>
      <c r="BK77" s="82"/>
      <c r="BL77" s="82"/>
      <c r="BM77" s="82"/>
      <c r="BN77" s="210"/>
      <c r="BO77" s="82"/>
      <c r="BP77" s="82"/>
      <c r="BQ77" s="82"/>
      <c r="BR77" s="210"/>
      <c r="BS77" s="82"/>
      <c r="BT77" s="82"/>
      <c r="BU77" s="82"/>
      <c r="BV77" s="210"/>
      <c r="BW77" s="82"/>
      <c r="BX77" s="82"/>
      <c r="BY77" s="82"/>
      <c r="BZ77" s="210"/>
      <c r="CA77" s="82"/>
      <c r="CB77" s="82"/>
      <c r="CC77" s="82"/>
      <c r="CD77" s="210"/>
      <c r="CE77" s="82"/>
      <c r="CF77" s="82"/>
      <c r="CG77" s="82"/>
      <c r="CH77" s="210"/>
    </row>
    <row r="78" spans="58:86">
      <c r="BF78" s="209"/>
      <c r="BG78" s="82"/>
      <c r="BH78" s="82"/>
      <c r="BI78" s="82"/>
      <c r="BJ78" s="210"/>
      <c r="BK78" s="82"/>
      <c r="BL78" s="82"/>
      <c r="BM78" s="82"/>
      <c r="BN78" s="210"/>
      <c r="BO78" s="82"/>
      <c r="BP78" s="82"/>
      <c r="BQ78" s="82"/>
      <c r="BR78" s="210"/>
      <c r="BS78" s="82"/>
      <c r="BT78" s="82"/>
      <c r="BU78" s="82"/>
      <c r="BV78" s="210"/>
      <c r="BW78" s="82"/>
      <c r="BX78" s="82"/>
      <c r="BY78" s="82"/>
      <c r="BZ78" s="210"/>
      <c r="CA78" s="82"/>
      <c r="CB78" s="82"/>
      <c r="CC78" s="82"/>
      <c r="CD78" s="210"/>
      <c r="CE78" s="82"/>
      <c r="CF78" s="82"/>
      <c r="CG78" s="82"/>
      <c r="CH78" s="210"/>
    </row>
    <row r="79" spans="58:86">
      <c r="BF79" s="209"/>
      <c r="BG79" s="82"/>
      <c r="BH79" s="82"/>
      <c r="BI79" s="82"/>
      <c r="BJ79" s="210"/>
      <c r="BK79" s="82"/>
      <c r="BL79" s="82"/>
      <c r="BM79" s="82"/>
      <c r="BN79" s="210"/>
      <c r="BO79" s="82"/>
      <c r="BP79" s="82"/>
      <c r="BQ79" s="82"/>
      <c r="BR79" s="210"/>
      <c r="BS79" s="82"/>
      <c r="BT79" s="82"/>
      <c r="BU79" s="82"/>
      <c r="BV79" s="210"/>
      <c r="BW79" s="82"/>
      <c r="BX79" s="82"/>
      <c r="BY79" s="82"/>
      <c r="BZ79" s="210"/>
      <c r="CA79" s="82"/>
      <c r="CB79" s="82"/>
      <c r="CC79" s="82"/>
      <c r="CD79" s="210"/>
      <c r="CE79" s="82"/>
      <c r="CF79" s="82"/>
      <c r="CG79" s="82"/>
      <c r="CH79" s="210"/>
    </row>
    <row r="80" spans="58:86">
      <c r="BF80" s="209"/>
      <c r="BG80" s="82"/>
      <c r="BH80" s="82"/>
      <c r="BI80" s="82"/>
      <c r="BJ80" s="210"/>
      <c r="BK80" s="82"/>
      <c r="BL80" s="82"/>
      <c r="BM80" s="82"/>
      <c r="BN80" s="210"/>
      <c r="BO80" s="82"/>
      <c r="BP80" s="82"/>
      <c r="BQ80" s="82"/>
      <c r="BR80" s="210"/>
      <c r="BS80" s="82"/>
      <c r="BT80" s="82"/>
      <c r="BU80" s="82"/>
      <c r="BV80" s="210"/>
      <c r="BW80" s="82"/>
      <c r="BX80" s="82"/>
      <c r="BY80" s="82"/>
      <c r="BZ80" s="210"/>
      <c r="CA80" s="82"/>
      <c r="CB80" s="82"/>
      <c r="CC80" s="82"/>
      <c r="CD80" s="210"/>
      <c r="CE80" s="82"/>
      <c r="CF80" s="82"/>
      <c r="CG80" s="82"/>
      <c r="CH80" s="210"/>
    </row>
    <row r="81" spans="58:86">
      <c r="BF81" s="209"/>
      <c r="BG81" s="82"/>
      <c r="BH81" s="82"/>
      <c r="BI81" s="82"/>
      <c r="BJ81" s="210"/>
      <c r="BK81" s="82"/>
      <c r="BL81" s="82"/>
      <c r="BM81" s="82"/>
      <c r="BN81" s="210"/>
      <c r="BO81" s="82"/>
      <c r="BP81" s="82"/>
      <c r="BQ81" s="82"/>
      <c r="BR81" s="210"/>
      <c r="BS81" s="82"/>
      <c r="BT81" s="82"/>
      <c r="BU81" s="82"/>
      <c r="BV81" s="210"/>
      <c r="BW81" s="82"/>
      <c r="BX81" s="82"/>
      <c r="BY81" s="82"/>
      <c r="BZ81" s="210"/>
      <c r="CA81" s="82"/>
      <c r="CB81" s="82"/>
      <c r="CC81" s="82"/>
      <c r="CD81" s="210"/>
      <c r="CE81" s="82"/>
      <c r="CF81" s="82"/>
      <c r="CG81" s="82"/>
      <c r="CH81" s="210"/>
    </row>
    <row r="82" spans="58:86">
      <c r="BF82" s="209"/>
      <c r="BG82" s="82"/>
      <c r="BH82" s="82"/>
      <c r="BI82" s="82"/>
      <c r="BJ82" s="210"/>
      <c r="BK82" s="82"/>
      <c r="BL82" s="82"/>
      <c r="BM82" s="82"/>
      <c r="BN82" s="210"/>
      <c r="BO82" s="82"/>
      <c r="BP82" s="82"/>
      <c r="BQ82" s="82"/>
      <c r="BR82" s="210"/>
      <c r="BS82" s="82"/>
      <c r="BT82" s="82"/>
      <c r="BU82" s="82"/>
      <c r="BV82" s="210"/>
      <c r="BW82" s="82"/>
      <c r="BX82" s="82"/>
      <c r="BY82" s="82"/>
      <c r="BZ82" s="210"/>
      <c r="CA82" s="82"/>
      <c r="CB82" s="82"/>
      <c r="CC82" s="82"/>
      <c r="CD82" s="210"/>
      <c r="CE82" s="82"/>
      <c r="CF82" s="82"/>
      <c r="CG82" s="82"/>
      <c r="CH82" s="210"/>
    </row>
    <row r="83" spans="58:86">
      <c r="BF83" s="209"/>
      <c r="BG83" s="82"/>
      <c r="BH83" s="82"/>
      <c r="BI83" s="82"/>
      <c r="BJ83" s="210"/>
      <c r="BK83" s="82"/>
      <c r="BL83" s="82"/>
      <c r="BM83" s="82"/>
      <c r="BN83" s="210"/>
      <c r="BO83" s="82"/>
      <c r="BP83" s="82"/>
      <c r="BQ83" s="82"/>
      <c r="BR83" s="210"/>
      <c r="BS83" s="82"/>
      <c r="BT83" s="82"/>
      <c r="BU83" s="82"/>
      <c r="BV83" s="210"/>
      <c r="BW83" s="82"/>
      <c r="BX83" s="82"/>
      <c r="BY83" s="82"/>
      <c r="BZ83" s="210"/>
      <c r="CA83" s="82"/>
      <c r="CB83" s="82"/>
      <c r="CC83" s="82"/>
      <c r="CD83" s="210"/>
      <c r="CE83" s="82"/>
      <c r="CF83" s="82"/>
      <c r="CG83" s="82"/>
      <c r="CH83" s="210"/>
    </row>
    <row r="84" spans="58:86">
      <c r="BF84" s="209"/>
      <c r="BG84" s="82"/>
      <c r="BH84" s="82"/>
      <c r="BI84" s="82"/>
      <c r="BJ84" s="210"/>
      <c r="BK84" s="82"/>
      <c r="BL84" s="82"/>
      <c r="BM84" s="82"/>
      <c r="BN84" s="210"/>
      <c r="BO84" s="82"/>
      <c r="BP84" s="82"/>
      <c r="BQ84" s="82"/>
      <c r="BR84" s="210"/>
      <c r="BS84" s="82"/>
      <c r="BT84" s="82"/>
      <c r="BU84" s="82"/>
      <c r="BV84" s="210"/>
      <c r="BW84" s="82"/>
      <c r="BX84" s="82"/>
      <c r="BY84" s="82"/>
      <c r="BZ84" s="210"/>
      <c r="CA84" s="82"/>
      <c r="CB84" s="82"/>
      <c r="CC84" s="82"/>
      <c r="CD84" s="210"/>
      <c r="CE84" s="82"/>
      <c r="CF84" s="82"/>
      <c r="CG84" s="82"/>
      <c r="CH84" s="210"/>
    </row>
    <row r="85" spans="58:86">
      <c r="BF85" s="209"/>
      <c r="BG85" s="82"/>
      <c r="BH85" s="82"/>
      <c r="BI85" s="82"/>
      <c r="BJ85" s="210"/>
      <c r="BK85" s="82"/>
      <c r="BL85" s="82"/>
      <c r="BM85" s="82"/>
      <c r="BN85" s="210"/>
      <c r="BO85" s="82"/>
      <c r="BP85" s="82"/>
      <c r="BQ85" s="82"/>
      <c r="BR85" s="210"/>
      <c r="BS85" s="82"/>
      <c r="BT85" s="82"/>
      <c r="BU85" s="82"/>
      <c r="BV85" s="210"/>
      <c r="BW85" s="82"/>
      <c r="BX85" s="82"/>
      <c r="BY85" s="82"/>
      <c r="BZ85" s="210"/>
      <c r="CA85" s="82"/>
      <c r="CB85" s="82"/>
      <c r="CC85" s="82"/>
      <c r="CD85" s="210"/>
      <c r="CE85" s="82"/>
      <c r="CF85" s="82"/>
      <c r="CG85" s="82"/>
      <c r="CH85" s="210"/>
    </row>
    <row r="86" spans="58:86">
      <c r="BF86" s="209"/>
      <c r="BG86" s="82"/>
      <c r="BH86" s="82"/>
      <c r="BI86" s="82"/>
      <c r="BJ86" s="210"/>
      <c r="BK86" s="82"/>
      <c r="BL86" s="82"/>
      <c r="BM86" s="82"/>
      <c r="BN86" s="210"/>
      <c r="BO86" s="82"/>
      <c r="BP86" s="82"/>
      <c r="BQ86" s="82"/>
      <c r="BR86" s="210"/>
      <c r="BS86" s="82"/>
      <c r="BT86" s="82"/>
      <c r="BU86" s="82"/>
      <c r="BV86" s="210"/>
      <c r="BW86" s="82"/>
      <c r="BX86" s="82"/>
      <c r="BY86" s="82"/>
      <c r="BZ86" s="210"/>
      <c r="CA86" s="82"/>
      <c r="CB86" s="82"/>
      <c r="CC86" s="82"/>
      <c r="CD86" s="210"/>
      <c r="CE86" s="82"/>
      <c r="CF86" s="82"/>
      <c r="CG86" s="82"/>
      <c r="CH86" s="210"/>
    </row>
    <row r="87" spans="58:86">
      <c r="BF87" s="209"/>
      <c r="BG87" s="82"/>
      <c r="BH87" s="82"/>
      <c r="BI87" s="82"/>
      <c r="BJ87" s="210"/>
      <c r="BK87" s="82"/>
      <c r="BL87" s="82"/>
      <c r="BM87" s="82"/>
      <c r="BN87" s="210"/>
      <c r="BO87" s="82"/>
      <c r="BP87" s="82"/>
      <c r="BQ87" s="82"/>
      <c r="BR87" s="210"/>
      <c r="BS87" s="82"/>
      <c r="BT87" s="82"/>
      <c r="BU87" s="82"/>
      <c r="BV87" s="210"/>
      <c r="BW87" s="82"/>
      <c r="BX87" s="82"/>
      <c r="BY87" s="82"/>
      <c r="BZ87" s="210"/>
      <c r="CA87" s="82"/>
      <c r="CB87" s="82"/>
      <c r="CC87" s="82"/>
      <c r="CD87" s="210"/>
      <c r="CE87" s="82"/>
      <c r="CF87" s="82"/>
      <c r="CG87" s="82"/>
      <c r="CH87" s="210"/>
    </row>
    <row r="88" spans="58:86">
      <c r="BF88" s="209"/>
      <c r="BG88" s="82"/>
      <c r="BH88" s="82"/>
      <c r="BI88" s="82"/>
      <c r="BJ88" s="210"/>
      <c r="BK88" s="82"/>
      <c r="BL88" s="82"/>
      <c r="BM88" s="82"/>
      <c r="BN88" s="210"/>
      <c r="BO88" s="82"/>
      <c r="BP88" s="82"/>
      <c r="BQ88" s="82"/>
      <c r="BR88" s="210"/>
      <c r="BS88" s="82"/>
      <c r="BT88" s="82"/>
      <c r="BU88" s="82"/>
      <c r="BV88" s="210"/>
      <c r="BW88" s="82"/>
      <c r="BX88" s="82"/>
      <c r="BY88" s="82"/>
      <c r="BZ88" s="210"/>
      <c r="CA88" s="82"/>
      <c r="CB88" s="82"/>
      <c r="CC88" s="82"/>
      <c r="CD88" s="210"/>
      <c r="CE88" s="82"/>
      <c r="CF88" s="82"/>
      <c r="CG88" s="82"/>
      <c r="CH88" s="210"/>
    </row>
    <row r="89" spans="58:86">
      <c r="BF89" s="209"/>
      <c r="BG89" s="82"/>
      <c r="BH89" s="82"/>
      <c r="BI89" s="82"/>
      <c r="BJ89" s="210"/>
      <c r="BK89" s="82"/>
      <c r="BL89" s="82"/>
      <c r="BM89" s="82"/>
      <c r="BN89" s="210"/>
      <c r="BO89" s="82"/>
      <c r="BP89" s="82"/>
      <c r="BQ89" s="82"/>
      <c r="BR89" s="210"/>
      <c r="BS89" s="82"/>
      <c r="BT89" s="82"/>
      <c r="BU89" s="82"/>
      <c r="BV89" s="210"/>
      <c r="BW89" s="82"/>
      <c r="BX89" s="82"/>
      <c r="BY89" s="82"/>
      <c r="BZ89" s="210"/>
      <c r="CA89" s="82"/>
      <c r="CB89" s="82"/>
      <c r="CC89" s="82"/>
      <c r="CD89" s="210"/>
      <c r="CE89" s="82"/>
      <c r="CF89" s="82"/>
      <c r="CG89" s="82"/>
      <c r="CH89" s="210"/>
    </row>
    <row r="90" spans="58:86">
      <c r="BF90" s="209"/>
      <c r="BG90" s="82"/>
      <c r="BH90" s="82"/>
      <c r="BI90" s="82"/>
      <c r="BJ90" s="210"/>
      <c r="BK90" s="82"/>
      <c r="BL90" s="82"/>
      <c r="BM90" s="82"/>
      <c r="BN90" s="210"/>
      <c r="BO90" s="82"/>
      <c r="BP90" s="82"/>
      <c r="BQ90" s="82"/>
      <c r="BR90" s="210"/>
      <c r="BS90" s="82"/>
      <c r="BT90" s="82"/>
      <c r="BU90" s="82"/>
      <c r="BV90" s="210"/>
      <c r="BW90" s="82"/>
      <c r="BX90" s="82"/>
      <c r="BY90" s="82"/>
      <c r="BZ90" s="210"/>
      <c r="CA90" s="82"/>
      <c r="CB90" s="82"/>
      <c r="CC90" s="82"/>
      <c r="CD90" s="210"/>
      <c r="CE90" s="82"/>
      <c r="CF90" s="82"/>
      <c r="CG90" s="82"/>
      <c r="CH90" s="210"/>
    </row>
    <row r="91" spans="58:86">
      <c r="BF91" s="209"/>
      <c r="BG91" s="82"/>
      <c r="BH91" s="82"/>
      <c r="BI91" s="82"/>
      <c r="BJ91" s="210"/>
      <c r="BK91" s="82"/>
      <c r="BL91" s="82"/>
      <c r="BM91" s="82"/>
      <c r="BN91" s="210"/>
      <c r="BO91" s="82"/>
      <c r="BP91" s="82"/>
      <c r="BQ91" s="82"/>
      <c r="BR91" s="210"/>
      <c r="BS91" s="82"/>
      <c r="BT91" s="82"/>
      <c r="BU91" s="82"/>
      <c r="BV91" s="210"/>
      <c r="BW91" s="82"/>
      <c r="BX91" s="82"/>
      <c r="BY91" s="82"/>
      <c r="BZ91" s="210"/>
      <c r="CA91" s="82"/>
      <c r="CB91" s="82"/>
      <c r="CC91" s="82"/>
      <c r="CD91" s="210"/>
      <c r="CE91" s="82"/>
      <c r="CF91" s="82"/>
      <c r="CG91" s="82"/>
      <c r="CH91" s="210"/>
    </row>
    <row r="92" spans="58:86">
      <c r="BF92" s="209"/>
      <c r="BG92" s="82"/>
      <c r="BH92" s="82"/>
      <c r="BI92" s="82"/>
      <c r="BJ92" s="210"/>
      <c r="BK92" s="82"/>
      <c r="BL92" s="82"/>
      <c r="BM92" s="82"/>
      <c r="BN92" s="210"/>
      <c r="BO92" s="82"/>
      <c r="BP92" s="82"/>
      <c r="BQ92" s="82"/>
      <c r="BR92" s="210"/>
      <c r="BS92" s="82"/>
      <c r="BT92" s="82"/>
      <c r="BU92" s="82"/>
      <c r="BV92" s="210"/>
      <c r="BW92" s="82"/>
      <c r="BX92" s="82"/>
      <c r="BY92" s="82"/>
      <c r="BZ92" s="210"/>
      <c r="CA92" s="82"/>
      <c r="CB92" s="82"/>
      <c r="CC92" s="82"/>
      <c r="CD92" s="210"/>
      <c r="CE92" s="82"/>
      <c r="CF92" s="82"/>
      <c r="CG92" s="82"/>
      <c r="CH92" s="210"/>
    </row>
    <row r="93" spans="58:86">
      <c r="BF93" s="209"/>
      <c r="BG93" s="82"/>
      <c r="BH93" s="82"/>
      <c r="BI93" s="82"/>
      <c r="BJ93" s="210"/>
      <c r="BK93" s="82"/>
      <c r="BL93" s="82"/>
      <c r="BM93" s="82"/>
      <c r="BN93" s="210"/>
      <c r="BO93" s="82"/>
      <c r="BP93" s="82"/>
      <c r="BQ93" s="82"/>
      <c r="BR93" s="210"/>
      <c r="BS93" s="82"/>
      <c r="BT93" s="82"/>
      <c r="BU93" s="82"/>
      <c r="BV93" s="210"/>
      <c r="BW93" s="82"/>
      <c r="BX93" s="82"/>
      <c r="BY93" s="82"/>
      <c r="BZ93" s="210"/>
      <c r="CA93" s="82"/>
      <c r="CB93" s="82"/>
      <c r="CC93" s="82"/>
      <c r="CD93" s="210"/>
      <c r="CE93" s="82"/>
      <c r="CF93" s="82"/>
      <c r="CG93" s="82"/>
      <c r="CH93" s="210"/>
    </row>
    <row r="94" spans="58:86">
      <c r="BF94" s="209"/>
      <c r="BG94" s="82"/>
      <c r="BH94" s="82"/>
      <c r="BI94" s="82"/>
      <c r="BJ94" s="210"/>
      <c r="BK94" s="82"/>
      <c r="BL94" s="82"/>
      <c r="BM94" s="82"/>
      <c r="BN94" s="210"/>
      <c r="BO94" s="82"/>
      <c r="BP94" s="82"/>
      <c r="BQ94" s="82"/>
      <c r="BR94" s="210"/>
      <c r="BS94" s="82"/>
      <c r="BT94" s="82"/>
      <c r="BU94" s="82"/>
      <c r="BV94" s="210"/>
      <c r="BW94" s="82"/>
      <c r="BX94" s="82"/>
      <c r="BY94" s="82"/>
      <c r="BZ94" s="210"/>
      <c r="CA94" s="82"/>
      <c r="CB94" s="82"/>
      <c r="CC94" s="82"/>
      <c r="CD94" s="210"/>
      <c r="CE94" s="82"/>
      <c r="CF94" s="82"/>
      <c r="CG94" s="82"/>
      <c r="CH94" s="210"/>
    </row>
    <row r="95" spans="58:86">
      <c r="BF95" s="209"/>
      <c r="BG95" s="82"/>
      <c r="BH95" s="82"/>
      <c r="BI95" s="82"/>
      <c r="BJ95" s="210"/>
      <c r="BK95" s="82"/>
      <c r="BL95" s="82"/>
      <c r="BM95" s="82"/>
      <c r="BN95" s="210"/>
      <c r="BO95" s="82"/>
      <c r="BP95" s="82"/>
      <c r="BQ95" s="82"/>
      <c r="BR95" s="210"/>
      <c r="BS95" s="82"/>
      <c r="BT95" s="82"/>
      <c r="BU95" s="82"/>
      <c r="BV95" s="210"/>
      <c r="BW95" s="82"/>
      <c r="BX95" s="82"/>
      <c r="BY95" s="82"/>
      <c r="BZ95" s="210"/>
      <c r="CA95" s="82"/>
      <c r="CB95" s="82"/>
      <c r="CC95" s="82"/>
      <c r="CD95" s="210"/>
      <c r="CE95" s="82"/>
      <c r="CF95" s="82"/>
      <c r="CG95" s="82"/>
      <c r="CH95" s="210"/>
    </row>
    <row r="96" spans="58:86">
      <c r="BF96" s="209"/>
      <c r="BG96" s="82"/>
      <c r="BH96" s="82"/>
      <c r="BI96" s="82"/>
      <c r="BJ96" s="210"/>
      <c r="BK96" s="82"/>
      <c r="BL96" s="82"/>
      <c r="BM96" s="82"/>
      <c r="BN96" s="210"/>
      <c r="BO96" s="82"/>
      <c r="BP96" s="82"/>
      <c r="BQ96" s="82"/>
      <c r="BR96" s="210"/>
      <c r="BS96" s="82"/>
      <c r="BT96" s="82"/>
      <c r="BU96" s="82"/>
      <c r="BV96" s="210"/>
      <c r="BW96" s="82"/>
      <c r="BX96" s="82"/>
      <c r="BY96" s="82"/>
      <c r="BZ96" s="210"/>
      <c r="CA96" s="82"/>
      <c r="CB96" s="82"/>
      <c r="CC96" s="82"/>
      <c r="CD96" s="210"/>
      <c r="CE96" s="82"/>
      <c r="CF96" s="82"/>
      <c r="CG96" s="82"/>
      <c r="CH96" s="210"/>
    </row>
  </sheetData>
  <mergeCells count="28">
    <mergeCell ref="AM1:AO1"/>
    <mergeCell ref="AQ1:AS1"/>
    <mergeCell ref="AU1:AW1"/>
    <mergeCell ref="AY1:BA1"/>
    <mergeCell ref="BC1:BE1"/>
    <mergeCell ref="S1:U1"/>
    <mergeCell ref="W1:Y1"/>
    <mergeCell ref="AA1:AC1"/>
    <mergeCell ref="AE1:AG1"/>
    <mergeCell ref="AI1:AK1"/>
    <mergeCell ref="AM19:AO19"/>
    <mergeCell ref="AQ19:AS19"/>
    <mergeCell ref="AU19:AW19"/>
    <mergeCell ref="AY19:BA19"/>
    <mergeCell ref="BC19:BE19"/>
    <mergeCell ref="S19:U19"/>
    <mergeCell ref="W19:Y19"/>
    <mergeCell ref="AA19:AC19"/>
    <mergeCell ref="AE19:AG19"/>
    <mergeCell ref="AI19:AK19"/>
    <mergeCell ref="C19:E19"/>
    <mergeCell ref="G19:I19"/>
    <mergeCell ref="K19:M19"/>
    <mergeCell ref="O19:Q19"/>
    <mergeCell ref="C1:E1"/>
    <mergeCell ref="G1:I1"/>
    <mergeCell ref="K1:M1"/>
    <mergeCell ref="O1:Q1"/>
  </mergeCells>
  <phoneticPr fontId="104" type="noConversion"/>
  <conditionalFormatting sqref="K3:M16">
    <cfRule type="colorScale" priority="23">
      <colorScale>
        <cfvo type="min"/>
        <cfvo type="max"/>
        <color rgb="FFFCFCFF"/>
        <color rgb="FF63BE7B"/>
      </colorScale>
    </cfRule>
  </conditionalFormatting>
  <conditionalFormatting sqref="C3:E16">
    <cfRule type="colorScale" priority="24">
      <colorScale>
        <cfvo type="min"/>
        <cfvo type="max"/>
        <color rgb="FFFCFCFF"/>
        <color rgb="FF63BE7B"/>
      </colorScale>
    </cfRule>
  </conditionalFormatting>
  <conditionalFormatting sqref="G3:I16">
    <cfRule type="colorScale" priority="25">
      <colorScale>
        <cfvo type="min"/>
        <cfvo type="max"/>
        <color rgb="FFFCFCFF"/>
        <color rgb="FF63BE7B"/>
      </colorScale>
    </cfRule>
  </conditionalFormatting>
  <conditionalFormatting sqref="O3:Q16">
    <cfRule type="colorScale" priority="11">
      <colorScale>
        <cfvo type="min"/>
        <cfvo type="max"/>
        <color rgb="FFFCFCFF"/>
        <color rgb="FF63BE7B"/>
      </colorScale>
    </cfRule>
  </conditionalFormatting>
  <conditionalFormatting sqref="S3:U16">
    <cfRule type="colorScale" priority="10">
      <colorScale>
        <cfvo type="min"/>
        <cfvo type="max"/>
        <color rgb="FFFCFCFF"/>
        <color rgb="FF63BE7B"/>
      </colorScale>
    </cfRule>
  </conditionalFormatting>
  <conditionalFormatting sqref="W3:Y16">
    <cfRule type="colorScale" priority="9">
      <colorScale>
        <cfvo type="min"/>
        <cfvo type="max"/>
        <color rgb="FFFCFCFF"/>
        <color rgb="FF63BE7B"/>
      </colorScale>
    </cfRule>
  </conditionalFormatting>
  <conditionalFormatting sqref="AA3:AC16">
    <cfRule type="colorScale" priority="8">
      <colorScale>
        <cfvo type="min"/>
        <cfvo type="max"/>
        <color rgb="FFFCFCFF"/>
        <color rgb="FF63BE7B"/>
      </colorScale>
    </cfRule>
  </conditionalFormatting>
  <conditionalFormatting sqref="AE3:AG16">
    <cfRule type="colorScale" priority="7">
      <colorScale>
        <cfvo type="min"/>
        <cfvo type="max"/>
        <color rgb="FFFCFCFF"/>
        <color rgb="FF63BE7B"/>
      </colorScale>
    </cfRule>
  </conditionalFormatting>
  <conditionalFormatting sqref="AI3:AK16">
    <cfRule type="colorScale" priority="6">
      <colorScale>
        <cfvo type="min"/>
        <cfvo type="max"/>
        <color rgb="FFFCFCFF"/>
        <color rgb="FF63BE7B"/>
      </colorScale>
    </cfRule>
  </conditionalFormatting>
  <conditionalFormatting sqref="AM3:AO16">
    <cfRule type="colorScale" priority="5">
      <colorScale>
        <cfvo type="min"/>
        <cfvo type="max"/>
        <color rgb="FFFCFCFF"/>
        <color rgb="FF63BE7B"/>
      </colorScale>
    </cfRule>
  </conditionalFormatting>
  <conditionalFormatting sqref="AQ3:AS16">
    <cfRule type="colorScale" priority="4">
      <colorScale>
        <cfvo type="min"/>
        <cfvo type="max"/>
        <color rgb="FFFCFCFF"/>
        <color rgb="FF63BE7B"/>
      </colorScale>
    </cfRule>
  </conditionalFormatting>
  <conditionalFormatting sqref="AU3:AW16">
    <cfRule type="colorScale" priority="3">
      <colorScale>
        <cfvo type="min"/>
        <cfvo type="max"/>
        <color rgb="FFFCFCFF"/>
        <color rgb="FF63BE7B"/>
      </colorScale>
    </cfRule>
  </conditionalFormatting>
  <conditionalFormatting sqref="AY3:BA16">
    <cfRule type="colorScale" priority="2">
      <colorScale>
        <cfvo type="min"/>
        <cfvo type="max"/>
        <color rgb="FFFCFCFF"/>
        <color rgb="FF63BE7B"/>
      </colorScale>
    </cfRule>
  </conditionalFormatting>
  <conditionalFormatting sqref="BC3:BE16">
    <cfRule type="colorScale" priority="1">
      <colorScale>
        <cfvo type="min"/>
        <cfvo type="max"/>
        <color rgb="FFFCFCFF"/>
        <color rgb="FF63BE7B"/>
      </colorScale>
    </cfRule>
  </conditionalFormatting>
  <pageMargins left="0.7" right="0.7" top="0.75" bottom="0.75" header="0.3" footer="0.3"/>
  <pageSetup orientation="portrait" verticalDpi="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0070C0"/>
  </sheetPr>
  <dimension ref="A1:DB99"/>
  <sheetViews>
    <sheetView workbookViewId="0">
      <pane xSplit="2" ySplit="1" topLeftCell="S56" activePane="bottomRight" state="frozen"/>
      <selection pane="topRight" activeCell="C1" sqref="C1"/>
      <selection pane="bottomLeft" activeCell="A2" sqref="A2"/>
      <selection pane="bottomRight" activeCell="AB93" sqref="AB93"/>
    </sheetView>
  </sheetViews>
  <sheetFormatPr defaultRowHeight="12.75"/>
  <cols>
    <col min="2" max="2" width="3.7109375" customWidth="1"/>
    <col min="6" max="6" width="1.7109375" customWidth="1"/>
    <col min="10" max="10" width="1.7109375" customWidth="1"/>
    <col min="14" max="14" width="1.7109375" customWidth="1"/>
    <col min="18" max="18" width="1.7109375" customWidth="1"/>
    <col min="22" max="22" width="1.7109375" customWidth="1"/>
    <col min="26" max="26" width="1.7109375" customWidth="1"/>
    <col min="27" max="29" width="8.85546875" customWidth="1"/>
    <col min="30" max="30" width="1.7109375" customWidth="1"/>
    <col min="31" max="33" width="8.85546875" customWidth="1"/>
    <col min="34" max="34" width="1.7109375" customWidth="1"/>
    <col min="35" max="37" width="8.85546875" customWidth="1"/>
    <col min="38" max="38" width="1.7109375" customWidth="1"/>
    <col min="39" max="41" width="8.85546875" customWidth="1"/>
    <col min="42" max="42" width="1.7109375" customWidth="1"/>
    <col min="46" max="46" width="1.7109375" customWidth="1"/>
    <col min="50" max="50" width="1.7109375" customWidth="1"/>
    <col min="54" max="54" width="1.7109375" customWidth="1"/>
    <col min="58" max="58" width="8.85546875" style="307"/>
    <col min="62" max="62" width="1.7109375" customWidth="1"/>
    <col min="66" max="66" width="1.7109375" customWidth="1"/>
    <col min="70" max="70" width="1.7109375" customWidth="1"/>
    <col min="74" max="74" width="1.7109375" customWidth="1"/>
    <col min="78" max="78" width="1.7109375" customWidth="1"/>
    <col min="82" max="82" width="1.7109375" customWidth="1"/>
    <col min="86" max="86" width="1.7109375" customWidth="1"/>
  </cols>
  <sheetData>
    <row r="1" spans="1:106" s="290" customFormat="1" ht="12.95" customHeight="1">
      <c r="C1" s="291" t="s">
        <v>549</v>
      </c>
      <c r="D1" s="292"/>
      <c r="E1" s="292"/>
      <c r="F1" s="293"/>
      <c r="G1" s="291" t="s">
        <v>550</v>
      </c>
      <c r="H1" s="292"/>
      <c r="I1" s="292"/>
      <c r="J1" s="294"/>
      <c r="K1" s="291" t="s">
        <v>551</v>
      </c>
      <c r="L1" s="292"/>
      <c r="M1" s="292"/>
      <c r="O1" s="291" t="s">
        <v>552</v>
      </c>
      <c r="P1" s="292"/>
      <c r="Q1" s="292"/>
      <c r="S1" s="291" t="s">
        <v>553</v>
      </c>
      <c r="T1" s="292"/>
      <c r="U1" s="292"/>
      <c r="W1" s="291" t="s">
        <v>554</v>
      </c>
      <c r="X1" s="292"/>
      <c r="Y1" s="292"/>
      <c r="Z1" s="294"/>
      <c r="AA1" s="291" t="s">
        <v>555</v>
      </c>
      <c r="AB1" s="292"/>
      <c r="AC1" s="292"/>
      <c r="AD1" s="294"/>
      <c r="AE1" s="291" t="s">
        <v>556</v>
      </c>
      <c r="AF1" s="292"/>
      <c r="AG1" s="292"/>
      <c r="AH1" s="294"/>
      <c r="AI1" s="291" t="s">
        <v>557</v>
      </c>
      <c r="AJ1" s="292"/>
      <c r="AK1" s="292"/>
      <c r="AL1" s="294"/>
      <c r="AM1" s="291" t="s">
        <v>558</v>
      </c>
      <c r="AN1" s="292"/>
      <c r="AO1" s="292"/>
      <c r="AP1" s="294"/>
      <c r="AQ1" s="291" t="s">
        <v>559</v>
      </c>
      <c r="AR1" s="292"/>
      <c r="AS1" s="292"/>
      <c r="AT1" s="294"/>
      <c r="AU1" s="291" t="s">
        <v>560</v>
      </c>
      <c r="AV1" s="292"/>
      <c r="AW1" s="292"/>
      <c r="AX1" s="294"/>
      <c r="AY1" s="291" t="s">
        <v>561</v>
      </c>
      <c r="AZ1" s="292"/>
      <c r="BA1" s="292"/>
      <c r="BB1" s="294"/>
      <c r="BC1" s="296" t="s">
        <v>562</v>
      </c>
      <c r="BD1" s="292"/>
      <c r="BE1" s="292"/>
      <c r="BF1" s="303"/>
      <c r="BG1" s="291" t="s">
        <v>557</v>
      </c>
      <c r="BH1" s="292"/>
      <c r="BI1" s="292"/>
      <c r="BJ1" s="294"/>
      <c r="BK1" s="291" t="s">
        <v>563</v>
      </c>
      <c r="BL1" s="292"/>
      <c r="BM1" s="292"/>
      <c r="BN1" s="294"/>
      <c r="BO1" s="291" t="s">
        <v>564</v>
      </c>
      <c r="BP1" s="292"/>
      <c r="BQ1" s="292"/>
      <c r="BR1" s="294"/>
      <c r="BS1" s="291" t="s">
        <v>565</v>
      </c>
      <c r="BT1" s="292"/>
      <c r="BU1" s="292"/>
      <c r="BW1" s="291" t="s">
        <v>566</v>
      </c>
      <c r="BX1" s="292"/>
      <c r="BY1" s="292"/>
      <c r="CA1" s="291" t="s">
        <v>567</v>
      </c>
      <c r="CB1" s="292"/>
      <c r="CC1" s="292"/>
      <c r="CE1" s="291" t="s">
        <v>568</v>
      </c>
      <c r="CF1" s="292"/>
      <c r="CG1" s="292"/>
    </row>
    <row r="2" spans="1:106">
      <c r="A2" s="171" t="s">
        <v>204</v>
      </c>
      <c r="B2" s="82"/>
      <c r="C2" s="156" t="s">
        <v>308</v>
      </c>
      <c r="D2" s="156" t="s">
        <v>435</v>
      </c>
      <c r="E2" s="156" t="s">
        <v>309</v>
      </c>
      <c r="F2" s="171"/>
      <c r="G2" s="156" t="s">
        <v>308</v>
      </c>
      <c r="H2" s="156" t="s">
        <v>435</v>
      </c>
      <c r="I2" s="156" t="s">
        <v>309</v>
      </c>
      <c r="J2" s="156"/>
      <c r="K2" s="156" t="s">
        <v>308</v>
      </c>
      <c r="L2" s="156" t="s">
        <v>435</v>
      </c>
      <c r="M2" s="156" t="s">
        <v>309</v>
      </c>
      <c r="N2" s="82"/>
      <c r="O2" s="156" t="s">
        <v>308</v>
      </c>
      <c r="P2" s="156" t="s">
        <v>435</v>
      </c>
      <c r="Q2" s="156" t="s">
        <v>309</v>
      </c>
      <c r="R2" s="82"/>
      <c r="S2" s="156" t="s">
        <v>308</v>
      </c>
      <c r="T2" s="156" t="s">
        <v>435</v>
      </c>
      <c r="U2" s="156" t="s">
        <v>309</v>
      </c>
      <c r="V2" s="82"/>
      <c r="W2" s="156" t="s">
        <v>308</v>
      </c>
      <c r="X2" s="156" t="s">
        <v>435</v>
      </c>
      <c r="Y2" s="156" t="s">
        <v>309</v>
      </c>
      <c r="Z2" s="156"/>
      <c r="AA2" s="475" t="s">
        <v>308</v>
      </c>
      <c r="AB2" s="475" t="s">
        <v>435</v>
      </c>
      <c r="AC2" s="475" t="s">
        <v>309</v>
      </c>
      <c r="AD2" s="156"/>
      <c r="AE2" s="156" t="s">
        <v>308</v>
      </c>
      <c r="AF2" s="156" t="s">
        <v>435</v>
      </c>
      <c r="AG2" s="156" t="s">
        <v>309</v>
      </c>
      <c r="AH2" s="156"/>
      <c r="AI2" s="156" t="s">
        <v>308</v>
      </c>
      <c r="AJ2" s="156" t="s">
        <v>435</v>
      </c>
      <c r="AK2" s="156" t="s">
        <v>309</v>
      </c>
      <c r="AL2" s="156"/>
      <c r="AM2" s="156" t="s">
        <v>308</v>
      </c>
      <c r="AN2" s="156" t="s">
        <v>435</v>
      </c>
      <c r="AO2" s="156" t="s">
        <v>309</v>
      </c>
      <c r="AP2" s="156"/>
      <c r="AQ2" s="156" t="s">
        <v>308</v>
      </c>
      <c r="AR2" s="156" t="s">
        <v>435</v>
      </c>
      <c r="AS2" s="156" t="s">
        <v>309</v>
      </c>
      <c r="AT2" s="156"/>
      <c r="AU2" s="156" t="s">
        <v>308</v>
      </c>
      <c r="AV2" s="156" t="s">
        <v>435</v>
      </c>
      <c r="AW2" s="156" t="s">
        <v>309</v>
      </c>
      <c r="AX2" s="156"/>
      <c r="AY2" s="156" t="s">
        <v>308</v>
      </c>
      <c r="AZ2" s="156" t="s">
        <v>435</v>
      </c>
      <c r="BA2" s="156" t="s">
        <v>309</v>
      </c>
      <c r="BB2" s="156"/>
      <c r="BC2" s="156" t="s">
        <v>308</v>
      </c>
      <c r="BD2" s="156" t="s">
        <v>435</v>
      </c>
      <c r="BE2" s="156" t="s">
        <v>309</v>
      </c>
      <c r="BF2" s="304"/>
      <c r="BG2" s="156" t="s">
        <v>308</v>
      </c>
      <c r="BH2" s="156" t="s">
        <v>435</v>
      </c>
      <c r="BI2" s="156" t="s">
        <v>309</v>
      </c>
      <c r="BJ2" s="156"/>
      <c r="BK2" s="156" t="s">
        <v>308</v>
      </c>
      <c r="BL2" s="156" t="s">
        <v>435</v>
      </c>
      <c r="BM2" s="156" t="s">
        <v>309</v>
      </c>
      <c r="BN2" s="156"/>
      <c r="BO2" s="156" t="s">
        <v>308</v>
      </c>
      <c r="BP2" s="156" t="s">
        <v>435</v>
      </c>
      <c r="BQ2" s="156" t="s">
        <v>309</v>
      </c>
      <c r="BR2" s="156"/>
      <c r="BS2" s="156" t="s">
        <v>308</v>
      </c>
      <c r="BT2" s="156" t="s">
        <v>435</v>
      </c>
      <c r="BU2" s="156" t="s">
        <v>309</v>
      </c>
      <c r="BV2" s="82"/>
      <c r="BW2" s="156" t="s">
        <v>308</v>
      </c>
      <c r="BX2" s="156" t="s">
        <v>435</v>
      </c>
      <c r="BY2" s="156" t="s">
        <v>309</v>
      </c>
      <c r="BZ2" s="82"/>
      <c r="CA2" s="156" t="s">
        <v>308</v>
      </c>
      <c r="CB2" s="156" t="s">
        <v>435</v>
      </c>
      <c r="CC2" s="156" t="s">
        <v>309</v>
      </c>
      <c r="CD2" s="82"/>
      <c r="CE2" s="156" t="s">
        <v>308</v>
      </c>
      <c r="CF2" s="156" t="s">
        <v>435</v>
      </c>
      <c r="CG2" s="156" t="s">
        <v>309</v>
      </c>
      <c r="CH2" s="82"/>
      <c r="CI2" s="82"/>
      <c r="CJ2" s="82"/>
      <c r="CK2" s="82"/>
      <c r="CL2" s="82"/>
      <c r="CM2" s="82"/>
      <c r="CN2" s="82"/>
      <c r="CO2" s="82"/>
      <c r="CP2" s="82"/>
      <c r="CQ2" s="82"/>
      <c r="CR2" s="82"/>
      <c r="CS2" s="82"/>
      <c r="CT2" s="82"/>
      <c r="CU2" s="82"/>
      <c r="CV2" s="82"/>
      <c r="CW2" s="82"/>
      <c r="CX2" s="82"/>
      <c r="CY2" s="82"/>
      <c r="CZ2" s="82"/>
      <c r="DA2" s="82"/>
      <c r="DB2" s="82"/>
    </row>
    <row r="3" spans="1:106">
      <c r="A3" s="308" t="s">
        <v>236</v>
      </c>
      <c r="B3" s="301"/>
      <c r="C3" s="172">
        <f>'US Child Data'!C3</f>
        <v>2.8576321199999994</v>
      </c>
      <c r="D3" s="172">
        <f>'US Child Data'!D3</f>
        <v>5.3070310799999998</v>
      </c>
      <c r="E3" s="172">
        <f>'US Child Data'!E3</f>
        <v>7.7564300399999997</v>
      </c>
      <c r="F3" s="171"/>
      <c r="G3" s="172">
        <f>'US Child Data'!G3</f>
        <v>48.006</v>
      </c>
      <c r="H3" s="172">
        <f>'US Child Data'!H3</f>
        <v>56.134</v>
      </c>
      <c r="I3" s="172">
        <f>'US Child Data'!I3</f>
        <v>64.262</v>
      </c>
      <c r="J3" s="157"/>
      <c r="K3" s="172">
        <f>'US Child Data'!K3</f>
        <v>33.75</v>
      </c>
      <c r="L3" s="172">
        <f>'US Child Data'!L3</f>
        <v>39.845999999999997</v>
      </c>
      <c r="M3" s="172">
        <f>'US Child Data'!M3</f>
        <v>45.942</v>
      </c>
      <c r="N3" s="157"/>
      <c r="O3" s="172">
        <f>'US Child Data'!O3</f>
        <v>23.59</v>
      </c>
      <c r="P3" s="172">
        <f>'US Child Data'!P3</f>
        <v>27.146000000000001</v>
      </c>
      <c r="Q3" s="172">
        <f>'US Child Data'!Q3</f>
        <v>30.702000000000002</v>
      </c>
      <c r="R3" s="157"/>
      <c r="S3" s="172">
        <f>'US Child Data'!S3</f>
        <v>9.3979999999999997</v>
      </c>
      <c r="T3" s="172">
        <f>'US Child Data'!T3</f>
        <v>13.462</v>
      </c>
      <c r="U3" s="172">
        <f>'US Child Data'!U3</f>
        <v>17.526</v>
      </c>
      <c r="V3" s="157"/>
      <c r="W3" s="172">
        <f>'US Child Data'!W3</f>
        <v>12.7</v>
      </c>
      <c r="X3" s="172">
        <f>'US Child Data'!X3</f>
        <v>16.256</v>
      </c>
      <c r="Y3" s="172">
        <f>'US Child Data'!Y3</f>
        <v>19.812000000000001</v>
      </c>
      <c r="Z3" s="331">
        <v>0</v>
      </c>
      <c r="AA3" s="172">
        <f>'US Child Data'!AA3</f>
        <v>8.1213959999999989</v>
      </c>
      <c r="AB3" s="172">
        <f>'US Child Data'!AB3</f>
        <v>9.6418400000000002</v>
      </c>
      <c r="AC3" s="172">
        <f>'US Child Data'!AC3</f>
        <v>11.162284</v>
      </c>
      <c r="AD3" s="86"/>
      <c r="AE3" s="172">
        <f>'US Child Data'!AE3</f>
        <v>4.8259999999999996</v>
      </c>
      <c r="AF3" s="172">
        <f>'US Child Data'!AF3</f>
        <v>5.8419999999999996</v>
      </c>
      <c r="AG3" s="172">
        <f>'US Child Data'!AG3</f>
        <v>6.8579999999999997</v>
      </c>
      <c r="AH3" s="86"/>
      <c r="AI3" s="172">
        <f>'US Child Data'!AI3</f>
        <v>9.1120000000000001</v>
      </c>
      <c r="AJ3" s="172">
        <f>'US Child Data'!AJ3</f>
        <v>11.144</v>
      </c>
      <c r="AK3" s="172">
        <f>'US Child Data'!AK3</f>
        <v>13.176</v>
      </c>
      <c r="AL3" s="86"/>
      <c r="AM3" s="172">
        <f>'US Child Data'!AM3</f>
        <v>-11.611360000000001</v>
      </c>
      <c r="AN3" s="172">
        <f>'US Child Data'!AN3</f>
        <v>-14.293600000000001</v>
      </c>
      <c r="AO3" s="172">
        <f>'US Child Data'!AO3</f>
        <v>-16.975839999999998</v>
      </c>
      <c r="AP3" s="86"/>
      <c r="AQ3" s="172">
        <f>'US Child Data'!AQ3</f>
        <v>3.0480000000000005</v>
      </c>
      <c r="AR3" s="172">
        <f>'US Child Data'!AR3</f>
        <v>5.3340000000000005</v>
      </c>
      <c r="AS3" s="172">
        <f>'US Child Data'!AS3</f>
        <v>7.620000000000001</v>
      </c>
      <c r="AT3" s="86"/>
      <c r="AU3" s="172">
        <f>'US Child Data'!AU3</f>
        <v>21.222000000000001</v>
      </c>
      <c r="AV3" s="172">
        <f>'US Child Data'!AV3</f>
        <v>23.622000000000003</v>
      </c>
      <c r="AW3" s="172">
        <f>'US Child Data'!AW3</f>
        <v>26.022000000000006</v>
      </c>
      <c r="AX3" s="86"/>
      <c r="AY3" s="172">
        <f>'US Child Data'!AY3</f>
        <v>12.170000000000002</v>
      </c>
      <c r="AZ3" s="172">
        <f>'US Child Data'!AZ3</f>
        <v>13.97</v>
      </c>
      <c r="BA3" s="172">
        <f>'US Child Data'!BA3</f>
        <v>15.77</v>
      </c>
      <c r="BB3" s="86"/>
      <c r="BC3" s="172">
        <f>'US Child Data'!BC3</f>
        <v>12.978000000000002</v>
      </c>
      <c r="BD3" s="172">
        <f>'US Child Data'!BD3</f>
        <v>14.478000000000002</v>
      </c>
      <c r="BE3" s="172">
        <f>'US Child Data'!BE3</f>
        <v>15.978000000000002</v>
      </c>
      <c r="BF3" s="305"/>
      <c r="BG3" s="172">
        <f>'US Child Data'!BG3</f>
        <v>-9.1120000000000001</v>
      </c>
      <c r="BH3" s="172">
        <f>'US Child Data'!BH3</f>
        <v>-11.144</v>
      </c>
      <c r="BI3" s="172">
        <f>'US Child Data'!BI3</f>
        <v>-13.176</v>
      </c>
      <c r="BJ3" s="157"/>
      <c r="BK3" s="172">
        <f>'US Child Data'!BK3</f>
        <v>-4.6989999999999998</v>
      </c>
      <c r="BL3" s="172">
        <f>'US Child Data'!BL3</f>
        <v>-6.7309999999999999</v>
      </c>
      <c r="BM3" s="172">
        <f>'US Child Data'!BM3</f>
        <v>-8.7629999999999999</v>
      </c>
      <c r="BN3" s="157"/>
      <c r="BO3" s="172">
        <f>'US Child Data'!BO3</f>
        <v>4.6989999999999998</v>
      </c>
      <c r="BP3" s="172">
        <f>'US Child Data'!BP3</f>
        <v>6.7309999999999999</v>
      </c>
      <c r="BQ3" s="172">
        <f>'US Child Data'!BQ3</f>
        <v>8.7629999999999999</v>
      </c>
      <c r="BR3" s="157"/>
      <c r="BS3" s="172">
        <f>'US Child Data'!BS3</f>
        <v>-6.35</v>
      </c>
      <c r="BT3" s="172">
        <f>'US Child Data'!BT3</f>
        <v>-8.1280000000000001</v>
      </c>
      <c r="BU3" s="172">
        <f>'US Child Data'!BU3</f>
        <v>-9.9060000000000006</v>
      </c>
      <c r="BV3" s="157"/>
      <c r="BW3" s="172">
        <f>'US Child Data'!BW3</f>
        <v>6.35</v>
      </c>
      <c r="BX3" s="172">
        <f>'US Child Data'!BX3</f>
        <v>8.1280000000000001</v>
      </c>
      <c r="BY3" s="172">
        <f>'US Child Data'!BY3</f>
        <v>9.9060000000000006</v>
      </c>
      <c r="BZ3" s="82"/>
      <c r="CA3" s="172">
        <f>'US Child Data'!CA3</f>
        <v>-2.4129999999999998</v>
      </c>
      <c r="CB3" s="172">
        <f>'US Child Data'!CB3</f>
        <v>-2.9209999999999998</v>
      </c>
      <c r="CC3" s="172">
        <f>'US Child Data'!CC3</f>
        <v>-3.4289999999999998</v>
      </c>
      <c r="CD3" s="82"/>
      <c r="CE3" s="172">
        <f>'US Child Data'!CE3</f>
        <v>2.4129999999999998</v>
      </c>
      <c r="CF3" s="172">
        <f>'US Child Data'!CF3</f>
        <v>2.9209999999999998</v>
      </c>
      <c r="CG3" s="172">
        <f>'US Child Data'!CG3</f>
        <v>3.4289999999999998</v>
      </c>
      <c r="CH3" s="82"/>
      <c r="CI3" s="82"/>
      <c r="CJ3" s="82"/>
      <c r="CK3" s="82"/>
      <c r="CL3" s="82"/>
      <c r="CM3" s="82"/>
      <c r="CN3" s="82"/>
      <c r="CO3" s="82"/>
      <c r="CP3" s="82"/>
      <c r="CQ3" s="82"/>
      <c r="CR3" s="82"/>
      <c r="CS3" s="82"/>
      <c r="CT3" s="82"/>
      <c r="CU3" s="82"/>
      <c r="CV3" s="82"/>
      <c r="CW3" s="82"/>
      <c r="CX3" s="82"/>
      <c r="CY3" s="82"/>
      <c r="CZ3" s="82"/>
      <c r="DA3" s="82"/>
      <c r="DB3" s="82"/>
    </row>
    <row r="4" spans="1:106">
      <c r="A4" s="308" t="s">
        <v>237</v>
      </c>
      <c r="B4" s="301"/>
      <c r="C4" s="172">
        <f>'US Child Data'!C4</f>
        <v>4.9895163999999994</v>
      </c>
      <c r="D4" s="172">
        <f>'US Child Data'!D4</f>
        <v>7.8017892799999995</v>
      </c>
      <c r="E4" s="172">
        <f>'US Child Data'!E4</f>
        <v>0</v>
      </c>
      <c r="F4" s="171"/>
      <c r="G4" s="172">
        <f>'US Child Data'!G4</f>
        <v>57.404000000000003</v>
      </c>
      <c r="H4" s="172">
        <f>'US Child Data'!H4</f>
        <v>67.055999999999997</v>
      </c>
      <c r="I4" s="172">
        <f>'US Child Data'!I4</f>
        <v>0</v>
      </c>
      <c r="J4" s="157"/>
      <c r="K4" s="172">
        <f>'US Child Data'!K4</f>
        <v>40.353999999999999</v>
      </c>
      <c r="L4" s="172">
        <f>'US Child Data'!L4</f>
        <v>45.942</v>
      </c>
      <c r="M4" s="172">
        <f>'US Child Data'!M4</f>
        <v>0</v>
      </c>
      <c r="N4" s="157"/>
      <c r="O4" s="172">
        <f>'US Child Data'!O4</f>
        <v>26.384</v>
      </c>
      <c r="P4" s="172">
        <f>'US Child Data'!P4</f>
        <v>30.956000000000003</v>
      </c>
      <c r="Q4" s="172">
        <f>'US Child Data'!Q4</f>
        <v>0</v>
      </c>
      <c r="R4" s="157"/>
      <c r="S4" s="172">
        <f>'US Child Data'!S4</f>
        <v>12.446</v>
      </c>
      <c r="T4" s="172">
        <f>'US Child Data'!T4</f>
        <v>15.494</v>
      </c>
      <c r="U4" s="172">
        <f>'US Child Data'!U4</f>
        <v>0</v>
      </c>
      <c r="V4" s="157"/>
      <c r="W4" s="172">
        <f>'US Child Data'!W4</f>
        <v>16.510000000000002</v>
      </c>
      <c r="X4" s="172">
        <f>'US Child Data'!X4</f>
        <v>19.558</v>
      </c>
      <c r="Y4" s="172">
        <f>'US Child Data'!Y4</f>
        <v>0</v>
      </c>
      <c r="Z4" s="331">
        <v>0</v>
      </c>
      <c r="AA4" s="172">
        <f>'US Child Data'!AA4</f>
        <v>8.9001599999999996</v>
      </c>
      <c r="AB4" s="172">
        <f>'US Child Data'!AB4</f>
        <v>10.383520000000001</v>
      </c>
      <c r="AC4" s="172">
        <f>'US Child Data'!AC4</f>
        <v>0</v>
      </c>
      <c r="AD4" s="86"/>
      <c r="AE4" s="172">
        <f>'US Child Data'!AE4</f>
        <v>5.3339999999999996</v>
      </c>
      <c r="AF4" s="172">
        <f>'US Child Data'!AF4</f>
        <v>6.35</v>
      </c>
      <c r="AG4" s="172">
        <f>'US Child Data'!AG4</f>
        <v>0</v>
      </c>
      <c r="AH4" s="86"/>
      <c r="AI4" s="172">
        <f>'US Child Data'!AI4</f>
        <v>10.128</v>
      </c>
      <c r="AJ4" s="172">
        <f>'US Child Data'!AJ4</f>
        <v>12.16</v>
      </c>
      <c r="AK4" s="172">
        <f>'US Child Data'!AK4</f>
        <v>0</v>
      </c>
      <c r="AL4" s="86"/>
      <c r="AM4" s="172">
        <f>'US Child Data'!AM4</f>
        <v>-13.399520000000001</v>
      </c>
      <c r="AN4" s="172">
        <f>'US Child Data'!AN4</f>
        <v>-16.975839999999998</v>
      </c>
      <c r="AO4" s="172">
        <f>'US Child Data'!AO4</f>
        <v>0</v>
      </c>
      <c r="AP4" s="86"/>
      <c r="AQ4" s="172">
        <f>'US Child Data'!AQ4</f>
        <v>3.3019999999999996</v>
      </c>
      <c r="AR4" s="172">
        <f>'US Child Data'!AR4</f>
        <v>6.35</v>
      </c>
      <c r="AS4" s="172">
        <f>'US Child Data'!AS4</f>
        <v>0</v>
      </c>
      <c r="AT4" s="86"/>
      <c r="AU4" s="172">
        <f>'US Child Data'!AU4</f>
        <v>26.463999999999999</v>
      </c>
      <c r="AV4" s="172">
        <f>'US Child Data'!AV4</f>
        <v>29.463999999999999</v>
      </c>
      <c r="AW4" s="172">
        <f>'US Child Data'!AW4</f>
        <v>0</v>
      </c>
      <c r="AX4" s="86"/>
      <c r="AY4" s="172">
        <f>'US Child Data'!AY4</f>
        <v>14.618</v>
      </c>
      <c r="AZ4" s="172">
        <f>'US Child Data'!AZ4</f>
        <v>17.018000000000001</v>
      </c>
      <c r="BA4" s="172">
        <f>'US Child Data'!BA4</f>
        <v>0</v>
      </c>
      <c r="BB4" s="86"/>
      <c r="BC4" s="172">
        <f>'US Child Data'!BC4</f>
        <v>15.426</v>
      </c>
      <c r="BD4" s="172">
        <f>'US Child Data'!BD4</f>
        <v>17.526</v>
      </c>
      <c r="BE4" s="172">
        <f>'US Child Data'!BE4</f>
        <v>0</v>
      </c>
      <c r="BF4" s="305"/>
      <c r="BG4" s="172">
        <f>'US Child Data'!BG4</f>
        <v>-10.128</v>
      </c>
      <c r="BH4" s="172">
        <f>'US Child Data'!BH4</f>
        <v>-12.16</v>
      </c>
      <c r="BI4" s="172">
        <f>'US Child Data'!BI4</f>
        <v>0</v>
      </c>
      <c r="BJ4" s="157"/>
      <c r="BK4" s="172">
        <f>'US Child Data'!BK4</f>
        <v>-6.2229999999999999</v>
      </c>
      <c r="BL4" s="172">
        <f>'US Child Data'!BL4</f>
        <v>-7.7469999999999999</v>
      </c>
      <c r="BM4" s="172">
        <f>'US Child Data'!BM4</f>
        <v>0</v>
      </c>
      <c r="BN4" s="157"/>
      <c r="BO4" s="172">
        <f>'US Child Data'!BO4</f>
        <v>6.2229999999999999</v>
      </c>
      <c r="BP4" s="172">
        <f>'US Child Data'!BP4</f>
        <v>7.7469999999999999</v>
      </c>
      <c r="BQ4" s="172">
        <f>'US Child Data'!BQ4</f>
        <v>0</v>
      </c>
      <c r="BR4" s="157"/>
      <c r="BS4" s="172">
        <f>'US Child Data'!BS4</f>
        <v>-8.2550000000000008</v>
      </c>
      <c r="BT4" s="172">
        <f>'US Child Data'!BT4</f>
        <v>-9.7789999999999999</v>
      </c>
      <c r="BU4" s="172">
        <f>'US Child Data'!BU4</f>
        <v>0</v>
      </c>
      <c r="BV4" s="157"/>
      <c r="BW4" s="172">
        <f>'US Child Data'!BW4</f>
        <v>8.2550000000000008</v>
      </c>
      <c r="BX4" s="172">
        <f>'US Child Data'!BX4</f>
        <v>9.7789999999999999</v>
      </c>
      <c r="BY4" s="172">
        <f>'US Child Data'!BY4</f>
        <v>0</v>
      </c>
      <c r="BZ4" s="82"/>
      <c r="CA4" s="172">
        <f>'US Child Data'!CA4</f>
        <v>-2.6669999999999998</v>
      </c>
      <c r="CB4" s="172">
        <f>'US Child Data'!CB4</f>
        <v>-3.1749999999999998</v>
      </c>
      <c r="CC4" s="172">
        <f>'US Child Data'!CC4</f>
        <v>0</v>
      </c>
      <c r="CD4" s="82"/>
      <c r="CE4" s="172">
        <f>'US Child Data'!CE4</f>
        <v>2.6669999999999998</v>
      </c>
      <c r="CF4" s="172">
        <f>'US Child Data'!CF4</f>
        <v>3.1749999999999998</v>
      </c>
      <c r="CG4" s="172">
        <f>'US Child Data'!CG4</f>
        <v>0</v>
      </c>
      <c r="CH4" s="82"/>
      <c r="CI4" s="82"/>
      <c r="CJ4" s="82"/>
      <c r="CK4" s="82"/>
      <c r="CL4" s="82"/>
      <c r="CM4" s="82"/>
      <c r="CN4" s="82"/>
      <c r="CO4" s="82"/>
      <c r="CP4" s="82"/>
      <c r="CQ4" s="82"/>
      <c r="CR4" s="82"/>
      <c r="CS4" s="82"/>
      <c r="CT4" s="82"/>
      <c r="CU4" s="82"/>
      <c r="CV4" s="82"/>
      <c r="CW4" s="82"/>
      <c r="CX4" s="82"/>
      <c r="CY4" s="82"/>
      <c r="CZ4" s="82"/>
      <c r="DA4" s="82"/>
      <c r="DB4" s="82"/>
    </row>
    <row r="5" spans="1:106">
      <c r="A5" s="308" t="s">
        <v>238</v>
      </c>
      <c r="B5" s="301"/>
      <c r="C5" s="172">
        <f>'US Child Data'!C5</f>
        <v>7.2574784000000001</v>
      </c>
      <c r="D5" s="172">
        <f>'US Child Data'!D5</f>
        <v>9.70687736</v>
      </c>
      <c r="E5" s="172">
        <f>'US Child Data'!E5</f>
        <v>0</v>
      </c>
      <c r="F5" s="171"/>
      <c r="G5" s="172">
        <f>'US Child Data'!G5</f>
        <v>67.563999999999993</v>
      </c>
      <c r="H5" s="172">
        <f>'US Child Data'!H5</f>
        <v>74.676000000000002</v>
      </c>
      <c r="I5" s="172">
        <f>'US Child Data'!I5</f>
        <v>0</v>
      </c>
      <c r="J5" s="157"/>
      <c r="K5" s="172">
        <f>'US Child Data'!K5</f>
        <v>45.433999999999997</v>
      </c>
      <c r="L5" s="172">
        <f>'US Child Data'!L5</f>
        <v>50.006</v>
      </c>
      <c r="M5" s="172">
        <f>'US Child Data'!M5</f>
        <v>0</v>
      </c>
      <c r="N5" s="157"/>
      <c r="O5" s="172">
        <f>'US Child Data'!O5</f>
        <v>28.161999999999999</v>
      </c>
      <c r="P5" s="172">
        <f>'US Child Data'!P5</f>
        <v>32.733999999999995</v>
      </c>
      <c r="Q5" s="172">
        <f>'US Child Data'!Q5</f>
        <v>0</v>
      </c>
      <c r="R5" s="157"/>
      <c r="S5" s="172">
        <f>'US Child Data'!S5</f>
        <v>14.986000000000001</v>
      </c>
      <c r="T5" s="172">
        <f>'US Child Data'!T5</f>
        <v>17.018000000000001</v>
      </c>
      <c r="U5" s="172">
        <f>'US Child Data'!U5</f>
        <v>0</v>
      </c>
      <c r="V5" s="157"/>
      <c r="W5" s="172">
        <f>'US Child Data'!W5</f>
        <v>18.795999999999999</v>
      </c>
      <c r="X5" s="172">
        <f>'US Child Data'!X5</f>
        <v>21.335999999999999</v>
      </c>
      <c r="Y5" s="172">
        <f>'US Child Data'!Y5</f>
        <v>0</v>
      </c>
      <c r="Z5" s="331">
        <v>0</v>
      </c>
      <c r="AA5" s="172">
        <f>'US Child Data'!AA5</f>
        <v>9.4193359999999995</v>
      </c>
      <c r="AB5" s="172">
        <f>'US Child Data'!AB5</f>
        <v>10.939780000000001</v>
      </c>
      <c r="AC5" s="172">
        <f>'US Child Data'!AC5</f>
        <v>0</v>
      </c>
      <c r="AD5" s="86"/>
      <c r="AE5" s="172">
        <f>'US Child Data'!AE5</f>
        <v>5.8419999999999996</v>
      </c>
      <c r="AF5" s="172">
        <f>'US Child Data'!AF5</f>
        <v>6.8579999999999997</v>
      </c>
      <c r="AG5" s="172">
        <f>'US Child Data'!AG5</f>
        <v>0</v>
      </c>
      <c r="AH5" s="86"/>
      <c r="AI5" s="172">
        <f>'US Child Data'!AI5</f>
        <v>10.889999999999999</v>
      </c>
      <c r="AJ5" s="172">
        <f>'US Child Data'!AJ5</f>
        <v>12.921999999999999</v>
      </c>
      <c r="AK5" s="172">
        <f>'US Child Data'!AK5</f>
        <v>0</v>
      </c>
      <c r="AL5" s="86"/>
      <c r="AM5" s="172">
        <f>'US Child Data'!AM5</f>
        <v>-16.752319999999997</v>
      </c>
      <c r="AN5" s="172">
        <f>'US Child Data'!AN5</f>
        <v>-19.434560000000001</v>
      </c>
      <c r="AO5" s="172">
        <f>'US Child Data'!AO5</f>
        <v>0</v>
      </c>
      <c r="AP5" s="86"/>
      <c r="AQ5" s="172">
        <f>'US Child Data'!AQ5</f>
        <v>3.8100000000000005</v>
      </c>
      <c r="AR5" s="172">
        <f>'US Child Data'!AR5</f>
        <v>6.8580000000000005</v>
      </c>
      <c r="AS5" s="172">
        <f>'US Child Data'!AS5</f>
        <v>0</v>
      </c>
      <c r="AT5" s="86"/>
      <c r="AU5" s="172">
        <f>'US Child Data'!AU5</f>
        <v>32.306000000000004</v>
      </c>
      <c r="AV5" s="172">
        <f>'US Child Data'!AV5</f>
        <v>35.306000000000004</v>
      </c>
      <c r="AW5" s="172">
        <f>'US Child Data'!AW5</f>
        <v>0</v>
      </c>
      <c r="AX5" s="86"/>
      <c r="AY5" s="172">
        <f>'US Child Data'!AY5</f>
        <v>18.012</v>
      </c>
      <c r="AZ5" s="172">
        <f>'US Child Data'!AZ5</f>
        <v>19.812000000000001</v>
      </c>
      <c r="BA5" s="172">
        <f>'US Child Data'!BA5</f>
        <v>0</v>
      </c>
      <c r="BB5" s="86"/>
      <c r="BC5" s="172">
        <f>'US Child Data'!BC5</f>
        <v>18.82</v>
      </c>
      <c r="BD5" s="172">
        <f>'US Child Data'!BD5</f>
        <v>20.32</v>
      </c>
      <c r="BE5" s="172">
        <f>'US Child Data'!BE5</f>
        <v>0</v>
      </c>
      <c r="BF5" s="305"/>
      <c r="BG5" s="172">
        <f>'US Child Data'!BG5</f>
        <v>-10.889999999999999</v>
      </c>
      <c r="BH5" s="172">
        <f>'US Child Data'!BH5</f>
        <v>-12.921999999999999</v>
      </c>
      <c r="BI5" s="172">
        <f>'US Child Data'!BI5</f>
        <v>0</v>
      </c>
      <c r="BJ5" s="157"/>
      <c r="BK5" s="172">
        <f>'US Child Data'!BK5</f>
        <v>-7.4930000000000003</v>
      </c>
      <c r="BL5" s="172">
        <f>'US Child Data'!BL5</f>
        <v>-8.5090000000000003</v>
      </c>
      <c r="BM5" s="172">
        <f>'US Child Data'!BM5</f>
        <v>0</v>
      </c>
      <c r="BN5" s="157"/>
      <c r="BO5" s="172">
        <f>'US Child Data'!BO5</f>
        <v>7.4930000000000003</v>
      </c>
      <c r="BP5" s="172">
        <f>'US Child Data'!BP5</f>
        <v>8.5090000000000003</v>
      </c>
      <c r="BQ5" s="172">
        <f>'US Child Data'!BQ5</f>
        <v>0</v>
      </c>
      <c r="BR5" s="157"/>
      <c r="BS5" s="172">
        <f>'US Child Data'!BS5</f>
        <v>-9.3979999999999997</v>
      </c>
      <c r="BT5" s="172">
        <f>'US Child Data'!BT5</f>
        <v>-10.667999999999999</v>
      </c>
      <c r="BU5" s="172">
        <f>'US Child Data'!BU5</f>
        <v>0</v>
      </c>
      <c r="BV5" s="157"/>
      <c r="BW5" s="172">
        <f>'US Child Data'!BW5</f>
        <v>9.3979999999999997</v>
      </c>
      <c r="BX5" s="172">
        <f>'US Child Data'!BX5</f>
        <v>10.667999999999999</v>
      </c>
      <c r="BY5" s="172">
        <f>'US Child Data'!BY5</f>
        <v>0</v>
      </c>
      <c r="BZ5" s="82"/>
      <c r="CA5" s="172">
        <f>'US Child Data'!CA5</f>
        <v>-2.9209999999999998</v>
      </c>
      <c r="CB5" s="172">
        <f>'US Child Data'!CB5</f>
        <v>-3.4289999999999998</v>
      </c>
      <c r="CC5" s="172">
        <f>'US Child Data'!CC5</f>
        <v>0</v>
      </c>
      <c r="CD5" s="82"/>
      <c r="CE5" s="172">
        <f>'US Child Data'!CE5</f>
        <v>2.9209999999999998</v>
      </c>
      <c r="CF5" s="172">
        <f>'US Child Data'!CF5</f>
        <v>3.4289999999999998</v>
      </c>
      <c r="CG5" s="172">
        <f>'US Child Data'!CG5</f>
        <v>0</v>
      </c>
      <c r="CH5" s="82"/>
      <c r="CI5" s="82"/>
      <c r="CJ5" s="82"/>
      <c r="CK5" s="82"/>
      <c r="CL5" s="82"/>
      <c r="CM5" s="82"/>
      <c r="CN5" s="82"/>
      <c r="CO5" s="82"/>
      <c r="CP5" s="82"/>
      <c r="CQ5" s="82"/>
      <c r="CR5" s="82"/>
      <c r="CS5" s="82"/>
      <c r="CT5" s="82"/>
      <c r="CU5" s="82"/>
      <c r="CV5" s="82"/>
      <c r="CW5" s="82"/>
      <c r="CX5" s="82"/>
      <c r="CY5" s="82"/>
      <c r="CZ5" s="82"/>
      <c r="DA5" s="82"/>
      <c r="DB5" s="82"/>
    </row>
    <row r="6" spans="1:106">
      <c r="A6" s="308" t="s">
        <v>239</v>
      </c>
      <c r="B6" s="301"/>
      <c r="C6" s="172">
        <f>'US Child Data'!C6</f>
        <v>8.7543333200000006</v>
      </c>
      <c r="D6" s="172">
        <f>'US Child Data'!D6</f>
        <v>0</v>
      </c>
      <c r="E6" s="172">
        <f>'US Child Data'!E6</f>
        <v>0</v>
      </c>
      <c r="F6" s="171"/>
      <c r="G6" s="172">
        <f>'US Child Data'!G6</f>
        <v>74.168000000000006</v>
      </c>
      <c r="H6" s="172">
        <f>'US Child Data'!H6</f>
        <v>0</v>
      </c>
      <c r="I6" s="172">
        <f>'US Child Data'!I6</f>
        <v>0</v>
      </c>
      <c r="J6" s="157"/>
      <c r="K6" s="172">
        <f>'US Child Data'!K6</f>
        <v>47.973999999999997</v>
      </c>
      <c r="L6" s="172">
        <f>'US Child Data'!L6</f>
        <v>0</v>
      </c>
      <c r="M6" s="172">
        <f>'US Child Data'!M6</f>
        <v>0</v>
      </c>
      <c r="N6" s="157"/>
      <c r="O6" s="172">
        <f>'US Child Data'!O6</f>
        <v>29.432000000000002</v>
      </c>
      <c r="P6" s="172">
        <f>'US Child Data'!P6</f>
        <v>0</v>
      </c>
      <c r="Q6" s="172">
        <f>'US Child Data'!Q6</f>
        <v>0</v>
      </c>
      <c r="R6" s="157"/>
      <c r="S6" s="172">
        <f>'US Child Data'!S6</f>
        <v>13.97</v>
      </c>
      <c r="T6" s="172">
        <f>'US Child Data'!T6</f>
        <v>0</v>
      </c>
      <c r="U6" s="172">
        <f>'US Child Data'!U6</f>
        <v>0</v>
      </c>
      <c r="V6" s="157"/>
      <c r="W6" s="172">
        <f>'US Child Data'!W6</f>
        <v>19.812000000000001</v>
      </c>
      <c r="X6" s="172">
        <f>'US Child Data'!X6</f>
        <v>0</v>
      </c>
      <c r="Y6" s="172">
        <f>'US Child Data'!Y6</f>
        <v>0</v>
      </c>
      <c r="Z6" s="331">
        <v>0</v>
      </c>
      <c r="AA6" s="172">
        <f>'US Child Data'!AA6</f>
        <v>9.4935039999999997</v>
      </c>
      <c r="AB6" s="172">
        <f>'US Child Data'!AB6</f>
        <v>0</v>
      </c>
      <c r="AC6" s="172">
        <f>'US Child Data'!AC6</f>
        <v>0</v>
      </c>
      <c r="AD6" s="86"/>
      <c r="AE6" s="172">
        <f>'US Child Data'!AE6</f>
        <v>5.8419999999999996</v>
      </c>
      <c r="AF6" s="172">
        <f>'US Child Data'!AF6</f>
        <v>0</v>
      </c>
      <c r="AG6" s="172">
        <f>'US Child Data'!AG6</f>
        <v>0</v>
      </c>
      <c r="AH6" s="86"/>
      <c r="AI6" s="172">
        <f>'US Child Data'!AI6</f>
        <v>11.398</v>
      </c>
      <c r="AJ6" s="172">
        <f>'US Child Data'!AJ6</f>
        <v>0</v>
      </c>
      <c r="AK6" s="172">
        <f>'US Child Data'!AK6</f>
        <v>0</v>
      </c>
      <c r="AL6" s="86"/>
      <c r="AM6" s="172">
        <f>'US Child Data'!AM6</f>
        <v>-17.86992</v>
      </c>
      <c r="AN6" s="172">
        <f>'US Child Data'!AN6</f>
        <v>0</v>
      </c>
      <c r="AO6" s="172">
        <f>'US Child Data'!AO6</f>
        <v>0</v>
      </c>
      <c r="AP6" s="86"/>
      <c r="AQ6" s="172">
        <f>'US Child Data'!AQ6</f>
        <v>4.8259999999999987</v>
      </c>
      <c r="AR6" s="172">
        <f>'US Child Data'!AR6</f>
        <v>0</v>
      </c>
      <c r="AS6" s="172">
        <f>'US Child Data'!AS6</f>
        <v>0</v>
      </c>
      <c r="AT6" s="86"/>
      <c r="AU6" s="172">
        <f>'US Child Data'!AU6</f>
        <v>35.769999999999996</v>
      </c>
      <c r="AV6" s="172">
        <f>'US Child Data'!AV6</f>
        <v>0</v>
      </c>
      <c r="AW6" s="172">
        <f>'US Child Data'!AW6</f>
        <v>0</v>
      </c>
      <c r="AX6" s="86"/>
      <c r="AY6" s="172">
        <f>'US Child Data'!AY6</f>
        <v>19.698</v>
      </c>
      <c r="AZ6" s="172">
        <f>'US Child Data'!AZ6</f>
        <v>0</v>
      </c>
      <c r="BA6" s="172">
        <f>'US Child Data'!BA6</f>
        <v>0</v>
      </c>
      <c r="BB6" s="86"/>
      <c r="BC6" s="172">
        <f>'US Child Data'!BC6</f>
        <v>20.552000000000003</v>
      </c>
      <c r="BD6" s="172">
        <f>'US Child Data'!BD6</f>
        <v>0</v>
      </c>
      <c r="BE6" s="172">
        <f>'US Child Data'!BE6</f>
        <v>0</v>
      </c>
      <c r="BF6" s="305"/>
      <c r="BG6" s="172">
        <f>'US Child Data'!BG6</f>
        <v>-11.398</v>
      </c>
      <c r="BH6" s="172">
        <f>'US Child Data'!BH6</f>
        <v>0</v>
      </c>
      <c r="BI6" s="172">
        <f>'US Child Data'!BI6</f>
        <v>0</v>
      </c>
      <c r="BJ6" s="157"/>
      <c r="BK6" s="172">
        <f>'US Child Data'!BK6</f>
        <v>-6.9850000000000003</v>
      </c>
      <c r="BL6" s="172">
        <f>'US Child Data'!BL6</f>
        <v>0</v>
      </c>
      <c r="BM6" s="172">
        <f>'US Child Data'!BM6</f>
        <v>0</v>
      </c>
      <c r="BN6" s="157"/>
      <c r="BO6" s="172">
        <f>'US Child Data'!BO6</f>
        <v>6.9850000000000003</v>
      </c>
      <c r="BP6" s="172">
        <f>'US Child Data'!BP6</f>
        <v>0</v>
      </c>
      <c r="BQ6" s="172">
        <f>'US Child Data'!BQ6</f>
        <v>0</v>
      </c>
      <c r="BR6" s="157"/>
      <c r="BS6" s="172">
        <f>'US Child Data'!BS6</f>
        <v>-9.9060000000000006</v>
      </c>
      <c r="BT6" s="172">
        <f>'US Child Data'!BT6</f>
        <v>0</v>
      </c>
      <c r="BU6" s="172">
        <f>'US Child Data'!BU6</f>
        <v>0</v>
      </c>
      <c r="BV6" s="157"/>
      <c r="BW6" s="172">
        <f>'US Child Data'!BW6</f>
        <v>9.9060000000000006</v>
      </c>
      <c r="BX6" s="172">
        <f>'US Child Data'!BX6</f>
        <v>0</v>
      </c>
      <c r="BY6" s="172">
        <f>'US Child Data'!BY6</f>
        <v>0</v>
      </c>
      <c r="BZ6" s="82"/>
      <c r="CA6" s="172">
        <f>'US Child Data'!CA6</f>
        <v>-2.9209999999999998</v>
      </c>
      <c r="CB6" s="172">
        <f>'US Child Data'!CB6</f>
        <v>0</v>
      </c>
      <c r="CC6" s="172">
        <f>'US Child Data'!CC6</f>
        <v>0</v>
      </c>
      <c r="CD6" s="82"/>
      <c r="CE6" s="172">
        <f>'US Child Data'!CE6</f>
        <v>2.9209999999999998</v>
      </c>
      <c r="CF6" s="172">
        <f>'US Child Data'!CF6</f>
        <v>0</v>
      </c>
      <c r="CG6" s="172">
        <f>'US Child Data'!CG6</f>
        <v>0</v>
      </c>
      <c r="CH6" s="82"/>
      <c r="CI6" s="82"/>
      <c r="CJ6" s="82"/>
      <c r="CK6" s="82"/>
      <c r="CL6" s="82"/>
      <c r="CM6" s="82"/>
      <c r="CN6" s="82"/>
      <c r="CO6" s="82"/>
      <c r="CP6" s="82"/>
      <c r="CQ6" s="82"/>
      <c r="CR6" s="82"/>
      <c r="CS6" s="82"/>
      <c r="CT6" s="82"/>
      <c r="CU6" s="82"/>
      <c r="CV6" s="82"/>
      <c r="CW6" s="82"/>
      <c r="CX6" s="82"/>
      <c r="CY6" s="82"/>
      <c r="CZ6" s="82"/>
      <c r="DA6" s="82"/>
      <c r="DB6" s="82"/>
    </row>
    <row r="7" spans="1:106">
      <c r="A7" s="308" t="s">
        <v>240</v>
      </c>
      <c r="B7" s="301"/>
      <c r="C7" s="172">
        <f>'US Child Data'!C7</f>
        <v>9.70687736</v>
      </c>
      <c r="D7" s="172">
        <f>'US Child Data'!D7</f>
        <v>0</v>
      </c>
      <c r="E7" s="172">
        <f>'US Child Data'!E7</f>
        <v>0</v>
      </c>
      <c r="F7" s="171"/>
      <c r="G7" s="172">
        <f>'US Child Data'!G7</f>
        <v>0</v>
      </c>
      <c r="H7" s="172">
        <f>'US Child Data'!H7</f>
        <v>0</v>
      </c>
      <c r="I7" s="172">
        <f>'US Child Data'!I7</f>
        <v>0</v>
      </c>
      <c r="J7" s="157"/>
      <c r="K7" s="172">
        <f>'US Child Data'!K7</f>
        <v>0</v>
      </c>
      <c r="L7" s="172">
        <f>'US Child Data'!L7</f>
        <v>0</v>
      </c>
      <c r="M7" s="172">
        <f>'US Child Data'!M7</f>
        <v>0</v>
      </c>
      <c r="N7" s="157"/>
      <c r="O7" s="172">
        <f>'US Child Data'!O7</f>
        <v>0</v>
      </c>
      <c r="P7" s="172">
        <f>'US Child Data'!P7</f>
        <v>0</v>
      </c>
      <c r="Q7" s="172">
        <f>'US Child Data'!Q7</f>
        <v>0</v>
      </c>
      <c r="R7" s="157"/>
      <c r="S7" s="172">
        <f>'US Child Data'!S7</f>
        <v>0</v>
      </c>
      <c r="T7" s="172">
        <f>'US Child Data'!T7</f>
        <v>0</v>
      </c>
      <c r="U7" s="172">
        <f>'US Child Data'!U7</f>
        <v>0</v>
      </c>
      <c r="V7" s="157"/>
      <c r="W7" s="172">
        <f>'US Child Data'!W7</f>
        <v>0</v>
      </c>
      <c r="X7" s="172">
        <f>'US Child Data'!X7</f>
        <v>0</v>
      </c>
      <c r="Y7" s="172">
        <f>'US Child Data'!Y7</f>
        <v>0</v>
      </c>
      <c r="Z7" s="331">
        <v>0</v>
      </c>
      <c r="AA7" s="172">
        <f>'US Child Data'!AA7</f>
        <v>0</v>
      </c>
      <c r="AB7" s="172">
        <f>'US Child Data'!AB7</f>
        <v>0</v>
      </c>
      <c r="AC7" s="172">
        <f>'US Child Data'!AC7</f>
        <v>0</v>
      </c>
      <c r="AD7" s="86"/>
      <c r="AE7" s="172">
        <f>'US Child Data'!AE7</f>
        <v>0</v>
      </c>
      <c r="AF7" s="172">
        <f>'US Child Data'!AF7</f>
        <v>0</v>
      </c>
      <c r="AG7" s="172">
        <f>'US Child Data'!AG7</f>
        <v>0</v>
      </c>
      <c r="AH7" s="86"/>
      <c r="AI7" s="172">
        <f>'US Child Data'!AI7</f>
        <v>0</v>
      </c>
      <c r="AJ7" s="172">
        <f>'US Child Data'!AJ7</f>
        <v>0</v>
      </c>
      <c r="AK7" s="172">
        <f>'US Child Data'!AK7</f>
        <v>0</v>
      </c>
      <c r="AL7" s="86"/>
      <c r="AM7" s="172">
        <f>'US Child Data'!AM7</f>
        <v>0</v>
      </c>
      <c r="AN7" s="172">
        <f>'US Child Data'!AN7</f>
        <v>0</v>
      </c>
      <c r="AO7" s="172">
        <f>'US Child Data'!AO7</f>
        <v>0</v>
      </c>
      <c r="AP7" s="86"/>
      <c r="AQ7" s="172">
        <f>'US Child Data'!AQ7</f>
        <v>0</v>
      </c>
      <c r="AR7" s="172">
        <f>'US Child Data'!AR7</f>
        <v>0</v>
      </c>
      <c r="AS7" s="172">
        <f>'US Child Data'!AS7</f>
        <v>0</v>
      </c>
      <c r="AT7" s="86"/>
      <c r="AU7" s="172">
        <f>'US Child Data'!AU7</f>
        <v>0</v>
      </c>
      <c r="AV7" s="172">
        <f>'US Child Data'!AV7</f>
        <v>0</v>
      </c>
      <c r="AW7" s="172">
        <f>'US Child Data'!AW7</f>
        <v>0</v>
      </c>
      <c r="AX7" s="86"/>
      <c r="AY7" s="172">
        <f>'US Child Data'!AY7</f>
        <v>0</v>
      </c>
      <c r="AZ7" s="172">
        <f>'US Child Data'!AZ7</f>
        <v>0</v>
      </c>
      <c r="BA7" s="172">
        <f>'US Child Data'!BA7</f>
        <v>0</v>
      </c>
      <c r="BB7" s="86"/>
      <c r="BC7" s="172">
        <f>'US Child Data'!BC7</f>
        <v>0</v>
      </c>
      <c r="BD7" s="172">
        <f>'US Child Data'!BD7</f>
        <v>0</v>
      </c>
      <c r="BE7" s="172">
        <f>'US Child Data'!BE7</f>
        <v>0</v>
      </c>
      <c r="BF7" s="305"/>
      <c r="BG7" s="172">
        <f>'US Child Data'!BG7</f>
        <v>0</v>
      </c>
      <c r="BH7" s="172">
        <f>'US Child Data'!BH7</f>
        <v>0</v>
      </c>
      <c r="BI7" s="172">
        <f>'US Child Data'!BI7</f>
        <v>0</v>
      </c>
      <c r="BJ7" s="157"/>
      <c r="BK7" s="172">
        <f>'US Child Data'!BK7</f>
        <v>0</v>
      </c>
      <c r="BL7" s="172">
        <f>'US Child Data'!BL7</f>
        <v>0</v>
      </c>
      <c r="BM7" s="172">
        <f>'US Child Data'!BM7</f>
        <v>0</v>
      </c>
      <c r="BN7" s="157"/>
      <c r="BO7" s="172">
        <f>'US Child Data'!BO7</f>
        <v>0</v>
      </c>
      <c r="BP7" s="172">
        <f>'US Child Data'!BP7</f>
        <v>0</v>
      </c>
      <c r="BQ7" s="172">
        <f>'US Child Data'!BQ7</f>
        <v>0</v>
      </c>
      <c r="BR7" s="157"/>
      <c r="BS7" s="172">
        <f>'US Child Data'!BS7</f>
        <v>0</v>
      </c>
      <c r="BT7" s="172">
        <f>'US Child Data'!BT7</f>
        <v>0</v>
      </c>
      <c r="BU7" s="172">
        <f>'US Child Data'!BU7</f>
        <v>0</v>
      </c>
      <c r="BV7" s="157"/>
      <c r="BW7" s="172">
        <f>'US Child Data'!BW7</f>
        <v>0</v>
      </c>
      <c r="BX7" s="172">
        <f>'US Child Data'!BX7</f>
        <v>0</v>
      </c>
      <c r="BY7" s="172">
        <f>'US Child Data'!BY7</f>
        <v>0</v>
      </c>
      <c r="BZ7" s="82"/>
      <c r="CA7" s="172">
        <f>'US Child Data'!CA7</f>
        <v>0</v>
      </c>
      <c r="CB7" s="172">
        <f>'US Child Data'!CB7</f>
        <v>0</v>
      </c>
      <c r="CC7" s="172">
        <f>'US Child Data'!CC7</f>
        <v>0</v>
      </c>
      <c r="CD7" s="82"/>
      <c r="CE7" s="172">
        <f>'US Child Data'!CE7</f>
        <v>0</v>
      </c>
      <c r="CF7" s="172">
        <f>'US Child Data'!CF7</f>
        <v>0</v>
      </c>
      <c r="CG7" s="172">
        <f>'US Child Data'!CG7</f>
        <v>0</v>
      </c>
      <c r="CH7" s="82"/>
      <c r="CI7" s="82"/>
      <c r="CJ7" s="82"/>
      <c r="CK7" s="82"/>
      <c r="CL7" s="82"/>
      <c r="CM7" s="82"/>
      <c r="CN7" s="82"/>
      <c r="CO7" s="82"/>
      <c r="CP7" s="82"/>
      <c r="CQ7" s="82"/>
      <c r="CR7" s="82"/>
      <c r="CS7" s="82"/>
      <c r="CT7" s="82"/>
      <c r="CU7" s="82"/>
      <c r="CV7" s="82"/>
      <c r="CW7" s="82"/>
      <c r="CX7" s="82"/>
      <c r="CY7" s="82"/>
      <c r="CZ7" s="82"/>
      <c r="DA7" s="82"/>
      <c r="DB7" s="82"/>
    </row>
    <row r="8" spans="1:106">
      <c r="A8" s="308" t="s">
        <v>241</v>
      </c>
      <c r="B8" s="301"/>
      <c r="C8" s="172">
        <f>'US Child Data'!C8</f>
        <v>0</v>
      </c>
      <c r="D8" s="172">
        <f>'US Child Data'!D8</f>
        <v>0</v>
      </c>
      <c r="E8" s="172">
        <f>'US Child Data'!E8</f>
        <v>0</v>
      </c>
      <c r="F8" s="171"/>
      <c r="G8" s="172">
        <f>'US Child Data'!G8</f>
        <v>0</v>
      </c>
      <c r="H8" s="172">
        <f>'US Child Data'!H8</f>
        <v>0</v>
      </c>
      <c r="I8" s="172">
        <f>'US Child Data'!I8</f>
        <v>0</v>
      </c>
      <c r="J8" s="157"/>
      <c r="K8" s="172">
        <f>'US Child Data'!K8</f>
        <v>0</v>
      </c>
      <c r="L8" s="172">
        <f>'US Child Data'!L8</f>
        <v>0</v>
      </c>
      <c r="M8" s="172">
        <f>'US Child Data'!M8</f>
        <v>0</v>
      </c>
      <c r="N8" s="157"/>
      <c r="O8" s="172">
        <f>'US Child Data'!O8</f>
        <v>0</v>
      </c>
      <c r="P8" s="172">
        <f>'US Child Data'!P8</f>
        <v>0</v>
      </c>
      <c r="Q8" s="172">
        <f>'US Child Data'!Q8</f>
        <v>0</v>
      </c>
      <c r="R8" s="157"/>
      <c r="S8" s="172">
        <f>'US Child Data'!S8</f>
        <v>0</v>
      </c>
      <c r="T8" s="172">
        <f>'US Child Data'!T8</f>
        <v>0</v>
      </c>
      <c r="U8" s="172">
        <f>'US Child Data'!U8</f>
        <v>0</v>
      </c>
      <c r="V8" s="157"/>
      <c r="W8" s="172">
        <f>'US Child Data'!W8</f>
        <v>0</v>
      </c>
      <c r="X8" s="172">
        <f>'US Child Data'!X8</f>
        <v>0</v>
      </c>
      <c r="Y8" s="172">
        <f>'US Child Data'!Y8</f>
        <v>0</v>
      </c>
      <c r="Z8" s="331">
        <v>0</v>
      </c>
      <c r="AA8" s="172">
        <f>'US Child Data'!AA8</f>
        <v>0</v>
      </c>
      <c r="AB8" s="172">
        <f>'US Child Data'!AB8</f>
        <v>0</v>
      </c>
      <c r="AC8" s="172">
        <f>'US Child Data'!AC8</f>
        <v>0</v>
      </c>
      <c r="AD8" s="86"/>
      <c r="AE8" s="172">
        <f>'US Child Data'!AE8</f>
        <v>0</v>
      </c>
      <c r="AF8" s="172">
        <f>'US Child Data'!AF8</f>
        <v>0</v>
      </c>
      <c r="AG8" s="172">
        <f>'US Child Data'!AG8</f>
        <v>0</v>
      </c>
      <c r="AH8" s="86"/>
      <c r="AI8" s="172">
        <f>'US Child Data'!AI8</f>
        <v>0</v>
      </c>
      <c r="AJ8" s="172">
        <f>'US Child Data'!AJ8</f>
        <v>0</v>
      </c>
      <c r="AK8" s="172">
        <f>'US Child Data'!AK8</f>
        <v>0</v>
      </c>
      <c r="AL8" s="86"/>
      <c r="AM8" s="172">
        <f>'US Child Data'!AM8</f>
        <v>0</v>
      </c>
      <c r="AN8" s="172">
        <f>'US Child Data'!AN8</f>
        <v>0</v>
      </c>
      <c r="AO8" s="172">
        <f>'US Child Data'!AO8</f>
        <v>0</v>
      </c>
      <c r="AP8" s="86"/>
      <c r="AQ8" s="172">
        <f>'US Child Data'!AQ8</f>
        <v>0</v>
      </c>
      <c r="AR8" s="172">
        <f>'US Child Data'!AR8</f>
        <v>0</v>
      </c>
      <c r="AS8" s="172">
        <f>'US Child Data'!AS8</f>
        <v>0</v>
      </c>
      <c r="AT8" s="86"/>
      <c r="AU8" s="172">
        <f>'US Child Data'!AU8</f>
        <v>0</v>
      </c>
      <c r="AV8" s="172">
        <f>'US Child Data'!AV8</f>
        <v>0</v>
      </c>
      <c r="AW8" s="172">
        <f>'US Child Data'!AW8</f>
        <v>0</v>
      </c>
      <c r="AX8" s="86"/>
      <c r="AY8" s="172">
        <f>'US Child Data'!AY8</f>
        <v>0</v>
      </c>
      <c r="AZ8" s="172">
        <f>'US Child Data'!AZ8</f>
        <v>0</v>
      </c>
      <c r="BA8" s="172">
        <f>'US Child Data'!BA8</f>
        <v>0</v>
      </c>
      <c r="BB8" s="86"/>
      <c r="BC8" s="172">
        <f>'US Child Data'!BC8</f>
        <v>0</v>
      </c>
      <c r="BD8" s="172">
        <f>'US Child Data'!BD8</f>
        <v>0</v>
      </c>
      <c r="BE8" s="172">
        <f>'US Child Data'!BE8</f>
        <v>0</v>
      </c>
      <c r="BF8" s="305"/>
      <c r="BG8" s="172">
        <f>'US Child Data'!BG8</f>
        <v>0</v>
      </c>
      <c r="BH8" s="172">
        <f>'US Child Data'!BH8</f>
        <v>0</v>
      </c>
      <c r="BI8" s="172">
        <f>'US Child Data'!BI8</f>
        <v>0</v>
      </c>
      <c r="BJ8" s="157"/>
      <c r="BK8" s="172">
        <f>'US Child Data'!BK8</f>
        <v>0</v>
      </c>
      <c r="BL8" s="172">
        <f>'US Child Data'!BL8</f>
        <v>0</v>
      </c>
      <c r="BM8" s="172">
        <f>'US Child Data'!BM8</f>
        <v>0</v>
      </c>
      <c r="BN8" s="157"/>
      <c r="BO8" s="172">
        <f>'US Child Data'!BO8</f>
        <v>0</v>
      </c>
      <c r="BP8" s="172">
        <f>'US Child Data'!BP8</f>
        <v>0</v>
      </c>
      <c r="BQ8" s="172">
        <f>'US Child Data'!BQ8</f>
        <v>0</v>
      </c>
      <c r="BR8" s="157"/>
      <c r="BS8" s="172">
        <f>'US Child Data'!BS8</f>
        <v>0</v>
      </c>
      <c r="BT8" s="172">
        <f>'US Child Data'!BT8</f>
        <v>0</v>
      </c>
      <c r="BU8" s="172">
        <f>'US Child Data'!BU8</f>
        <v>0</v>
      </c>
      <c r="BV8" s="157"/>
      <c r="BW8" s="172">
        <f>'US Child Data'!BW8</f>
        <v>0</v>
      </c>
      <c r="BX8" s="172">
        <f>'US Child Data'!BX8</f>
        <v>0</v>
      </c>
      <c r="BY8" s="172">
        <f>'US Child Data'!BY8</f>
        <v>0</v>
      </c>
      <c r="BZ8" s="82"/>
      <c r="CA8" s="172">
        <f>'US Child Data'!CA8</f>
        <v>0</v>
      </c>
      <c r="CB8" s="172">
        <f>'US Child Data'!CB8</f>
        <v>0</v>
      </c>
      <c r="CC8" s="172">
        <f>'US Child Data'!CC8</f>
        <v>0</v>
      </c>
      <c r="CD8" s="82"/>
      <c r="CE8" s="172">
        <f>'US Child Data'!CE8</f>
        <v>0</v>
      </c>
      <c r="CF8" s="172">
        <f>'US Child Data'!CF8</f>
        <v>0</v>
      </c>
      <c r="CG8" s="172">
        <f>'US Child Data'!CG8</f>
        <v>0</v>
      </c>
      <c r="CH8" s="82"/>
      <c r="CI8" s="82"/>
      <c r="CJ8" s="82"/>
      <c r="CK8" s="82"/>
      <c r="CL8" s="82"/>
      <c r="CM8" s="82"/>
      <c r="CN8" s="82"/>
      <c r="CO8" s="82"/>
      <c r="CP8" s="82"/>
      <c r="CQ8" s="82"/>
      <c r="CR8" s="82"/>
      <c r="CS8" s="82"/>
      <c r="CT8" s="82"/>
      <c r="CU8" s="82"/>
      <c r="CV8" s="82"/>
      <c r="CW8" s="82"/>
      <c r="CX8" s="82"/>
      <c r="CY8" s="82"/>
      <c r="CZ8" s="82"/>
      <c r="DA8" s="82"/>
      <c r="DB8" s="82"/>
    </row>
    <row r="9" spans="1:106">
      <c r="A9" s="308" t="s">
        <v>242</v>
      </c>
      <c r="B9" s="301"/>
      <c r="C9" s="172">
        <f>'US Child Data'!C9</f>
        <v>0</v>
      </c>
      <c r="D9" s="172">
        <f>'US Child Data'!D9</f>
        <v>0</v>
      </c>
      <c r="E9" s="172">
        <f>'US Child Data'!E9</f>
        <v>0</v>
      </c>
      <c r="F9" s="171"/>
      <c r="G9" s="172">
        <f>'US Child Data'!G9</f>
        <v>0</v>
      </c>
      <c r="H9" s="172">
        <f>'US Child Data'!H9</f>
        <v>0</v>
      </c>
      <c r="I9" s="172">
        <f>'US Child Data'!I9</f>
        <v>0</v>
      </c>
      <c r="J9" s="157"/>
      <c r="K9" s="172">
        <f>'US Child Data'!K9</f>
        <v>0</v>
      </c>
      <c r="L9" s="172">
        <f>'US Child Data'!L9</f>
        <v>0</v>
      </c>
      <c r="M9" s="172">
        <f>'US Child Data'!M9</f>
        <v>0</v>
      </c>
      <c r="N9" s="157"/>
      <c r="O9" s="172">
        <f>'US Child Data'!O9</f>
        <v>0</v>
      </c>
      <c r="P9" s="172">
        <f>'US Child Data'!P9</f>
        <v>0</v>
      </c>
      <c r="Q9" s="172">
        <f>'US Child Data'!Q9</f>
        <v>0</v>
      </c>
      <c r="R9" s="157"/>
      <c r="S9" s="172">
        <f>'US Child Data'!S9</f>
        <v>0</v>
      </c>
      <c r="T9" s="172">
        <f>'US Child Data'!T9</f>
        <v>0</v>
      </c>
      <c r="U9" s="172">
        <f>'US Child Data'!U9</f>
        <v>0</v>
      </c>
      <c r="V9" s="157"/>
      <c r="W9" s="172">
        <f>'US Child Data'!W9</f>
        <v>0</v>
      </c>
      <c r="X9" s="172">
        <f>'US Child Data'!X9</f>
        <v>0</v>
      </c>
      <c r="Y9" s="172">
        <f>'US Child Data'!Y9</f>
        <v>0</v>
      </c>
      <c r="Z9" s="331">
        <v>0</v>
      </c>
      <c r="AA9" s="172">
        <f>'US Child Data'!AA9</f>
        <v>0</v>
      </c>
      <c r="AB9" s="172">
        <f>'US Child Data'!AB9</f>
        <v>0</v>
      </c>
      <c r="AC9" s="172">
        <f>'US Child Data'!AC9</f>
        <v>0</v>
      </c>
      <c r="AD9" s="86"/>
      <c r="AE9" s="172">
        <f>'US Child Data'!AE9</f>
        <v>0</v>
      </c>
      <c r="AF9" s="172">
        <f>'US Child Data'!AF9</f>
        <v>0</v>
      </c>
      <c r="AG9" s="172">
        <f>'US Child Data'!AG9</f>
        <v>0</v>
      </c>
      <c r="AH9" s="86"/>
      <c r="AI9" s="172">
        <f>'US Child Data'!AI9</f>
        <v>0</v>
      </c>
      <c r="AJ9" s="172">
        <f>'US Child Data'!AJ9</f>
        <v>0</v>
      </c>
      <c r="AK9" s="172">
        <f>'US Child Data'!AK9</f>
        <v>0</v>
      </c>
      <c r="AL9" s="86"/>
      <c r="AM9" s="172">
        <f>'US Child Data'!AM9</f>
        <v>0</v>
      </c>
      <c r="AN9" s="172">
        <f>'US Child Data'!AN9</f>
        <v>0</v>
      </c>
      <c r="AO9" s="172">
        <f>'US Child Data'!AO9</f>
        <v>0</v>
      </c>
      <c r="AP9" s="86"/>
      <c r="AQ9" s="172">
        <f>'US Child Data'!AQ9</f>
        <v>0</v>
      </c>
      <c r="AR9" s="172">
        <f>'US Child Data'!AR9</f>
        <v>0</v>
      </c>
      <c r="AS9" s="172">
        <f>'US Child Data'!AS9</f>
        <v>0</v>
      </c>
      <c r="AT9" s="86"/>
      <c r="AU9" s="172">
        <f>'US Child Data'!AU9</f>
        <v>0</v>
      </c>
      <c r="AV9" s="172">
        <f>'US Child Data'!AV9</f>
        <v>0</v>
      </c>
      <c r="AW9" s="172">
        <f>'US Child Data'!AW9</f>
        <v>0</v>
      </c>
      <c r="AX9" s="86"/>
      <c r="AY9" s="172">
        <f>'US Child Data'!AY9</f>
        <v>0</v>
      </c>
      <c r="AZ9" s="172">
        <f>'US Child Data'!AZ9</f>
        <v>0</v>
      </c>
      <c r="BA9" s="172">
        <f>'US Child Data'!BA9</f>
        <v>0</v>
      </c>
      <c r="BB9" s="86"/>
      <c r="BC9" s="172">
        <f>'US Child Data'!BC9</f>
        <v>0</v>
      </c>
      <c r="BD9" s="172">
        <f>'US Child Data'!BD9</f>
        <v>0</v>
      </c>
      <c r="BE9" s="172">
        <f>'US Child Data'!BE9</f>
        <v>0</v>
      </c>
      <c r="BF9" s="305"/>
      <c r="BG9" s="172">
        <f>'US Child Data'!BG9</f>
        <v>0</v>
      </c>
      <c r="BH9" s="172">
        <f>'US Child Data'!BH9</f>
        <v>0</v>
      </c>
      <c r="BI9" s="172">
        <f>'US Child Data'!BI9</f>
        <v>0</v>
      </c>
      <c r="BJ9" s="157"/>
      <c r="BK9" s="172">
        <f>'US Child Data'!BK9</f>
        <v>0</v>
      </c>
      <c r="BL9" s="172">
        <f>'US Child Data'!BL9</f>
        <v>0</v>
      </c>
      <c r="BM9" s="172">
        <f>'US Child Data'!BM9</f>
        <v>0</v>
      </c>
      <c r="BN9" s="157"/>
      <c r="BO9" s="172">
        <f>'US Child Data'!BO9</f>
        <v>0</v>
      </c>
      <c r="BP9" s="172">
        <f>'US Child Data'!BP9</f>
        <v>0</v>
      </c>
      <c r="BQ9" s="172">
        <f>'US Child Data'!BQ9</f>
        <v>0</v>
      </c>
      <c r="BR9" s="157"/>
      <c r="BS9" s="172">
        <f>'US Child Data'!BS9</f>
        <v>0</v>
      </c>
      <c r="BT9" s="172">
        <f>'US Child Data'!BT9</f>
        <v>0</v>
      </c>
      <c r="BU9" s="172">
        <f>'US Child Data'!BU9</f>
        <v>0</v>
      </c>
      <c r="BV9" s="157"/>
      <c r="BW9" s="172">
        <f>'US Child Data'!BW9</f>
        <v>0</v>
      </c>
      <c r="BX9" s="172">
        <f>'US Child Data'!BX9</f>
        <v>0</v>
      </c>
      <c r="BY9" s="172">
        <f>'US Child Data'!BY9</f>
        <v>0</v>
      </c>
      <c r="BZ9" s="82"/>
      <c r="CA9" s="172">
        <f>'US Child Data'!CA9</f>
        <v>0</v>
      </c>
      <c r="CB9" s="172">
        <f>'US Child Data'!CB9</f>
        <v>0</v>
      </c>
      <c r="CC9" s="172">
        <f>'US Child Data'!CC9</f>
        <v>0</v>
      </c>
      <c r="CD9" s="82"/>
      <c r="CE9" s="172">
        <f>'US Child Data'!CE9</f>
        <v>0</v>
      </c>
      <c r="CF9" s="172">
        <f>'US Child Data'!CF9</f>
        <v>0</v>
      </c>
      <c r="CG9" s="172">
        <f>'US Child Data'!CG9</f>
        <v>0</v>
      </c>
      <c r="CH9" s="82"/>
      <c r="CI9" s="82"/>
      <c r="CJ9" s="82"/>
      <c r="CK9" s="82"/>
      <c r="CL9" s="82"/>
      <c r="CM9" s="82"/>
      <c r="CN9" s="82"/>
      <c r="CO9" s="82"/>
      <c r="CP9" s="82"/>
      <c r="CQ9" s="82"/>
      <c r="CR9" s="82"/>
      <c r="CS9" s="82"/>
      <c r="CT9" s="82"/>
      <c r="CU9" s="82"/>
      <c r="CV9" s="82"/>
      <c r="CW9" s="82"/>
      <c r="CX9" s="82"/>
      <c r="CY9" s="82"/>
      <c r="CZ9" s="82"/>
      <c r="DA9" s="82"/>
      <c r="DB9" s="82"/>
    </row>
    <row r="10" spans="1:106">
      <c r="A10" s="308" t="s">
        <v>243</v>
      </c>
      <c r="B10" s="301"/>
      <c r="C10" s="172">
        <f>'US Child Data'!C10</f>
        <v>0</v>
      </c>
      <c r="D10" s="172">
        <f>'US Child Data'!D10</f>
        <v>0</v>
      </c>
      <c r="E10" s="172">
        <f>'US Child Data'!E10</f>
        <v>0</v>
      </c>
      <c r="F10" s="171"/>
      <c r="G10" s="172">
        <f>'US Child Data'!G10</f>
        <v>0</v>
      </c>
      <c r="H10" s="172">
        <f>'US Child Data'!H10</f>
        <v>0</v>
      </c>
      <c r="I10" s="172">
        <f>'US Child Data'!I10</f>
        <v>0</v>
      </c>
      <c r="J10" s="157"/>
      <c r="K10" s="172">
        <f>'US Child Data'!K10</f>
        <v>0</v>
      </c>
      <c r="L10" s="172">
        <f>'US Child Data'!L10</f>
        <v>0</v>
      </c>
      <c r="M10" s="172">
        <f>'US Child Data'!M10</f>
        <v>0</v>
      </c>
      <c r="N10" s="157"/>
      <c r="O10" s="172">
        <f>'US Child Data'!O10</f>
        <v>0</v>
      </c>
      <c r="P10" s="172">
        <f>'US Child Data'!P10</f>
        <v>0</v>
      </c>
      <c r="Q10" s="172">
        <f>'US Child Data'!Q10</f>
        <v>0</v>
      </c>
      <c r="R10" s="157"/>
      <c r="S10" s="172">
        <f>'US Child Data'!S10</f>
        <v>0</v>
      </c>
      <c r="T10" s="172">
        <f>'US Child Data'!T10</f>
        <v>0</v>
      </c>
      <c r="U10" s="172">
        <f>'US Child Data'!U10</f>
        <v>0</v>
      </c>
      <c r="V10" s="157"/>
      <c r="W10" s="172">
        <f>'US Child Data'!W10</f>
        <v>0</v>
      </c>
      <c r="X10" s="172">
        <f>'US Child Data'!X10</f>
        <v>0</v>
      </c>
      <c r="Y10" s="172">
        <f>'US Child Data'!Y10</f>
        <v>0</v>
      </c>
      <c r="Z10" s="331">
        <v>0</v>
      </c>
      <c r="AA10" s="172">
        <f>'US Child Data'!AA10</f>
        <v>0</v>
      </c>
      <c r="AB10" s="172">
        <f>'US Child Data'!AB10</f>
        <v>0</v>
      </c>
      <c r="AC10" s="172">
        <f>'US Child Data'!AC10</f>
        <v>0</v>
      </c>
      <c r="AD10" s="86"/>
      <c r="AE10" s="172">
        <f>'US Child Data'!AE10</f>
        <v>0</v>
      </c>
      <c r="AF10" s="172">
        <f>'US Child Data'!AF10</f>
        <v>0</v>
      </c>
      <c r="AG10" s="172">
        <f>'US Child Data'!AG10</f>
        <v>0</v>
      </c>
      <c r="AH10" s="86"/>
      <c r="AI10" s="172">
        <f>'US Child Data'!AI10</f>
        <v>0</v>
      </c>
      <c r="AJ10" s="172">
        <f>'US Child Data'!AJ10</f>
        <v>0</v>
      </c>
      <c r="AK10" s="172">
        <f>'US Child Data'!AK10</f>
        <v>0</v>
      </c>
      <c r="AL10" s="86"/>
      <c r="AM10" s="172">
        <f>'US Child Data'!AM10</f>
        <v>0</v>
      </c>
      <c r="AN10" s="172">
        <f>'US Child Data'!AN10</f>
        <v>0</v>
      </c>
      <c r="AO10" s="172">
        <f>'US Child Data'!AO10</f>
        <v>0</v>
      </c>
      <c r="AP10" s="86"/>
      <c r="AQ10" s="172">
        <f>'US Child Data'!AQ10</f>
        <v>0</v>
      </c>
      <c r="AR10" s="172">
        <f>'US Child Data'!AR10</f>
        <v>0</v>
      </c>
      <c r="AS10" s="172">
        <f>'US Child Data'!AS10</f>
        <v>0</v>
      </c>
      <c r="AT10" s="86"/>
      <c r="AU10" s="172">
        <f>'US Child Data'!AU10</f>
        <v>0</v>
      </c>
      <c r="AV10" s="172">
        <f>'US Child Data'!AV10</f>
        <v>0</v>
      </c>
      <c r="AW10" s="172">
        <f>'US Child Data'!AW10</f>
        <v>0</v>
      </c>
      <c r="AX10" s="86"/>
      <c r="AY10" s="172">
        <f>'US Child Data'!AY10</f>
        <v>0</v>
      </c>
      <c r="AZ10" s="172">
        <f>'US Child Data'!AZ10</f>
        <v>0</v>
      </c>
      <c r="BA10" s="172">
        <f>'US Child Data'!BA10</f>
        <v>0</v>
      </c>
      <c r="BB10" s="86"/>
      <c r="BC10" s="172">
        <f>'US Child Data'!BC10</f>
        <v>0</v>
      </c>
      <c r="BD10" s="172">
        <f>'US Child Data'!BD10</f>
        <v>0</v>
      </c>
      <c r="BE10" s="172">
        <f>'US Child Data'!BE10</f>
        <v>0</v>
      </c>
      <c r="BF10" s="305"/>
      <c r="BG10" s="172">
        <f>'US Child Data'!BG10</f>
        <v>0</v>
      </c>
      <c r="BH10" s="172">
        <f>'US Child Data'!BH10</f>
        <v>0</v>
      </c>
      <c r="BI10" s="172">
        <f>'US Child Data'!BI10</f>
        <v>0</v>
      </c>
      <c r="BJ10" s="157"/>
      <c r="BK10" s="172">
        <f>'US Child Data'!BK10</f>
        <v>0</v>
      </c>
      <c r="BL10" s="172">
        <f>'US Child Data'!BL10</f>
        <v>0</v>
      </c>
      <c r="BM10" s="172">
        <f>'US Child Data'!BM10</f>
        <v>0</v>
      </c>
      <c r="BN10" s="157"/>
      <c r="BO10" s="172">
        <f>'US Child Data'!BO10</f>
        <v>0</v>
      </c>
      <c r="BP10" s="172">
        <f>'US Child Data'!BP10</f>
        <v>0</v>
      </c>
      <c r="BQ10" s="172">
        <f>'US Child Data'!BQ10</f>
        <v>0</v>
      </c>
      <c r="BR10" s="157"/>
      <c r="BS10" s="172">
        <f>'US Child Data'!BS10</f>
        <v>0</v>
      </c>
      <c r="BT10" s="172">
        <f>'US Child Data'!BT10</f>
        <v>0</v>
      </c>
      <c r="BU10" s="172">
        <f>'US Child Data'!BU10</f>
        <v>0</v>
      </c>
      <c r="BV10" s="157"/>
      <c r="BW10" s="172">
        <f>'US Child Data'!BW10</f>
        <v>0</v>
      </c>
      <c r="BX10" s="172">
        <f>'US Child Data'!BX10</f>
        <v>0</v>
      </c>
      <c r="BY10" s="172">
        <f>'US Child Data'!BY10</f>
        <v>0</v>
      </c>
      <c r="BZ10" s="82"/>
      <c r="CA10" s="172">
        <f>'US Child Data'!CA10</f>
        <v>0</v>
      </c>
      <c r="CB10" s="172">
        <f>'US Child Data'!CB10</f>
        <v>0</v>
      </c>
      <c r="CC10" s="172">
        <f>'US Child Data'!CC10</f>
        <v>0</v>
      </c>
      <c r="CD10" s="82"/>
      <c r="CE10" s="172">
        <f>'US Child Data'!CE10</f>
        <v>0</v>
      </c>
      <c r="CF10" s="172">
        <f>'US Child Data'!CF10</f>
        <v>0</v>
      </c>
      <c r="CG10" s="172">
        <f>'US Child Data'!CG10</f>
        <v>0</v>
      </c>
      <c r="CH10" s="82"/>
      <c r="CI10" s="82"/>
      <c r="CJ10" s="82"/>
      <c r="CK10" s="82"/>
      <c r="CL10" s="82"/>
      <c r="CM10" s="82"/>
      <c r="CN10" s="82"/>
      <c r="CO10" s="82"/>
      <c r="CP10" s="82"/>
      <c r="CQ10" s="82"/>
      <c r="CR10" s="82"/>
      <c r="CS10" s="82"/>
      <c r="CT10" s="82"/>
      <c r="CU10" s="82"/>
      <c r="CV10" s="82"/>
      <c r="CW10" s="82"/>
      <c r="CX10" s="82"/>
      <c r="CY10" s="82"/>
      <c r="CZ10" s="82"/>
      <c r="DA10" s="82"/>
      <c r="DB10" s="82"/>
    </row>
    <row r="11" spans="1:106">
      <c r="A11" s="308" t="s">
        <v>244</v>
      </c>
      <c r="B11" s="301"/>
      <c r="C11" s="172">
        <f>'US Child Data'!C11</f>
        <v>0</v>
      </c>
      <c r="D11" s="172">
        <f>'US Child Data'!D11</f>
        <v>0</v>
      </c>
      <c r="E11" s="172">
        <f>'US Child Data'!E11</f>
        <v>0</v>
      </c>
      <c r="F11" s="171"/>
      <c r="G11" s="172">
        <f>'US Child Data'!G11</f>
        <v>0</v>
      </c>
      <c r="H11" s="172">
        <f>'US Child Data'!H11</f>
        <v>0</v>
      </c>
      <c r="I11" s="172">
        <f>'US Child Data'!I11</f>
        <v>0</v>
      </c>
      <c r="J11" s="157"/>
      <c r="K11" s="172">
        <f>'US Child Data'!K11</f>
        <v>0</v>
      </c>
      <c r="L11" s="172">
        <f>'US Child Data'!L11</f>
        <v>0</v>
      </c>
      <c r="M11" s="172">
        <f>'US Child Data'!M11</f>
        <v>0</v>
      </c>
      <c r="N11" s="157"/>
      <c r="O11" s="172">
        <f>'US Child Data'!O11</f>
        <v>0</v>
      </c>
      <c r="P11" s="172">
        <f>'US Child Data'!P11</f>
        <v>0</v>
      </c>
      <c r="Q11" s="172">
        <f>'US Child Data'!Q11</f>
        <v>0</v>
      </c>
      <c r="R11" s="157"/>
      <c r="S11" s="172">
        <f>'US Child Data'!S11</f>
        <v>0</v>
      </c>
      <c r="T11" s="172">
        <f>'US Child Data'!T11</f>
        <v>0</v>
      </c>
      <c r="U11" s="172">
        <f>'US Child Data'!U11</f>
        <v>0</v>
      </c>
      <c r="V11" s="157"/>
      <c r="W11" s="172">
        <f>'US Child Data'!W11</f>
        <v>0</v>
      </c>
      <c r="X11" s="172">
        <f>'US Child Data'!X11</f>
        <v>0</v>
      </c>
      <c r="Y11" s="172">
        <f>'US Child Data'!Y11</f>
        <v>0</v>
      </c>
      <c r="Z11" s="331">
        <v>0</v>
      </c>
      <c r="AA11" s="172">
        <f>'US Child Data'!AA11</f>
        <v>0</v>
      </c>
      <c r="AB11" s="172">
        <f>'US Child Data'!AB11</f>
        <v>0</v>
      </c>
      <c r="AC11" s="172">
        <f>'US Child Data'!AC11</f>
        <v>0</v>
      </c>
      <c r="AD11" s="86"/>
      <c r="AE11" s="172">
        <f>'US Child Data'!AE11</f>
        <v>0</v>
      </c>
      <c r="AF11" s="172">
        <f>'US Child Data'!AF11</f>
        <v>0</v>
      </c>
      <c r="AG11" s="172">
        <f>'US Child Data'!AG11</f>
        <v>0</v>
      </c>
      <c r="AH11" s="86"/>
      <c r="AI11" s="172">
        <f>'US Child Data'!AI11</f>
        <v>0</v>
      </c>
      <c r="AJ11" s="172">
        <f>'US Child Data'!AJ11</f>
        <v>0</v>
      </c>
      <c r="AK11" s="172">
        <f>'US Child Data'!AK11</f>
        <v>0</v>
      </c>
      <c r="AL11" s="86"/>
      <c r="AM11" s="172">
        <f>'US Child Data'!AM11</f>
        <v>0</v>
      </c>
      <c r="AN11" s="172">
        <f>'US Child Data'!AN11</f>
        <v>0</v>
      </c>
      <c r="AO11" s="172">
        <f>'US Child Data'!AO11</f>
        <v>0</v>
      </c>
      <c r="AP11" s="86"/>
      <c r="AQ11" s="172">
        <f>'US Child Data'!AQ11</f>
        <v>0</v>
      </c>
      <c r="AR11" s="172">
        <f>'US Child Data'!AR11</f>
        <v>0</v>
      </c>
      <c r="AS11" s="172">
        <f>'US Child Data'!AS11</f>
        <v>0</v>
      </c>
      <c r="AT11" s="86"/>
      <c r="AU11" s="172">
        <f>'US Child Data'!AU11</f>
        <v>0</v>
      </c>
      <c r="AV11" s="172">
        <f>'US Child Data'!AV11</f>
        <v>0</v>
      </c>
      <c r="AW11" s="172">
        <f>'US Child Data'!AW11</f>
        <v>0</v>
      </c>
      <c r="AX11" s="86"/>
      <c r="AY11" s="172">
        <f>'US Child Data'!AY11</f>
        <v>0</v>
      </c>
      <c r="AZ11" s="172">
        <f>'US Child Data'!AZ11</f>
        <v>0</v>
      </c>
      <c r="BA11" s="172">
        <f>'US Child Data'!BA11</f>
        <v>0</v>
      </c>
      <c r="BB11" s="86"/>
      <c r="BC11" s="172">
        <f>'US Child Data'!BC11</f>
        <v>0</v>
      </c>
      <c r="BD11" s="172">
        <f>'US Child Data'!BD11</f>
        <v>0</v>
      </c>
      <c r="BE11" s="172">
        <f>'US Child Data'!BE11</f>
        <v>0</v>
      </c>
      <c r="BF11" s="305"/>
      <c r="BG11" s="172">
        <f>'US Child Data'!BG11</f>
        <v>0</v>
      </c>
      <c r="BH11" s="172">
        <f>'US Child Data'!BH11</f>
        <v>0</v>
      </c>
      <c r="BI11" s="172">
        <f>'US Child Data'!BI11</f>
        <v>0</v>
      </c>
      <c r="BJ11" s="157"/>
      <c r="BK11" s="172">
        <f>'US Child Data'!BK11</f>
        <v>0</v>
      </c>
      <c r="BL11" s="172">
        <f>'US Child Data'!BL11</f>
        <v>0</v>
      </c>
      <c r="BM11" s="172">
        <f>'US Child Data'!BM11</f>
        <v>0</v>
      </c>
      <c r="BN11" s="157"/>
      <c r="BO11" s="172">
        <f>'US Child Data'!BO11</f>
        <v>0</v>
      </c>
      <c r="BP11" s="172">
        <f>'US Child Data'!BP11</f>
        <v>0</v>
      </c>
      <c r="BQ11" s="172">
        <f>'US Child Data'!BQ11</f>
        <v>0</v>
      </c>
      <c r="BR11" s="157"/>
      <c r="BS11" s="172">
        <f>'US Child Data'!BS11</f>
        <v>0</v>
      </c>
      <c r="BT11" s="172">
        <f>'US Child Data'!BT11</f>
        <v>0</v>
      </c>
      <c r="BU11" s="172">
        <f>'US Child Data'!BU11</f>
        <v>0</v>
      </c>
      <c r="BV11" s="157"/>
      <c r="BW11" s="172">
        <f>'US Child Data'!BW11</f>
        <v>0</v>
      </c>
      <c r="BX11" s="172">
        <f>'US Child Data'!BX11</f>
        <v>0</v>
      </c>
      <c r="BY11" s="172">
        <f>'US Child Data'!BY11</f>
        <v>0</v>
      </c>
      <c r="BZ11" s="82"/>
      <c r="CA11" s="172">
        <f>'US Child Data'!CA11</f>
        <v>0</v>
      </c>
      <c r="CB11" s="172">
        <f>'US Child Data'!CB11</f>
        <v>0</v>
      </c>
      <c r="CC11" s="172">
        <f>'US Child Data'!CC11</f>
        <v>0</v>
      </c>
      <c r="CD11" s="82"/>
      <c r="CE11" s="172">
        <f>'US Child Data'!CE11</f>
        <v>0</v>
      </c>
      <c r="CF11" s="172">
        <f>'US Child Data'!CF11</f>
        <v>0</v>
      </c>
      <c r="CG11" s="172">
        <f>'US Child Data'!CG11</f>
        <v>0</v>
      </c>
      <c r="CH11" s="82"/>
      <c r="CI11" s="82"/>
      <c r="CJ11" s="82"/>
      <c r="CK11" s="82"/>
      <c r="CL11" s="82"/>
      <c r="CM11" s="82"/>
      <c r="CN11" s="82"/>
      <c r="CO11" s="82"/>
      <c r="CP11" s="82"/>
      <c r="CQ11" s="82"/>
      <c r="CR11" s="82"/>
      <c r="CS11" s="82"/>
      <c r="CT11" s="82"/>
      <c r="CU11" s="82"/>
      <c r="CV11" s="82"/>
      <c r="CW11" s="82"/>
      <c r="CX11" s="82"/>
      <c r="CY11" s="82"/>
      <c r="CZ11" s="82"/>
      <c r="DA11" s="82"/>
      <c r="DB11" s="82"/>
    </row>
    <row r="12" spans="1:106">
      <c r="A12" s="308" t="s">
        <v>245</v>
      </c>
      <c r="B12" s="301"/>
      <c r="C12" s="172">
        <f>'US Child Data'!C12</f>
        <v>0</v>
      </c>
      <c r="D12" s="172">
        <f>'US Child Data'!D12</f>
        <v>0</v>
      </c>
      <c r="E12" s="172">
        <f>'US Child Data'!E12</f>
        <v>0</v>
      </c>
      <c r="F12" s="171"/>
      <c r="G12" s="172">
        <f>'US Child Data'!G12</f>
        <v>0</v>
      </c>
      <c r="H12" s="172">
        <f>'US Child Data'!H12</f>
        <v>0</v>
      </c>
      <c r="I12" s="172">
        <f>'US Child Data'!I12</f>
        <v>0</v>
      </c>
      <c r="J12" s="157"/>
      <c r="K12" s="172">
        <f>'US Child Data'!K12</f>
        <v>0</v>
      </c>
      <c r="L12" s="172">
        <f>'US Child Data'!L12</f>
        <v>0</v>
      </c>
      <c r="M12" s="172">
        <f>'US Child Data'!M12</f>
        <v>0</v>
      </c>
      <c r="N12" s="157"/>
      <c r="O12" s="172">
        <f>'US Child Data'!O12</f>
        <v>0</v>
      </c>
      <c r="P12" s="172">
        <f>'US Child Data'!P12</f>
        <v>0</v>
      </c>
      <c r="Q12" s="172">
        <f>'US Child Data'!Q12</f>
        <v>0</v>
      </c>
      <c r="R12" s="157"/>
      <c r="S12" s="172">
        <f>'US Child Data'!S12</f>
        <v>0</v>
      </c>
      <c r="T12" s="172">
        <f>'US Child Data'!T12</f>
        <v>0</v>
      </c>
      <c r="U12" s="172">
        <f>'US Child Data'!U12</f>
        <v>0</v>
      </c>
      <c r="V12" s="157"/>
      <c r="W12" s="172">
        <f>'US Child Data'!W12</f>
        <v>0</v>
      </c>
      <c r="X12" s="172">
        <f>'US Child Data'!X12</f>
        <v>0</v>
      </c>
      <c r="Y12" s="172">
        <f>'US Child Data'!Y12</f>
        <v>0</v>
      </c>
      <c r="Z12" s="331">
        <v>0</v>
      </c>
      <c r="AA12" s="172">
        <f>'US Child Data'!AA12</f>
        <v>0</v>
      </c>
      <c r="AB12" s="172">
        <f>'US Child Data'!AB12</f>
        <v>0</v>
      </c>
      <c r="AC12" s="172">
        <f>'US Child Data'!AC12</f>
        <v>0</v>
      </c>
      <c r="AD12" s="86"/>
      <c r="AE12" s="172">
        <f>'US Child Data'!AE12</f>
        <v>0</v>
      </c>
      <c r="AF12" s="172">
        <f>'US Child Data'!AF12</f>
        <v>0</v>
      </c>
      <c r="AG12" s="172">
        <f>'US Child Data'!AG12</f>
        <v>0</v>
      </c>
      <c r="AH12" s="86"/>
      <c r="AI12" s="172">
        <f>'US Child Data'!AI12</f>
        <v>0</v>
      </c>
      <c r="AJ12" s="172">
        <f>'US Child Data'!AJ12</f>
        <v>0</v>
      </c>
      <c r="AK12" s="172">
        <f>'US Child Data'!AK12</f>
        <v>0</v>
      </c>
      <c r="AL12" s="86"/>
      <c r="AM12" s="172">
        <f>'US Child Data'!AM12</f>
        <v>0</v>
      </c>
      <c r="AN12" s="172">
        <f>'US Child Data'!AN12</f>
        <v>0</v>
      </c>
      <c r="AO12" s="172">
        <f>'US Child Data'!AO12</f>
        <v>0</v>
      </c>
      <c r="AP12" s="86"/>
      <c r="AQ12" s="172">
        <f>'US Child Data'!AQ12</f>
        <v>0</v>
      </c>
      <c r="AR12" s="172">
        <f>'US Child Data'!AR12</f>
        <v>0</v>
      </c>
      <c r="AS12" s="172">
        <f>'US Child Data'!AS12</f>
        <v>0</v>
      </c>
      <c r="AT12" s="86"/>
      <c r="AU12" s="172">
        <f>'US Child Data'!AU12</f>
        <v>0</v>
      </c>
      <c r="AV12" s="172">
        <f>'US Child Data'!AV12</f>
        <v>0</v>
      </c>
      <c r="AW12" s="172">
        <f>'US Child Data'!AW12</f>
        <v>0</v>
      </c>
      <c r="AX12" s="86"/>
      <c r="AY12" s="172">
        <f>'US Child Data'!AY12</f>
        <v>0</v>
      </c>
      <c r="AZ12" s="172">
        <f>'US Child Data'!AZ12</f>
        <v>0</v>
      </c>
      <c r="BA12" s="172">
        <f>'US Child Data'!BA12</f>
        <v>0</v>
      </c>
      <c r="BB12" s="86"/>
      <c r="BC12" s="172">
        <f>'US Child Data'!BC12</f>
        <v>0</v>
      </c>
      <c r="BD12" s="172">
        <f>'US Child Data'!BD12</f>
        <v>0</v>
      </c>
      <c r="BE12" s="172">
        <f>'US Child Data'!BE12</f>
        <v>0</v>
      </c>
      <c r="BF12" s="305"/>
      <c r="BG12" s="172">
        <f>'US Child Data'!BG12</f>
        <v>0</v>
      </c>
      <c r="BH12" s="172">
        <f>'US Child Data'!BH12</f>
        <v>0</v>
      </c>
      <c r="BI12" s="172">
        <f>'US Child Data'!BI12</f>
        <v>0</v>
      </c>
      <c r="BJ12" s="157"/>
      <c r="BK12" s="172">
        <f>'US Child Data'!BK12</f>
        <v>0</v>
      </c>
      <c r="BL12" s="172">
        <f>'US Child Data'!BL12</f>
        <v>0</v>
      </c>
      <c r="BM12" s="172">
        <f>'US Child Data'!BM12</f>
        <v>0</v>
      </c>
      <c r="BN12" s="157"/>
      <c r="BO12" s="172">
        <f>'US Child Data'!BO12</f>
        <v>0</v>
      </c>
      <c r="BP12" s="172">
        <f>'US Child Data'!BP12</f>
        <v>0</v>
      </c>
      <c r="BQ12" s="172">
        <f>'US Child Data'!BQ12</f>
        <v>0</v>
      </c>
      <c r="BR12" s="157"/>
      <c r="BS12" s="172">
        <f>'US Child Data'!BS12</f>
        <v>0</v>
      </c>
      <c r="BT12" s="172">
        <f>'US Child Data'!BT12</f>
        <v>0</v>
      </c>
      <c r="BU12" s="172">
        <f>'US Child Data'!BU12</f>
        <v>0</v>
      </c>
      <c r="BV12" s="157"/>
      <c r="BW12" s="172">
        <f>'US Child Data'!BW12</f>
        <v>0</v>
      </c>
      <c r="BX12" s="172">
        <f>'US Child Data'!BX12</f>
        <v>0</v>
      </c>
      <c r="BY12" s="172">
        <f>'US Child Data'!BY12</f>
        <v>0</v>
      </c>
      <c r="BZ12" s="82"/>
      <c r="CA12" s="172">
        <f>'US Child Data'!CA12</f>
        <v>0</v>
      </c>
      <c r="CB12" s="172">
        <f>'US Child Data'!CB12</f>
        <v>0</v>
      </c>
      <c r="CC12" s="172">
        <f>'US Child Data'!CC12</f>
        <v>0</v>
      </c>
      <c r="CD12" s="82"/>
      <c r="CE12" s="172">
        <f>'US Child Data'!CE12</f>
        <v>0</v>
      </c>
      <c r="CF12" s="172">
        <f>'US Child Data'!CF12</f>
        <v>0</v>
      </c>
      <c r="CG12" s="172">
        <f>'US Child Data'!CG12</f>
        <v>0</v>
      </c>
      <c r="CH12" s="82"/>
      <c r="CI12" s="82"/>
      <c r="CJ12" s="82"/>
      <c r="CK12" s="82"/>
      <c r="CL12" s="82"/>
      <c r="CM12" s="82"/>
      <c r="CN12" s="82"/>
      <c r="CO12" s="82"/>
      <c r="CP12" s="82"/>
      <c r="CQ12" s="82"/>
      <c r="CR12" s="82"/>
      <c r="CS12" s="82"/>
      <c r="CT12" s="82"/>
      <c r="CU12" s="82"/>
      <c r="CV12" s="82"/>
      <c r="CW12" s="82"/>
      <c r="CX12" s="82"/>
      <c r="CY12" s="82"/>
      <c r="CZ12" s="82"/>
      <c r="DA12" s="82"/>
      <c r="DB12" s="82"/>
    </row>
    <row r="13" spans="1:106">
      <c r="A13" s="308" t="s">
        <v>246</v>
      </c>
      <c r="B13" s="301"/>
      <c r="C13" s="172">
        <f>'US Child Data'!C13</f>
        <v>0</v>
      </c>
      <c r="D13" s="172">
        <f>'US Child Data'!D13</f>
        <v>0</v>
      </c>
      <c r="E13" s="172">
        <f>'US Child Data'!E13</f>
        <v>0</v>
      </c>
      <c r="F13" s="171"/>
      <c r="G13" s="172">
        <f>'US Child Data'!G13</f>
        <v>0</v>
      </c>
      <c r="H13" s="172">
        <f>'US Child Data'!H13</f>
        <v>0</v>
      </c>
      <c r="I13" s="172">
        <f>'US Child Data'!I13</f>
        <v>0</v>
      </c>
      <c r="J13" s="157"/>
      <c r="K13" s="172">
        <f>'US Child Data'!K13</f>
        <v>0</v>
      </c>
      <c r="L13" s="172">
        <f>'US Child Data'!L13</f>
        <v>0</v>
      </c>
      <c r="M13" s="172">
        <f>'US Child Data'!M13</f>
        <v>0</v>
      </c>
      <c r="N13" s="157"/>
      <c r="O13" s="172">
        <f>'US Child Data'!O13</f>
        <v>0</v>
      </c>
      <c r="P13" s="172">
        <f>'US Child Data'!P13</f>
        <v>0</v>
      </c>
      <c r="Q13" s="172">
        <f>'US Child Data'!Q13</f>
        <v>0</v>
      </c>
      <c r="R13" s="157"/>
      <c r="S13" s="172">
        <f>'US Child Data'!S13</f>
        <v>0</v>
      </c>
      <c r="T13" s="172">
        <f>'US Child Data'!T13</f>
        <v>0</v>
      </c>
      <c r="U13" s="172">
        <f>'US Child Data'!U13</f>
        <v>0</v>
      </c>
      <c r="V13" s="157"/>
      <c r="W13" s="172">
        <f>'US Child Data'!W13</f>
        <v>0</v>
      </c>
      <c r="X13" s="172">
        <f>'US Child Data'!X13</f>
        <v>0</v>
      </c>
      <c r="Y13" s="172">
        <f>'US Child Data'!Y13</f>
        <v>0</v>
      </c>
      <c r="Z13" s="331">
        <v>0</v>
      </c>
      <c r="AA13" s="172">
        <f>'US Child Data'!AA13</f>
        <v>0</v>
      </c>
      <c r="AB13" s="172">
        <f>'US Child Data'!AB13</f>
        <v>0</v>
      </c>
      <c r="AC13" s="172">
        <f>'US Child Data'!AC13</f>
        <v>0</v>
      </c>
      <c r="AD13" s="86"/>
      <c r="AE13" s="172">
        <f>'US Child Data'!AE13</f>
        <v>0</v>
      </c>
      <c r="AF13" s="172">
        <f>'US Child Data'!AF13</f>
        <v>0</v>
      </c>
      <c r="AG13" s="172">
        <f>'US Child Data'!AG13</f>
        <v>0</v>
      </c>
      <c r="AH13" s="86"/>
      <c r="AI13" s="172">
        <f>'US Child Data'!AI13</f>
        <v>0</v>
      </c>
      <c r="AJ13" s="172">
        <f>'US Child Data'!AJ13</f>
        <v>0</v>
      </c>
      <c r="AK13" s="172">
        <f>'US Child Data'!AK13</f>
        <v>0</v>
      </c>
      <c r="AL13" s="86"/>
      <c r="AM13" s="172">
        <f>'US Child Data'!AM13</f>
        <v>0</v>
      </c>
      <c r="AN13" s="172">
        <f>'US Child Data'!AN13</f>
        <v>0</v>
      </c>
      <c r="AO13" s="172">
        <f>'US Child Data'!AO13</f>
        <v>0</v>
      </c>
      <c r="AP13" s="86"/>
      <c r="AQ13" s="172">
        <f>'US Child Data'!AQ13</f>
        <v>0</v>
      </c>
      <c r="AR13" s="172">
        <f>'US Child Data'!AR13</f>
        <v>0</v>
      </c>
      <c r="AS13" s="172">
        <f>'US Child Data'!AS13</f>
        <v>0</v>
      </c>
      <c r="AT13" s="86"/>
      <c r="AU13" s="172">
        <f>'US Child Data'!AU13</f>
        <v>0</v>
      </c>
      <c r="AV13" s="172">
        <f>'US Child Data'!AV13</f>
        <v>0</v>
      </c>
      <c r="AW13" s="172">
        <f>'US Child Data'!AW13</f>
        <v>0</v>
      </c>
      <c r="AX13" s="86"/>
      <c r="AY13" s="172">
        <f>'US Child Data'!AY13</f>
        <v>0</v>
      </c>
      <c r="AZ13" s="172">
        <f>'US Child Data'!AZ13</f>
        <v>0</v>
      </c>
      <c r="BA13" s="172">
        <f>'US Child Data'!BA13</f>
        <v>0</v>
      </c>
      <c r="BB13" s="86"/>
      <c r="BC13" s="172">
        <f>'US Child Data'!BC13</f>
        <v>0</v>
      </c>
      <c r="BD13" s="172">
        <f>'US Child Data'!BD13</f>
        <v>0</v>
      </c>
      <c r="BE13" s="172">
        <f>'US Child Data'!BE13</f>
        <v>0</v>
      </c>
      <c r="BF13" s="305"/>
      <c r="BG13" s="172">
        <f>'US Child Data'!BG13</f>
        <v>0</v>
      </c>
      <c r="BH13" s="172">
        <f>'US Child Data'!BH13</f>
        <v>0</v>
      </c>
      <c r="BI13" s="172">
        <f>'US Child Data'!BI13</f>
        <v>0</v>
      </c>
      <c r="BJ13" s="157"/>
      <c r="BK13" s="172">
        <f>'US Child Data'!BK13</f>
        <v>0</v>
      </c>
      <c r="BL13" s="172">
        <f>'US Child Data'!BL13</f>
        <v>0</v>
      </c>
      <c r="BM13" s="172">
        <f>'US Child Data'!BM13</f>
        <v>0</v>
      </c>
      <c r="BN13" s="157"/>
      <c r="BO13" s="172">
        <f>'US Child Data'!BO13</f>
        <v>0</v>
      </c>
      <c r="BP13" s="172">
        <f>'US Child Data'!BP13</f>
        <v>0</v>
      </c>
      <c r="BQ13" s="172">
        <f>'US Child Data'!BQ13</f>
        <v>0</v>
      </c>
      <c r="BR13" s="157"/>
      <c r="BS13" s="172">
        <f>'US Child Data'!BS13</f>
        <v>0</v>
      </c>
      <c r="BT13" s="172">
        <f>'US Child Data'!BT13</f>
        <v>0</v>
      </c>
      <c r="BU13" s="172">
        <f>'US Child Data'!BU13</f>
        <v>0</v>
      </c>
      <c r="BV13" s="157"/>
      <c r="BW13" s="172">
        <f>'US Child Data'!BW13</f>
        <v>0</v>
      </c>
      <c r="BX13" s="172">
        <f>'US Child Data'!BX13</f>
        <v>0</v>
      </c>
      <c r="BY13" s="172">
        <f>'US Child Data'!BY13</f>
        <v>0</v>
      </c>
      <c r="BZ13" s="82"/>
      <c r="CA13" s="172">
        <f>'US Child Data'!CA13</f>
        <v>0</v>
      </c>
      <c r="CB13" s="172">
        <f>'US Child Data'!CB13</f>
        <v>0</v>
      </c>
      <c r="CC13" s="172">
        <f>'US Child Data'!CC13</f>
        <v>0</v>
      </c>
      <c r="CD13" s="82"/>
      <c r="CE13" s="172">
        <f>'US Child Data'!CE13</f>
        <v>0</v>
      </c>
      <c r="CF13" s="172">
        <f>'US Child Data'!CF13</f>
        <v>0</v>
      </c>
      <c r="CG13" s="172">
        <f>'US Child Data'!CG13</f>
        <v>0</v>
      </c>
      <c r="CH13" s="82"/>
      <c r="CI13" s="82"/>
      <c r="CJ13" s="82"/>
      <c r="CK13" s="82"/>
      <c r="CL13" s="82"/>
      <c r="CM13" s="82"/>
      <c r="CN13" s="82"/>
      <c r="CO13" s="82"/>
      <c r="CP13" s="82"/>
      <c r="CQ13" s="82"/>
      <c r="CR13" s="82"/>
      <c r="CS13" s="82"/>
      <c r="CT13" s="82"/>
      <c r="CU13" s="82"/>
      <c r="CV13" s="82"/>
      <c r="CW13" s="82"/>
      <c r="CX13" s="82"/>
      <c r="CY13" s="82"/>
      <c r="CZ13" s="82"/>
      <c r="DA13" s="82"/>
      <c r="DB13" s="82"/>
    </row>
    <row r="14" spans="1:106">
      <c r="A14" s="308" t="s">
        <v>247</v>
      </c>
      <c r="B14" s="301"/>
      <c r="C14" s="172">
        <f>'US Child Data'!C14</f>
        <v>0</v>
      </c>
      <c r="D14" s="172">
        <f>'US Child Data'!D14</f>
        <v>0</v>
      </c>
      <c r="E14" s="172">
        <f>'US Child Data'!E14</f>
        <v>0</v>
      </c>
      <c r="F14" s="171"/>
      <c r="G14" s="172">
        <f>'US Child Data'!G14</f>
        <v>0</v>
      </c>
      <c r="H14" s="172">
        <f>'US Child Data'!H14</f>
        <v>0</v>
      </c>
      <c r="I14" s="172">
        <f>'US Child Data'!I14</f>
        <v>0</v>
      </c>
      <c r="J14" s="157"/>
      <c r="K14" s="172">
        <f>'US Child Data'!K14</f>
        <v>0</v>
      </c>
      <c r="L14" s="172">
        <f>'US Child Data'!L14</f>
        <v>0</v>
      </c>
      <c r="M14" s="172">
        <f>'US Child Data'!M14</f>
        <v>0</v>
      </c>
      <c r="N14" s="157"/>
      <c r="O14" s="172">
        <f>'US Child Data'!O14</f>
        <v>0</v>
      </c>
      <c r="P14" s="172">
        <f>'US Child Data'!P14</f>
        <v>0</v>
      </c>
      <c r="Q14" s="172">
        <f>'US Child Data'!Q14</f>
        <v>0</v>
      </c>
      <c r="R14" s="157"/>
      <c r="S14" s="172">
        <f>'US Child Data'!S14</f>
        <v>0</v>
      </c>
      <c r="T14" s="172">
        <f>'US Child Data'!T14</f>
        <v>0</v>
      </c>
      <c r="U14" s="172">
        <f>'US Child Data'!U14</f>
        <v>0</v>
      </c>
      <c r="V14" s="157"/>
      <c r="W14" s="172">
        <f>'US Child Data'!W14</f>
        <v>0</v>
      </c>
      <c r="X14" s="172">
        <f>'US Child Data'!X14</f>
        <v>0</v>
      </c>
      <c r="Y14" s="172">
        <f>'US Child Data'!Y14</f>
        <v>0</v>
      </c>
      <c r="Z14" s="331">
        <v>0</v>
      </c>
      <c r="AA14" s="172">
        <f>'US Child Data'!AA14</f>
        <v>0</v>
      </c>
      <c r="AB14" s="172">
        <f>'US Child Data'!AB14</f>
        <v>0</v>
      </c>
      <c r="AC14" s="172">
        <f>'US Child Data'!AC14</f>
        <v>0</v>
      </c>
      <c r="AD14" s="86"/>
      <c r="AE14" s="172">
        <f>'US Child Data'!AE14</f>
        <v>0</v>
      </c>
      <c r="AF14" s="172">
        <f>'US Child Data'!AF14</f>
        <v>0</v>
      </c>
      <c r="AG14" s="172">
        <f>'US Child Data'!AG14</f>
        <v>0</v>
      </c>
      <c r="AH14" s="86"/>
      <c r="AI14" s="172">
        <f>'US Child Data'!AI14</f>
        <v>0</v>
      </c>
      <c r="AJ14" s="172">
        <f>'US Child Data'!AJ14</f>
        <v>0</v>
      </c>
      <c r="AK14" s="172">
        <f>'US Child Data'!AK14</f>
        <v>0</v>
      </c>
      <c r="AL14" s="86"/>
      <c r="AM14" s="172">
        <f>'US Child Data'!AM14</f>
        <v>0</v>
      </c>
      <c r="AN14" s="172">
        <f>'US Child Data'!AN14</f>
        <v>0</v>
      </c>
      <c r="AO14" s="172">
        <f>'US Child Data'!AO14</f>
        <v>0</v>
      </c>
      <c r="AP14" s="86"/>
      <c r="AQ14" s="172">
        <f>'US Child Data'!AQ14</f>
        <v>0</v>
      </c>
      <c r="AR14" s="172">
        <f>'US Child Data'!AR14</f>
        <v>0</v>
      </c>
      <c r="AS14" s="172">
        <f>'US Child Data'!AS14</f>
        <v>0</v>
      </c>
      <c r="AT14" s="86"/>
      <c r="AU14" s="172">
        <f>'US Child Data'!AU14</f>
        <v>0</v>
      </c>
      <c r="AV14" s="172">
        <f>'US Child Data'!AV14</f>
        <v>0</v>
      </c>
      <c r="AW14" s="172">
        <f>'US Child Data'!AW14</f>
        <v>0</v>
      </c>
      <c r="AX14" s="86"/>
      <c r="AY14" s="172">
        <f>'US Child Data'!AY14</f>
        <v>0</v>
      </c>
      <c r="AZ14" s="172">
        <f>'US Child Data'!AZ14</f>
        <v>0</v>
      </c>
      <c r="BA14" s="172">
        <f>'US Child Data'!BA14</f>
        <v>0</v>
      </c>
      <c r="BB14" s="86"/>
      <c r="BC14" s="172">
        <f>'US Child Data'!BC14</f>
        <v>0</v>
      </c>
      <c r="BD14" s="172">
        <f>'US Child Data'!BD14</f>
        <v>0</v>
      </c>
      <c r="BE14" s="172">
        <f>'US Child Data'!BE14</f>
        <v>0</v>
      </c>
      <c r="BF14" s="305"/>
      <c r="BG14" s="172">
        <f>'US Child Data'!BG14</f>
        <v>0</v>
      </c>
      <c r="BH14" s="172">
        <f>'US Child Data'!BH14</f>
        <v>0</v>
      </c>
      <c r="BI14" s="172">
        <f>'US Child Data'!BI14</f>
        <v>0</v>
      </c>
      <c r="BJ14" s="157"/>
      <c r="BK14" s="172">
        <f>'US Child Data'!BK14</f>
        <v>0</v>
      </c>
      <c r="BL14" s="172">
        <f>'US Child Data'!BL14</f>
        <v>0</v>
      </c>
      <c r="BM14" s="172">
        <f>'US Child Data'!BM14</f>
        <v>0</v>
      </c>
      <c r="BN14" s="157"/>
      <c r="BO14" s="172">
        <f>'US Child Data'!BO14</f>
        <v>0</v>
      </c>
      <c r="BP14" s="172">
        <f>'US Child Data'!BP14</f>
        <v>0</v>
      </c>
      <c r="BQ14" s="172">
        <f>'US Child Data'!BQ14</f>
        <v>0</v>
      </c>
      <c r="BR14" s="157"/>
      <c r="BS14" s="172">
        <f>'US Child Data'!BS14</f>
        <v>0</v>
      </c>
      <c r="BT14" s="172">
        <f>'US Child Data'!BT14</f>
        <v>0</v>
      </c>
      <c r="BU14" s="172">
        <f>'US Child Data'!BU14</f>
        <v>0</v>
      </c>
      <c r="BV14" s="157"/>
      <c r="BW14" s="172">
        <f>'US Child Data'!BW14</f>
        <v>0</v>
      </c>
      <c r="BX14" s="172">
        <f>'US Child Data'!BX14</f>
        <v>0</v>
      </c>
      <c r="BY14" s="172">
        <f>'US Child Data'!BY14</f>
        <v>0</v>
      </c>
      <c r="BZ14" s="82"/>
      <c r="CA14" s="172">
        <f>'US Child Data'!CA14</f>
        <v>0</v>
      </c>
      <c r="CB14" s="172">
        <f>'US Child Data'!CB14</f>
        <v>0</v>
      </c>
      <c r="CC14" s="172">
        <f>'US Child Data'!CC14</f>
        <v>0</v>
      </c>
      <c r="CD14" s="82"/>
      <c r="CE14" s="172">
        <f>'US Child Data'!CE14</f>
        <v>0</v>
      </c>
      <c r="CF14" s="172">
        <f>'US Child Data'!CF14</f>
        <v>0</v>
      </c>
      <c r="CG14" s="172">
        <f>'US Child Data'!CG14</f>
        <v>0</v>
      </c>
      <c r="CH14" s="82"/>
      <c r="CI14" s="82"/>
      <c r="CJ14" s="82"/>
      <c r="CK14" s="82"/>
      <c r="CL14" s="82"/>
      <c r="CM14" s="82"/>
      <c r="CN14" s="82"/>
      <c r="CO14" s="82"/>
      <c r="CP14" s="82"/>
      <c r="CQ14" s="82"/>
      <c r="CR14" s="82"/>
      <c r="CS14" s="82"/>
      <c r="CT14" s="82"/>
      <c r="CU14" s="82"/>
      <c r="CV14" s="82"/>
      <c r="CW14" s="82"/>
      <c r="CX14" s="82"/>
      <c r="CY14" s="82"/>
      <c r="CZ14" s="82"/>
      <c r="DA14" s="82"/>
      <c r="DB14" s="82"/>
    </row>
    <row r="15" spans="1:106">
      <c r="A15" s="308" t="s">
        <v>248</v>
      </c>
      <c r="B15" s="301"/>
      <c r="C15" s="172">
        <f>'US Child Data'!C15</f>
        <v>0</v>
      </c>
      <c r="D15" s="172">
        <f>'US Child Data'!D15</f>
        <v>0</v>
      </c>
      <c r="E15" s="172">
        <f>'US Child Data'!E15</f>
        <v>0</v>
      </c>
      <c r="F15" s="171"/>
      <c r="G15" s="172">
        <f>'US Child Data'!G15</f>
        <v>0</v>
      </c>
      <c r="H15" s="172">
        <f>'US Child Data'!H15</f>
        <v>0</v>
      </c>
      <c r="I15" s="172">
        <f>'US Child Data'!I15</f>
        <v>0</v>
      </c>
      <c r="J15" s="157"/>
      <c r="K15" s="172">
        <f>'US Child Data'!K15</f>
        <v>0</v>
      </c>
      <c r="L15" s="172">
        <f>'US Child Data'!L15</f>
        <v>0</v>
      </c>
      <c r="M15" s="172">
        <f>'US Child Data'!M15</f>
        <v>0</v>
      </c>
      <c r="N15" s="157"/>
      <c r="O15" s="172">
        <f>'US Child Data'!O15</f>
        <v>0</v>
      </c>
      <c r="P15" s="172">
        <f>'US Child Data'!P15</f>
        <v>0</v>
      </c>
      <c r="Q15" s="172">
        <f>'US Child Data'!Q15</f>
        <v>0</v>
      </c>
      <c r="R15" s="157"/>
      <c r="S15" s="172">
        <f>'US Child Data'!S15</f>
        <v>0</v>
      </c>
      <c r="T15" s="172">
        <f>'US Child Data'!T15</f>
        <v>0</v>
      </c>
      <c r="U15" s="172">
        <f>'US Child Data'!U15</f>
        <v>0</v>
      </c>
      <c r="V15" s="157"/>
      <c r="W15" s="172">
        <f>'US Child Data'!W15</f>
        <v>0</v>
      </c>
      <c r="X15" s="172">
        <f>'US Child Data'!X15</f>
        <v>0</v>
      </c>
      <c r="Y15" s="172">
        <f>'US Child Data'!Y15</f>
        <v>0</v>
      </c>
      <c r="Z15" s="331">
        <v>0</v>
      </c>
      <c r="AA15" s="172">
        <f>'US Child Data'!AA15</f>
        <v>0</v>
      </c>
      <c r="AB15" s="172">
        <f>'US Child Data'!AB15</f>
        <v>0</v>
      </c>
      <c r="AC15" s="172">
        <f>'US Child Data'!AC15</f>
        <v>0</v>
      </c>
      <c r="AD15" s="86"/>
      <c r="AE15" s="172">
        <f>'US Child Data'!AE15</f>
        <v>0</v>
      </c>
      <c r="AF15" s="172">
        <f>'US Child Data'!AF15</f>
        <v>0</v>
      </c>
      <c r="AG15" s="172">
        <f>'US Child Data'!AG15</f>
        <v>0</v>
      </c>
      <c r="AH15" s="86"/>
      <c r="AI15" s="172">
        <f>'US Child Data'!AI15</f>
        <v>0</v>
      </c>
      <c r="AJ15" s="172">
        <f>'US Child Data'!AJ15</f>
        <v>0</v>
      </c>
      <c r="AK15" s="172">
        <f>'US Child Data'!AK15</f>
        <v>0</v>
      </c>
      <c r="AL15" s="86"/>
      <c r="AM15" s="172">
        <f>'US Child Data'!AM15</f>
        <v>0</v>
      </c>
      <c r="AN15" s="172">
        <f>'US Child Data'!AN15</f>
        <v>0</v>
      </c>
      <c r="AO15" s="172">
        <f>'US Child Data'!AO15</f>
        <v>0</v>
      </c>
      <c r="AP15" s="86"/>
      <c r="AQ15" s="172">
        <f>'US Child Data'!AQ15</f>
        <v>0</v>
      </c>
      <c r="AR15" s="172">
        <f>'US Child Data'!AR15</f>
        <v>0</v>
      </c>
      <c r="AS15" s="172">
        <f>'US Child Data'!AS15</f>
        <v>0</v>
      </c>
      <c r="AT15" s="86"/>
      <c r="AU15" s="172">
        <f>'US Child Data'!AU15</f>
        <v>0</v>
      </c>
      <c r="AV15" s="172">
        <f>'US Child Data'!AV15</f>
        <v>0</v>
      </c>
      <c r="AW15" s="172">
        <f>'US Child Data'!AW15</f>
        <v>0</v>
      </c>
      <c r="AX15" s="86"/>
      <c r="AY15" s="172">
        <f>'US Child Data'!AY15</f>
        <v>0</v>
      </c>
      <c r="AZ15" s="172">
        <f>'US Child Data'!AZ15</f>
        <v>0</v>
      </c>
      <c r="BA15" s="172">
        <f>'US Child Data'!BA15</f>
        <v>0</v>
      </c>
      <c r="BB15" s="86"/>
      <c r="BC15" s="172">
        <f>'US Child Data'!BC15</f>
        <v>0</v>
      </c>
      <c r="BD15" s="172">
        <f>'US Child Data'!BD15</f>
        <v>0</v>
      </c>
      <c r="BE15" s="172">
        <f>'US Child Data'!BE15</f>
        <v>0</v>
      </c>
      <c r="BF15" s="305"/>
      <c r="BG15" s="172">
        <f>'US Child Data'!BG15</f>
        <v>0</v>
      </c>
      <c r="BH15" s="172">
        <f>'US Child Data'!BH15</f>
        <v>0</v>
      </c>
      <c r="BI15" s="172">
        <f>'US Child Data'!BI15</f>
        <v>0</v>
      </c>
      <c r="BJ15" s="157"/>
      <c r="BK15" s="172">
        <f>'US Child Data'!BK15</f>
        <v>0</v>
      </c>
      <c r="BL15" s="172">
        <f>'US Child Data'!BL15</f>
        <v>0</v>
      </c>
      <c r="BM15" s="172">
        <f>'US Child Data'!BM15</f>
        <v>0</v>
      </c>
      <c r="BN15" s="157"/>
      <c r="BO15" s="172">
        <f>'US Child Data'!BO15</f>
        <v>0</v>
      </c>
      <c r="BP15" s="172">
        <f>'US Child Data'!BP15</f>
        <v>0</v>
      </c>
      <c r="BQ15" s="172">
        <f>'US Child Data'!BQ15</f>
        <v>0</v>
      </c>
      <c r="BR15" s="157"/>
      <c r="BS15" s="172">
        <f>'US Child Data'!BS15</f>
        <v>0</v>
      </c>
      <c r="BT15" s="172">
        <f>'US Child Data'!BT15</f>
        <v>0</v>
      </c>
      <c r="BU15" s="172">
        <f>'US Child Data'!BU15</f>
        <v>0</v>
      </c>
      <c r="BV15" s="157"/>
      <c r="BW15" s="172">
        <f>'US Child Data'!BW15</f>
        <v>0</v>
      </c>
      <c r="BX15" s="172">
        <f>'US Child Data'!BX15</f>
        <v>0</v>
      </c>
      <c r="BY15" s="172">
        <f>'US Child Data'!BY15</f>
        <v>0</v>
      </c>
      <c r="BZ15" s="82"/>
      <c r="CA15" s="172">
        <f>'US Child Data'!CA15</f>
        <v>0</v>
      </c>
      <c r="CB15" s="172">
        <f>'US Child Data'!CB15</f>
        <v>0</v>
      </c>
      <c r="CC15" s="172">
        <f>'US Child Data'!CC15</f>
        <v>0</v>
      </c>
      <c r="CD15" s="82"/>
      <c r="CE15" s="172">
        <f>'US Child Data'!CE15</f>
        <v>0</v>
      </c>
      <c r="CF15" s="172">
        <f>'US Child Data'!CF15</f>
        <v>0</v>
      </c>
      <c r="CG15" s="172">
        <f>'US Child Data'!CG15</f>
        <v>0</v>
      </c>
      <c r="CH15" s="82"/>
      <c r="CI15" s="82"/>
      <c r="CJ15" s="82"/>
      <c r="CK15" s="82"/>
      <c r="CL15" s="82"/>
      <c r="CM15" s="82"/>
      <c r="CN15" s="82"/>
      <c r="CO15" s="82"/>
      <c r="CP15" s="82"/>
      <c r="CQ15" s="82"/>
      <c r="CR15" s="82"/>
      <c r="CS15" s="82"/>
      <c r="CT15" s="82"/>
      <c r="CU15" s="82"/>
      <c r="CV15" s="82"/>
      <c r="CW15" s="82"/>
      <c r="CX15" s="82"/>
      <c r="CY15" s="82"/>
      <c r="CZ15" s="82"/>
      <c r="DA15" s="82"/>
      <c r="DB15" s="82"/>
    </row>
    <row r="16" spans="1:106">
      <c r="A16" s="308" t="s">
        <v>249</v>
      </c>
      <c r="B16" s="301"/>
      <c r="C16" s="172">
        <f>'US Child Data'!C16</f>
        <v>0</v>
      </c>
      <c r="D16" s="172">
        <f>'US Child Data'!D16</f>
        <v>0</v>
      </c>
      <c r="E16" s="172">
        <f>'US Child Data'!E16</f>
        <v>0</v>
      </c>
      <c r="F16" s="171"/>
      <c r="G16" s="172">
        <f>'US Child Data'!G16</f>
        <v>0</v>
      </c>
      <c r="H16" s="172">
        <f>'US Child Data'!H16</f>
        <v>0</v>
      </c>
      <c r="I16" s="172">
        <f>'US Child Data'!I16</f>
        <v>0</v>
      </c>
      <c r="J16" s="157"/>
      <c r="K16" s="172">
        <f>'US Child Data'!K16</f>
        <v>0</v>
      </c>
      <c r="L16" s="172">
        <f>'US Child Data'!L16</f>
        <v>0</v>
      </c>
      <c r="M16" s="172">
        <f>'US Child Data'!M16</f>
        <v>0</v>
      </c>
      <c r="N16" s="157"/>
      <c r="O16" s="172">
        <f>'US Child Data'!O16</f>
        <v>0</v>
      </c>
      <c r="P16" s="172">
        <f>'US Child Data'!P16</f>
        <v>0</v>
      </c>
      <c r="Q16" s="172">
        <f>'US Child Data'!Q16</f>
        <v>0</v>
      </c>
      <c r="R16" s="157"/>
      <c r="S16" s="172">
        <f>'US Child Data'!S16</f>
        <v>0</v>
      </c>
      <c r="T16" s="172">
        <f>'US Child Data'!T16</f>
        <v>0</v>
      </c>
      <c r="U16" s="172">
        <f>'US Child Data'!U16</f>
        <v>0</v>
      </c>
      <c r="V16" s="157"/>
      <c r="W16" s="172">
        <f>'US Child Data'!W16</f>
        <v>0</v>
      </c>
      <c r="X16" s="172">
        <f>'US Child Data'!X16</f>
        <v>0</v>
      </c>
      <c r="Y16" s="172">
        <f>'US Child Data'!Y16</f>
        <v>0</v>
      </c>
      <c r="Z16" s="331">
        <v>0</v>
      </c>
      <c r="AA16" s="172">
        <f>'US Child Data'!AA16</f>
        <v>0</v>
      </c>
      <c r="AB16" s="172">
        <f>'US Child Data'!AB16</f>
        <v>0</v>
      </c>
      <c r="AC16" s="172">
        <f>'US Child Data'!AC16</f>
        <v>0</v>
      </c>
      <c r="AD16" s="86"/>
      <c r="AE16" s="172">
        <f>'US Child Data'!AE16</f>
        <v>0</v>
      </c>
      <c r="AF16" s="172">
        <f>'US Child Data'!AF16</f>
        <v>0</v>
      </c>
      <c r="AG16" s="172">
        <f>'US Child Data'!AG16</f>
        <v>0</v>
      </c>
      <c r="AH16" s="86"/>
      <c r="AI16" s="172">
        <f>'US Child Data'!AI16</f>
        <v>0</v>
      </c>
      <c r="AJ16" s="172">
        <f>'US Child Data'!AJ16</f>
        <v>0</v>
      </c>
      <c r="AK16" s="172">
        <f>'US Child Data'!AK16</f>
        <v>0</v>
      </c>
      <c r="AL16" s="86"/>
      <c r="AM16" s="172">
        <f>'US Child Data'!AM16</f>
        <v>0</v>
      </c>
      <c r="AN16" s="172">
        <f>'US Child Data'!AN16</f>
        <v>0</v>
      </c>
      <c r="AO16" s="172">
        <f>'US Child Data'!AO16</f>
        <v>0</v>
      </c>
      <c r="AP16" s="86"/>
      <c r="AQ16" s="172">
        <f>'US Child Data'!AQ16</f>
        <v>0</v>
      </c>
      <c r="AR16" s="172">
        <f>'US Child Data'!AR16</f>
        <v>0</v>
      </c>
      <c r="AS16" s="172">
        <f>'US Child Data'!AS16</f>
        <v>0</v>
      </c>
      <c r="AT16" s="86"/>
      <c r="AU16" s="172">
        <f>'US Child Data'!AU16</f>
        <v>0</v>
      </c>
      <c r="AV16" s="172">
        <f>'US Child Data'!AV16</f>
        <v>0</v>
      </c>
      <c r="AW16" s="172">
        <f>'US Child Data'!AW16</f>
        <v>0</v>
      </c>
      <c r="AX16" s="86"/>
      <c r="AY16" s="172">
        <f>'US Child Data'!AY16</f>
        <v>0</v>
      </c>
      <c r="AZ16" s="172">
        <f>'US Child Data'!AZ16</f>
        <v>0</v>
      </c>
      <c r="BA16" s="172">
        <f>'US Child Data'!BA16</f>
        <v>0</v>
      </c>
      <c r="BB16" s="86"/>
      <c r="BC16" s="172">
        <f>'US Child Data'!BC16</f>
        <v>0</v>
      </c>
      <c r="BD16" s="172">
        <f>'US Child Data'!BD16</f>
        <v>0</v>
      </c>
      <c r="BE16" s="172">
        <f>'US Child Data'!BE16</f>
        <v>0</v>
      </c>
      <c r="BF16" s="305"/>
      <c r="BG16" s="172">
        <f>'US Child Data'!BG16</f>
        <v>0</v>
      </c>
      <c r="BH16" s="172">
        <f>'US Child Data'!BH16</f>
        <v>0</v>
      </c>
      <c r="BI16" s="172">
        <f>'US Child Data'!BI16</f>
        <v>0</v>
      </c>
      <c r="BJ16" s="157"/>
      <c r="BK16" s="172">
        <f>'US Child Data'!BK16</f>
        <v>0</v>
      </c>
      <c r="BL16" s="172">
        <f>'US Child Data'!BL16</f>
        <v>0</v>
      </c>
      <c r="BM16" s="172">
        <f>'US Child Data'!BM16</f>
        <v>0</v>
      </c>
      <c r="BN16" s="157"/>
      <c r="BO16" s="172">
        <f>'US Child Data'!BO16</f>
        <v>0</v>
      </c>
      <c r="BP16" s="172">
        <f>'US Child Data'!BP16</f>
        <v>0</v>
      </c>
      <c r="BQ16" s="172">
        <f>'US Child Data'!BQ16</f>
        <v>0</v>
      </c>
      <c r="BR16" s="157"/>
      <c r="BS16" s="172">
        <f>'US Child Data'!BS16</f>
        <v>0</v>
      </c>
      <c r="BT16" s="172">
        <f>'US Child Data'!BT16</f>
        <v>0</v>
      </c>
      <c r="BU16" s="172">
        <f>'US Child Data'!BU16</f>
        <v>0</v>
      </c>
      <c r="BV16" s="157"/>
      <c r="BW16" s="172">
        <f>'US Child Data'!BW16</f>
        <v>0</v>
      </c>
      <c r="BX16" s="172">
        <f>'US Child Data'!BX16</f>
        <v>0</v>
      </c>
      <c r="BY16" s="172">
        <f>'US Child Data'!BY16</f>
        <v>0</v>
      </c>
      <c r="BZ16" s="82"/>
      <c r="CA16" s="172">
        <f>'US Child Data'!CA16</f>
        <v>0</v>
      </c>
      <c r="CB16" s="172">
        <f>'US Child Data'!CB16</f>
        <v>0</v>
      </c>
      <c r="CC16" s="172">
        <f>'US Child Data'!CC16</f>
        <v>0</v>
      </c>
      <c r="CD16" s="82"/>
      <c r="CE16" s="172">
        <f>'US Child Data'!CE16</f>
        <v>0</v>
      </c>
      <c r="CF16" s="172">
        <f>'US Child Data'!CF16</f>
        <v>0</v>
      </c>
      <c r="CG16" s="172">
        <f>'US Child Data'!CG16</f>
        <v>0</v>
      </c>
      <c r="CH16" s="82"/>
      <c r="CI16" s="82"/>
      <c r="CJ16" s="82"/>
      <c r="CK16" s="82"/>
      <c r="CL16" s="82"/>
      <c r="CM16" s="82"/>
      <c r="CN16" s="82"/>
      <c r="CO16" s="82"/>
      <c r="CP16" s="82"/>
      <c r="CQ16" s="82"/>
      <c r="CR16" s="82"/>
      <c r="CS16" s="82"/>
      <c r="CT16" s="82"/>
      <c r="CU16" s="82"/>
      <c r="CV16" s="82"/>
      <c r="CW16" s="82"/>
      <c r="CX16" s="82"/>
      <c r="CY16" s="82"/>
      <c r="CZ16" s="82"/>
      <c r="DA16" s="82"/>
      <c r="DB16" s="82"/>
    </row>
    <row r="17" spans="1:106">
      <c r="A17" s="308" t="s">
        <v>250</v>
      </c>
      <c r="B17" s="301"/>
      <c r="C17" s="172">
        <f>'US Child Data'!C17</f>
        <v>0</v>
      </c>
      <c r="D17" s="172">
        <f>'US Child Data'!D17</f>
        <v>0</v>
      </c>
      <c r="E17" s="172">
        <f>'US Child Data'!E17</f>
        <v>0</v>
      </c>
      <c r="F17" s="171"/>
      <c r="G17" s="172">
        <f>'US Child Data'!G17</f>
        <v>0</v>
      </c>
      <c r="H17" s="172">
        <f>'US Child Data'!H17</f>
        <v>0</v>
      </c>
      <c r="I17" s="172">
        <f>'US Child Data'!I17</f>
        <v>0</v>
      </c>
      <c r="J17" s="157"/>
      <c r="K17" s="172">
        <f>'US Child Data'!K17</f>
        <v>0</v>
      </c>
      <c r="L17" s="172">
        <f>'US Child Data'!L17</f>
        <v>0</v>
      </c>
      <c r="M17" s="172">
        <f>'US Child Data'!M17</f>
        <v>0</v>
      </c>
      <c r="N17" s="157"/>
      <c r="O17" s="172">
        <f>'US Child Data'!O17</f>
        <v>0</v>
      </c>
      <c r="P17" s="172">
        <f>'US Child Data'!P17</f>
        <v>0</v>
      </c>
      <c r="Q17" s="172">
        <f>'US Child Data'!Q17</f>
        <v>0</v>
      </c>
      <c r="R17" s="157"/>
      <c r="S17" s="172">
        <f>'US Child Data'!S17</f>
        <v>0</v>
      </c>
      <c r="T17" s="172">
        <f>'US Child Data'!T17</f>
        <v>0</v>
      </c>
      <c r="U17" s="172">
        <f>'US Child Data'!U17</f>
        <v>0</v>
      </c>
      <c r="V17" s="157"/>
      <c r="W17" s="172">
        <f>'US Child Data'!W17</f>
        <v>0</v>
      </c>
      <c r="X17" s="172">
        <f>'US Child Data'!X17</f>
        <v>0</v>
      </c>
      <c r="Y17" s="172">
        <f>'US Child Data'!Y17</f>
        <v>0</v>
      </c>
      <c r="Z17" s="331">
        <v>0</v>
      </c>
      <c r="AA17" s="172">
        <f>'US Child Data'!AA17</f>
        <v>0</v>
      </c>
      <c r="AB17" s="172">
        <f>'US Child Data'!AB17</f>
        <v>0</v>
      </c>
      <c r="AC17" s="172">
        <f>'US Child Data'!AC17</f>
        <v>0</v>
      </c>
      <c r="AD17" s="86"/>
      <c r="AE17" s="172">
        <f>'US Child Data'!AE17</f>
        <v>0</v>
      </c>
      <c r="AF17" s="172">
        <f>'US Child Data'!AF17</f>
        <v>0</v>
      </c>
      <c r="AG17" s="172">
        <f>'US Child Data'!AG17</f>
        <v>0</v>
      </c>
      <c r="AH17" s="86"/>
      <c r="AI17" s="172">
        <f>'US Child Data'!AI17</f>
        <v>0</v>
      </c>
      <c r="AJ17" s="172">
        <f>'US Child Data'!AJ17</f>
        <v>0</v>
      </c>
      <c r="AK17" s="172">
        <f>'US Child Data'!AK17</f>
        <v>0</v>
      </c>
      <c r="AL17" s="86"/>
      <c r="AM17" s="172">
        <f>'US Child Data'!AM17</f>
        <v>0</v>
      </c>
      <c r="AN17" s="172">
        <f>'US Child Data'!AN17</f>
        <v>0</v>
      </c>
      <c r="AO17" s="172">
        <f>'US Child Data'!AO17</f>
        <v>0</v>
      </c>
      <c r="AP17" s="86"/>
      <c r="AQ17" s="172">
        <f>'US Child Data'!AQ17</f>
        <v>0</v>
      </c>
      <c r="AR17" s="172">
        <f>'US Child Data'!AR17</f>
        <v>0</v>
      </c>
      <c r="AS17" s="172">
        <f>'US Child Data'!AS17</f>
        <v>0</v>
      </c>
      <c r="AT17" s="86"/>
      <c r="AU17" s="172">
        <f>'US Child Data'!AU17</f>
        <v>0</v>
      </c>
      <c r="AV17" s="172">
        <f>'US Child Data'!AV17</f>
        <v>0</v>
      </c>
      <c r="AW17" s="172">
        <f>'US Child Data'!AW17</f>
        <v>0</v>
      </c>
      <c r="AX17" s="86"/>
      <c r="AY17" s="172">
        <f>'US Child Data'!AY17</f>
        <v>0</v>
      </c>
      <c r="AZ17" s="172">
        <f>'US Child Data'!AZ17</f>
        <v>0</v>
      </c>
      <c r="BA17" s="172">
        <f>'US Child Data'!BA17</f>
        <v>0</v>
      </c>
      <c r="BB17" s="86"/>
      <c r="BC17" s="172">
        <f>'US Child Data'!BC17</f>
        <v>0</v>
      </c>
      <c r="BD17" s="172">
        <f>'US Child Data'!BD17</f>
        <v>0</v>
      </c>
      <c r="BE17" s="172">
        <f>'US Child Data'!BE17</f>
        <v>0</v>
      </c>
      <c r="BF17" s="305"/>
      <c r="BG17" s="172">
        <f>'US Child Data'!BG17</f>
        <v>0</v>
      </c>
      <c r="BH17" s="172">
        <f>'US Child Data'!BH17</f>
        <v>0</v>
      </c>
      <c r="BI17" s="172">
        <f>'US Child Data'!BI17</f>
        <v>0</v>
      </c>
      <c r="BJ17" s="157"/>
      <c r="BK17" s="172">
        <f>'US Child Data'!BK17</f>
        <v>0</v>
      </c>
      <c r="BL17" s="172">
        <f>'US Child Data'!BL17</f>
        <v>0</v>
      </c>
      <c r="BM17" s="172">
        <f>'US Child Data'!BM17</f>
        <v>0</v>
      </c>
      <c r="BN17" s="157"/>
      <c r="BO17" s="172">
        <f>'US Child Data'!BO17</f>
        <v>0</v>
      </c>
      <c r="BP17" s="172">
        <f>'US Child Data'!BP17</f>
        <v>0</v>
      </c>
      <c r="BQ17" s="172">
        <f>'US Child Data'!BQ17</f>
        <v>0</v>
      </c>
      <c r="BR17" s="157"/>
      <c r="BS17" s="172">
        <f>'US Child Data'!BS17</f>
        <v>0</v>
      </c>
      <c r="BT17" s="172">
        <f>'US Child Data'!BT17</f>
        <v>0</v>
      </c>
      <c r="BU17" s="172">
        <f>'US Child Data'!BU17</f>
        <v>0</v>
      </c>
      <c r="BV17" s="157"/>
      <c r="BW17" s="172">
        <f>'US Child Data'!BW17</f>
        <v>0</v>
      </c>
      <c r="BX17" s="172">
        <f>'US Child Data'!BX17</f>
        <v>0</v>
      </c>
      <c r="BY17" s="172">
        <f>'US Child Data'!BY17</f>
        <v>0</v>
      </c>
      <c r="BZ17" s="82"/>
      <c r="CA17" s="172">
        <f>'US Child Data'!CA17</f>
        <v>0</v>
      </c>
      <c r="CB17" s="172">
        <f>'US Child Data'!CB17</f>
        <v>0</v>
      </c>
      <c r="CC17" s="172">
        <f>'US Child Data'!CC17</f>
        <v>0</v>
      </c>
      <c r="CD17" s="82"/>
      <c r="CE17" s="172">
        <f>'US Child Data'!CE17</f>
        <v>0</v>
      </c>
      <c r="CF17" s="172">
        <f>'US Child Data'!CF17</f>
        <v>0</v>
      </c>
      <c r="CG17" s="172">
        <f>'US Child Data'!CG17</f>
        <v>0</v>
      </c>
      <c r="CH17" s="82"/>
      <c r="CI17" s="82"/>
      <c r="CJ17" s="82"/>
      <c r="CK17" s="82"/>
      <c r="CL17" s="82"/>
      <c r="CM17" s="82"/>
      <c r="CN17" s="82"/>
      <c r="CO17" s="82"/>
      <c r="CP17" s="82"/>
      <c r="CQ17" s="82"/>
      <c r="CR17" s="82"/>
      <c r="CS17" s="82"/>
      <c r="CT17" s="82"/>
      <c r="CU17" s="82"/>
      <c r="CV17" s="82"/>
      <c r="CW17" s="82"/>
      <c r="CX17" s="82"/>
      <c r="CY17" s="82"/>
      <c r="CZ17" s="82"/>
      <c r="DA17" s="82"/>
      <c r="DB17" s="82"/>
    </row>
    <row r="18" spans="1:106">
      <c r="A18" s="309" t="s">
        <v>489</v>
      </c>
      <c r="B18" s="302"/>
      <c r="C18" s="172">
        <f>'EU Child Data'!C3</f>
        <v>0</v>
      </c>
      <c r="D18" s="172">
        <f>'EU Child Data'!D3</f>
        <v>0</v>
      </c>
      <c r="E18" s="172">
        <f>'EU Child Data'!E3</f>
        <v>0</v>
      </c>
      <c r="F18" s="171"/>
      <c r="G18" s="172">
        <f>'EU Child Data'!G3</f>
        <v>0</v>
      </c>
      <c r="H18" s="172">
        <f>'EU Child Data'!H3</f>
        <v>0</v>
      </c>
      <c r="I18" s="172">
        <f>'EU Child Data'!I3</f>
        <v>0</v>
      </c>
      <c r="J18" s="157"/>
      <c r="K18" s="172">
        <f>'EU Child Data'!K3</f>
        <v>0</v>
      </c>
      <c r="L18" s="172">
        <f>'EU Child Data'!L3</f>
        <v>0</v>
      </c>
      <c r="M18" s="172">
        <f>'EU Child Data'!M3</f>
        <v>0</v>
      </c>
      <c r="N18" s="157"/>
      <c r="O18" s="172">
        <f>'EU Child Data'!O3</f>
        <v>0</v>
      </c>
      <c r="P18" s="172">
        <f>'EU Child Data'!P3</f>
        <v>0</v>
      </c>
      <c r="Q18" s="172">
        <f>'EU Child Data'!Q3</f>
        <v>0</v>
      </c>
      <c r="R18" s="157"/>
      <c r="S18" s="172">
        <f>'EU Child Data'!S3</f>
        <v>0</v>
      </c>
      <c r="T18" s="172">
        <f>'EU Child Data'!T3</f>
        <v>0</v>
      </c>
      <c r="U18" s="172">
        <f>'EU Child Data'!U3</f>
        <v>0</v>
      </c>
      <c r="V18" s="157"/>
      <c r="W18" s="172">
        <f>'EU Child Data'!W3</f>
        <v>0</v>
      </c>
      <c r="X18" s="172">
        <f>'EU Child Data'!X3</f>
        <v>0</v>
      </c>
      <c r="Y18" s="172">
        <f>'EU Child Data'!Y3</f>
        <v>0</v>
      </c>
      <c r="Z18" s="331">
        <v>0</v>
      </c>
      <c r="AA18" s="172">
        <f>'EU Child Data'!AA3</f>
        <v>0</v>
      </c>
      <c r="AB18" s="172">
        <f>'EU Child Data'!AB3</f>
        <v>0</v>
      </c>
      <c r="AC18" s="172">
        <f>'EU Child Data'!AC3</f>
        <v>0</v>
      </c>
      <c r="AD18" s="86"/>
      <c r="AE18" s="172">
        <f>'EU Child Data'!AE3</f>
        <v>0</v>
      </c>
      <c r="AF18" s="172">
        <f>'EU Child Data'!AF3</f>
        <v>0</v>
      </c>
      <c r="AG18" s="172">
        <f>'EU Child Data'!AG3</f>
        <v>0</v>
      </c>
      <c r="AH18" s="86"/>
      <c r="AI18" s="172">
        <f>'EU Child Data'!AI3</f>
        <v>0</v>
      </c>
      <c r="AJ18" s="172">
        <f>'EU Child Data'!AJ3</f>
        <v>0</v>
      </c>
      <c r="AK18" s="172">
        <f>'EU Child Data'!AK3</f>
        <v>0</v>
      </c>
      <c r="AL18" s="86"/>
      <c r="AM18" s="172">
        <f>'EU Child Data'!AM3</f>
        <v>0</v>
      </c>
      <c r="AN18" s="172">
        <f>'EU Child Data'!AN3</f>
        <v>0</v>
      </c>
      <c r="AO18" s="172">
        <f>'EU Child Data'!AO3</f>
        <v>0</v>
      </c>
      <c r="AP18" s="86"/>
      <c r="AQ18" s="172">
        <f>'EU Child Data'!AQ3</f>
        <v>0</v>
      </c>
      <c r="AR18" s="172">
        <f>'EU Child Data'!AR3</f>
        <v>0</v>
      </c>
      <c r="AS18" s="172">
        <f>'EU Child Data'!AS3</f>
        <v>0</v>
      </c>
      <c r="AT18" s="86"/>
      <c r="AU18" s="172">
        <f>'EU Child Data'!AU3</f>
        <v>0</v>
      </c>
      <c r="AV18" s="172">
        <f>'EU Child Data'!AV3</f>
        <v>0</v>
      </c>
      <c r="AW18" s="172">
        <f>'EU Child Data'!AW3</f>
        <v>0</v>
      </c>
      <c r="AX18" s="86"/>
      <c r="AY18" s="172">
        <f>'EU Child Data'!AY3</f>
        <v>0</v>
      </c>
      <c r="AZ18" s="172">
        <f>'EU Child Data'!AZ3</f>
        <v>0</v>
      </c>
      <c r="BA18" s="172">
        <f>'EU Child Data'!BA3</f>
        <v>0</v>
      </c>
      <c r="BB18" s="86"/>
      <c r="BC18" s="172">
        <f>'EU Child Data'!BC3</f>
        <v>0</v>
      </c>
      <c r="BD18" s="172">
        <f>'EU Child Data'!BD3</f>
        <v>0</v>
      </c>
      <c r="BE18" s="172">
        <f>'EU Child Data'!BE3</f>
        <v>0</v>
      </c>
      <c r="BF18" s="305"/>
      <c r="BG18" s="172">
        <f>'EU Child Data'!BG3</f>
        <v>0</v>
      </c>
      <c r="BH18" s="172">
        <f>'EU Child Data'!BH3</f>
        <v>0</v>
      </c>
      <c r="BI18" s="172">
        <f>'EU Child Data'!BI3</f>
        <v>0</v>
      </c>
      <c r="BJ18" s="157"/>
      <c r="BK18" s="172">
        <f>'EU Child Data'!BK3</f>
        <v>0</v>
      </c>
      <c r="BL18" s="172">
        <f>'EU Child Data'!BL3</f>
        <v>0</v>
      </c>
      <c r="BM18" s="172">
        <f>'EU Child Data'!BM3</f>
        <v>0</v>
      </c>
      <c r="BN18" s="157"/>
      <c r="BO18" s="172">
        <f>'EU Child Data'!BO3</f>
        <v>0</v>
      </c>
      <c r="BP18" s="172">
        <f>'EU Child Data'!BP3</f>
        <v>0</v>
      </c>
      <c r="BQ18" s="172">
        <f>'EU Child Data'!BQ3</f>
        <v>0</v>
      </c>
      <c r="BR18" s="157"/>
      <c r="BS18" s="172">
        <f>'EU Child Data'!BS3</f>
        <v>0</v>
      </c>
      <c r="BT18" s="172">
        <f>'EU Child Data'!BT3</f>
        <v>0</v>
      </c>
      <c r="BU18" s="172">
        <f>'EU Child Data'!BU3</f>
        <v>0</v>
      </c>
      <c r="BV18" s="157"/>
      <c r="BW18" s="172">
        <f>'EU Child Data'!BW3</f>
        <v>0</v>
      </c>
      <c r="BX18" s="172">
        <f>'EU Child Data'!BX3</f>
        <v>0</v>
      </c>
      <c r="BY18" s="172">
        <f>'EU Child Data'!BY3</f>
        <v>0</v>
      </c>
      <c r="BZ18" s="82"/>
      <c r="CA18" s="172">
        <f>'EU Child Data'!CA3</f>
        <v>0</v>
      </c>
      <c r="CB18" s="172">
        <f>'EU Child Data'!CB3</f>
        <v>0</v>
      </c>
      <c r="CC18" s="172">
        <f>'EU Child Data'!CC3</f>
        <v>0</v>
      </c>
      <c r="CD18" s="82"/>
      <c r="CE18" s="172">
        <f>'EU Child Data'!CE3</f>
        <v>0</v>
      </c>
      <c r="CF18" s="172">
        <f>'EU Child Data'!CF3</f>
        <v>0</v>
      </c>
      <c r="CG18" s="172">
        <f>'EU Child Data'!CG3</f>
        <v>0</v>
      </c>
      <c r="CH18" s="82"/>
      <c r="CI18" s="82"/>
      <c r="CJ18" s="82"/>
      <c r="CK18" s="82"/>
      <c r="CL18" s="82"/>
      <c r="CM18" s="82"/>
      <c r="CN18" s="82"/>
      <c r="CO18" s="82"/>
      <c r="CP18" s="82"/>
      <c r="CQ18" s="82"/>
      <c r="CR18" s="82"/>
      <c r="CS18" s="82"/>
      <c r="CT18" s="82"/>
      <c r="CU18" s="82"/>
      <c r="CV18" s="82"/>
      <c r="CW18" s="82"/>
      <c r="CX18" s="82"/>
      <c r="CY18" s="82"/>
      <c r="CZ18" s="82"/>
      <c r="DA18" s="82"/>
      <c r="DB18" s="82"/>
    </row>
    <row r="19" spans="1:106">
      <c r="A19" s="309" t="s">
        <v>490</v>
      </c>
      <c r="B19" s="155"/>
      <c r="C19" s="172">
        <f>'EU Child Data'!C4</f>
        <v>0</v>
      </c>
      <c r="D19" s="172">
        <f>'EU Child Data'!D4</f>
        <v>0</v>
      </c>
      <c r="E19" s="172">
        <f>'EU Child Data'!E4</f>
        <v>0</v>
      </c>
      <c r="F19" s="171"/>
      <c r="G19" s="172">
        <f>'EU Child Data'!G4</f>
        <v>0</v>
      </c>
      <c r="H19" s="172">
        <f>'EU Child Data'!H4</f>
        <v>0</v>
      </c>
      <c r="I19" s="172">
        <f>'EU Child Data'!I4</f>
        <v>0</v>
      </c>
      <c r="J19" s="157"/>
      <c r="K19" s="172">
        <f>'EU Child Data'!K4</f>
        <v>0</v>
      </c>
      <c r="L19" s="172">
        <f>'EU Child Data'!L4</f>
        <v>0</v>
      </c>
      <c r="M19" s="172">
        <f>'EU Child Data'!M4</f>
        <v>0</v>
      </c>
      <c r="N19" s="157"/>
      <c r="O19" s="172">
        <f>'EU Child Data'!O4</f>
        <v>0</v>
      </c>
      <c r="P19" s="172">
        <f>'EU Child Data'!P4</f>
        <v>0</v>
      </c>
      <c r="Q19" s="172">
        <f>'EU Child Data'!Q4</f>
        <v>0</v>
      </c>
      <c r="R19" s="157"/>
      <c r="S19" s="172">
        <f>'EU Child Data'!S4</f>
        <v>0</v>
      </c>
      <c r="T19" s="172">
        <f>'EU Child Data'!T4</f>
        <v>0</v>
      </c>
      <c r="U19" s="172">
        <f>'EU Child Data'!U4</f>
        <v>0</v>
      </c>
      <c r="V19" s="157"/>
      <c r="W19" s="172">
        <f>'EU Child Data'!W4</f>
        <v>0</v>
      </c>
      <c r="X19" s="172">
        <f>'EU Child Data'!X4</f>
        <v>0</v>
      </c>
      <c r="Y19" s="172">
        <f>'EU Child Data'!Y4</f>
        <v>0</v>
      </c>
      <c r="Z19" s="331">
        <v>0</v>
      </c>
      <c r="AA19" s="172">
        <f>'EU Child Data'!AA4</f>
        <v>0</v>
      </c>
      <c r="AB19" s="172">
        <f>'EU Child Data'!AB4</f>
        <v>0</v>
      </c>
      <c r="AC19" s="172">
        <f>'EU Child Data'!AC4</f>
        <v>0</v>
      </c>
      <c r="AD19" s="86"/>
      <c r="AE19" s="172">
        <f>'EU Child Data'!AE4</f>
        <v>0</v>
      </c>
      <c r="AF19" s="172">
        <f>'EU Child Data'!AF4</f>
        <v>0</v>
      </c>
      <c r="AG19" s="172">
        <f>'EU Child Data'!AG4</f>
        <v>0</v>
      </c>
      <c r="AH19" s="86"/>
      <c r="AI19" s="172">
        <f>'EU Child Data'!AI4</f>
        <v>0</v>
      </c>
      <c r="AJ19" s="172">
        <f>'EU Child Data'!AJ4</f>
        <v>0</v>
      </c>
      <c r="AK19" s="172">
        <f>'EU Child Data'!AK4</f>
        <v>0</v>
      </c>
      <c r="AL19" s="86"/>
      <c r="AM19" s="172">
        <f>'EU Child Data'!AM4</f>
        <v>0</v>
      </c>
      <c r="AN19" s="172">
        <f>'EU Child Data'!AN4</f>
        <v>0</v>
      </c>
      <c r="AO19" s="172">
        <f>'EU Child Data'!AO4</f>
        <v>0</v>
      </c>
      <c r="AP19" s="86"/>
      <c r="AQ19" s="172">
        <f>'EU Child Data'!AQ4</f>
        <v>0</v>
      </c>
      <c r="AR19" s="172">
        <f>'EU Child Data'!AR4</f>
        <v>0</v>
      </c>
      <c r="AS19" s="172">
        <f>'EU Child Data'!AS4</f>
        <v>0</v>
      </c>
      <c r="AT19" s="86"/>
      <c r="AU19" s="172">
        <f>'EU Child Data'!AU4</f>
        <v>0</v>
      </c>
      <c r="AV19" s="172">
        <f>'EU Child Data'!AV4</f>
        <v>0</v>
      </c>
      <c r="AW19" s="172">
        <f>'EU Child Data'!AW4</f>
        <v>0</v>
      </c>
      <c r="AX19" s="86"/>
      <c r="AY19" s="172">
        <f>'EU Child Data'!AY4</f>
        <v>0</v>
      </c>
      <c r="AZ19" s="172">
        <f>'EU Child Data'!AZ4</f>
        <v>0</v>
      </c>
      <c r="BA19" s="172">
        <f>'EU Child Data'!BA4</f>
        <v>0</v>
      </c>
      <c r="BB19" s="86"/>
      <c r="BC19" s="172">
        <f>'EU Child Data'!BC4</f>
        <v>0</v>
      </c>
      <c r="BD19" s="172">
        <f>'EU Child Data'!BD4</f>
        <v>0</v>
      </c>
      <c r="BE19" s="172">
        <f>'EU Child Data'!BE4</f>
        <v>0</v>
      </c>
      <c r="BF19" s="305"/>
      <c r="BG19" s="172">
        <f>'EU Child Data'!BG4</f>
        <v>0</v>
      </c>
      <c r="BH19" s="172">
        <f>'EU Child Data'!BH4</f>
        <v>0</v>
      </c>
      <c r="BI19" s="172">
        <f>'EU Child Data'!BI4</f>
        <v>0</v>
      </c>
      <c r="BJ19" s="157"/>
      <c r="BK19" s="172">
        <f>'EU Child Data'!BK4</f>
        <v>0</v>
      </c>
      <c r="BL19" s="172">
        <f>'EU Child Data'!BL4</f>
        <v>0</v>
      </c>
      <c r="BM19" s="172">
        <f>'EU Child Data'!BM4</f>
        <v>0</v>
      </c>
      <c r="BN19" s="157"/>
      <c r="BO19" s="172">
        <f>'EU Child Data'!BO4</f>
        <v>0</v>
      </c>
      <c r="BP19" s="172">
        <f>'EU Child Data'!BP4</f>
        <v>0</v>
      </c>
      <c r="BQ19" s="172">
        <f>'EU Child Data'!BQ4</f>
        <v>0</v>
      </c>
      <c r="BR19" s="157"/>
      <c r="BS19" s="172">
        <f>'EU Child Data'!BS4</f>
        <v>0</v>
      </c>
      <c r="BT19" s="172">
        <f>'EU Child Data'!BT4</f>
        <v>0</v>
      </c>
      <c r="BU19" s="172">
        <f>'EU Child Data'!BU4</f>
        <v>0</v>
      </c>
      <c r="BV19" s="157"/>
      <c r="BW19" s="172">
        <f>'EU Child Data'!BW4</f>
        <v>0</v>
      </c>
      <c r="BX19" s="172">
        <f>'EU Child Data'!BX4</f>
        <v>0</v>
      </c>
      <c r="BY19" s="172">
        <f>'EU Child Data'!BY4</f>
        <v>0</v>
      </c>
      <c r="BZ19" s="82"/>
      <c r="CA19" s="172">
        <f>'EU Child Data'!CA4</f>
        <v>0</v>
      </c>
      <c r="CB19" s="172">
        <f>'EU Child Data'!CB4</f>
        <v>0</v>
      </c>
      <c r="CC19" s="172">
        <f>'EU Child Data'!CC4</f>
        <v>0</v>
      </c>
      <c r="CD19" s="82"/>
      <c r="CE19" s="172">
        <f>'EU Child Data'!CE4</f>
        <v>0</v>
      </c>
      <c r="CF19" s="172">
        <f>'EU Child Data'!CF4</f>
        <v>0</v>
      </c>
      <c r="CG19" s="172">
        <f>'EU Child Data'!CG4</f>
        <v>0</v>
      </c>
      <c r="CH19" s="82"/>
      <c r="CI19" s="82"/>
      <c r="CJ19" s="82"/>
      <c r="CK19" s="82"/>
      <c r="CL19" s="82"/>
      <c r="CM19" s="82"/>
      <c r="CN19" s="82"/>
      <c r="CO19" s="82"/>
      <c r="CP19" s="82"/>
      <c r="CQ19" s="82"/>
      <c r="CR19" s="82"/>
      <c r="CS19" s="82"/>
      <c r="CT19" s="82"/>
      <c r="CU19" s="82"/>
      <c r="CV19" s="82"/>
      <c r="CW19" s="82"/>
      <c r="CX19" s="82"/>
      <c r="CY19" s="82"/>
      <c r="CZ19" s="82"/>
      <c r="DA19" s="82"/>
      <c r="DB19" s="82"/>
    </row>
    <row r="20" spans="1:106">
      <c r="A20" s="309" t="s">
        <v>491</v>
      </c>
      <c r="B20" s="155"/>
      <c r="C20" s="172">
        <f>'EU Child Data'!C5</f>
        <v>0</v>
      </c>
      <c r="D20" s="172">
        <f>'EU Child Data'!D5</f>
        <v>0</v>
      </c>
      <c r="E20" s="172">
        <f>'EU Child Data'!E5</f>
        <v>0</v>
      </c>
      <c r="F20" s="171"/>
      <c r="G20" s="172">
        <f>'EU Child Data'!G5</f>
        <v>0</v>
      </c>
      <c r="H20" s="172">
        <f>'EU Child Data'!H5</f>
        <v>0</v>
      </c>
      <c r="I20" s="172">
        <f>'EU Child Data'!I5</f>
        <v>0</v>
      </c>
      <c r="J20" s="157"/>
      <c r="K20" s="172">
        <f>'EU Child Data'!K5</f>
        <v>0</v>
      </c>
      <c r="L20" s="172">
        <f>'EU Child Data'!L5</f>
        <v>0</v>
      </c>
      <c r="M20" s="172">
        <f>'EU Child Data'!M5</f>
        <v>0</v>
      </c>
      <c r="N20" s="157"/>
      <c r="O20" s="172">
        <f>'EU Child Data'!O5</f>
        <v>0</v>
      </c>
      <c r="P20" s="172">
        <f>'EU Child Data'!P5</f>
        <v>0</v>
      </c>
      <c r="Q20" s="172">
        <f>'EU Child Data'!Q5</f>
        <v>0</v>
      </c>
      <c r="R20" s="157"/>
      <c r="S20" s="172">
        <f>'EU Child Data'!S5</f>
        <v>0</v>
      </c>
      <c r="T20" s="172">
        <f>'EU Child Data'!T5</f>
        <v>0</v>
      </c>
      <c r="U20" s="172">
        <f>'EU Child Data'!U5</f>
        <v>0</v>
      </c>
      <c r="V20" s="157"/>
      <c r="W20" s="172">
        <f>'EU Child Data'!W5</f>
        <v>0</v>
      </c>
      <c r="X20" s="172">
        <f>'EU Child Data'!X5</f>
        <v>0</v>
      </c>
      <c r="Y20" s="172">
        <f>'EU Child Data'!Y5</f>
        <v>0</v>
      </c>
      <c r="Z20" s="331">
        <v>0</v>
      </c>
      <c r="AA20" s="172">
        <f>'EU Child Data'!AA5</f>
        <v>0</v>
      </c>
      <c r="AB20" s="172">
        <f>'EU Child Data'!AB5</f>
        <v>0</v>
      </c>
      <c r="AC20" s="172">
        <f>'EU Child Data'!AC5</f>
        <v>0</v>
      </c>
      <c r="AD20" s="86"/>
      <c r="AE20" s="172">
        <f>'EU Child Data'!AE5</f>
        <v>0</v>
      </c>
      <c r="AF20" s="172">
        <f>'EU Child Data'!AF5</f>
        <v>0</v>
      </c>
      <c r="AG20" s="172">
        <f>'EU Child Data'!AG5</f>
        <v>0</v>
      </c>
      <c r="AH20" s="86"/>
      <c r="AI20" s="172">
        <f>'EU Child Data'!AI5</f>
        <v>0</v>
      </c>
      <c r="AJ20" s="172">
        <f>'EU Child Data'!AJ5</f>
        <v>0</v>
      </c>
      <c r="AK20" s="172">
        <f>'EU Child Data'!AK5</f>
        <v>0</v>
      </c>
      <c r="AL20" s="86"/>
      <c r="AM20" s="172">
        <f>'EU Child Data'!AM5</f>
        <v>0</v>
      </c>
      <c r="AN20" s="172">
        <f>'EU Child Data'!AN5</f>
        <v>0</v>
      </c>
      <c r="AO20" s="172">
        <f>'EU Child Data'!AO5</f>
        <v>0</v>
      </c>
      <c r="AP20" s="86"/>
      <c r="AQ20" s="172">
        <f>'EU Child Data'!AQ5</f>
        <v>0</v>
      </c>
      <c r="AR20" s="172">
        <f>'EU Child Data'!AR5</f>
        <v>0</v>
      </c>
      <c r="AS20" s="172">
        <f>'EU Child Data'!AS5</f>
        <v>0</v>
      </c>
      <c r="AT20" s="86"/>
      <c r="AU20" s="172">
        <f>'EU Child Data'!AU5</f>
        <v>0</v>
      </c>
      <c r="AV20" s="172">
        <f>'EU Child Data'!AV5</f>
        <v>0</v>
      </c>
      <c r="AW20" s="172">
        <f>'EU Child Data'!AW5</f>
        <v>0</v>
      </c>
      <c r="AX20" s="86"/>
      <c r="AY20" s="172">
        <f>'EU Child Data'!AY5</f>
        <v>0</v>
      </c>
      <c r="AZ20" s="172">
        <f>'EU Child Data'!AZ5</f>
        <v>0</v>
      </c>
      <c r="BA20" s="172">
        <f>'EU Child Data'!BA5</f>
        <v>0</v>
      </c>
      <c r="BB20" s="86"/>
      <c r="BC20" s="172">
        <f>'EU Child Data'!BC5</f>
        <v>0</v>
      </c>
      <c r="BD20" s="172">
        <f>'EU Child Data'!BD5</f>
        <v>0</v>
      </c>
      <c r="BE20" s="172">
        <f>'EU Child Data'!BE5</f>
        <v>0</v>
      </c>
      <c r="BF20" s="305"/>
      <c r="BG20" s="172">
        <f>'EU Child Data'!BG5</f>
        <v>0</v>
      </c>
      <c r="BH20" s="172">
        <f>'EU Child Data'!BH5</f>
        <v>0</v>
      </c>
      <c r="BI20" s="172">
        <f>'EU Child Data'!BI5</f>
        <v>0</v>
      </c>
      <c r="BJ20" s="157"/>
      <c r="BK20" s="172">
        <f>'EU Child Data'!BK5</f>
        <v>0</v>
      </c>
      <c r="BL20" s="172">
        <f>'EU Child Data'!BL5</f>
        <v>0</v>
      </c>
      <c r="BM20" s="172">
        <f>'EU Child Data'!BM5</f>
        <v>0</v>
      </c>
      <c r="BN20" s="157"/>
      <c r="BO20" s="172">
        <f>'EU Child Data'!BO5</f>
        <v>0</v>
      </c>
      <c r="BP20" s="172">
        <f>'EU Child Data'!BP5</f>
        <v>0</v>
      </c>
      <c r="BQ20" s="172">
        <f>'EU Child Data'!BQ5</f>
        <v>0</v>
      </c>
      <c r="BR20" s="157"/>
      <c r="BS20" s="172">
        <f>'EU Child Data'!BS5</f>
        <v>0</v>
      </c>
      <c r="BT20" s="172">
        <f>'EU Child Data'!BT5</f>
        <v>0</v>
      </c>
      <c r="BU20" s="172">
        <f>'EU Child Data'!BU5</f>
        <v>0</v>
      </c>
      <c r="BV20" s="157"/>
      <c r="BW20" s="172">
        <f>'EU Child Data'!BW5</f>
        <v>0</v>
      </c>
      <c r="BX20" s="172">
        <f>'EU Child Data'!BX5</f>
        <v>0</v>
      </c>
      <c r="BY20" s="172">
        <f>'EU Child Data'!BY5</f>
        <v>0</v>
      </c>
      <c r="BZ20" s="82"/>
      <c r="CA20" s="172">
        <f>'EU Child Data'!CA5</f>
        <v>0</v>
      </c>
      <c r="CB20" s="172">
        <f>'EU Child Data'!CB5</f>
        <v>0</v>
      </c>
      <c r="CC20" s="172">
        <f>'EU Child Data'!CC5</f>
        <v>0</v>
      </c>
      <c r="CD20" s="82"/>
      <c r="CE20" s="172">
        <f>'EU Child Data'!CE5</f>
        <v>0</v>
      </c>
      <c r="CF20" s="172">
        <f>'EU Child Data'!CF5</f>
        <v>0</v>
      </c>
      <c r="CG20" s="172">
        <f>'EU Child Data'!CG5</f>
        <v>0</v>
      </c>
      <c r="CH20" s="82"/>
      <c r="CI20" s="82"/>
      <c r="CJ20" s="82"/>
      <c r="CK20" s="82"/>
      <c r="CL20" s="82"/>
      <c r="CM20" s="82"/>
      <c r="CN20" s="82"/>
      <c r="CO20" s="82"/>
      <c r="CP20" s="82"/>
      <c r="CQ20" s="82"/>
      <c r="CR20" s="82"/>
      <c r="CS20" s="82"/>
      <c r="CT20" s="82"/>
      <c r="CU20" s="82"/>
      <c r="CV20" s="82"/>
      <c r="CW20" s="82"/>
      <c r="CX20" s="82"/>
      <c r="CY20" s="82"/>
      <c r="CZ20" s="82"/>
      <c r="DA20" s="82"/>
      <c r="DB20" s="82"/>
    </row>
    <row r="21" spans="1:106">
      <c r="A21" s="309" t="s">
        <v>492</v>
      </c>
      <c r="B21" s="155"/>
      <c r="C21" s="172">
        <f>'EU Child Data'!C6</f>
        <v>0</v>
      </c>
      <c r="D21" s="172">
        <f>'EU Child Data'!D6</f>
        <v>0</v>
      </c>
      <c r="E21" s="172">
        <f>'EU Child Data'!E6</f>
        <v>0</v>
      </c>
      <c r="F21" s="171"/>
      <c r="G21" s="172">
        <f>'EU Child Data'!G6</f>
        <v>0</v>
      </c>
      <c r="H21" s="172">
        <f>'EU Child Data'!H6</f>
        <v>0</v>
      </c>
      <c r="I21" s="172">
        <f>'EU Child Data'!I6</f>
        <v>0</v>
      </c>
      <c r="J21" s="157"/>
      <c r="K21" s="172">
        <f>'EU Child Data'!K6</f>
        <v>0</v>
      </c>
      <c r="L21" s="172">
        <f>'EU Child Data'!L6</f>
        <v>0</v>
      </c>
      <c r="M21" s="172">
        <f>'EU Child Data'!M6</f>
        <v>0</v>
      </c>
      <c r="N21" s="157"/>
      <c r="O21" s="172">
        <f>'EU Child Data'!O6</f>
        <v>0</v>
      </c>
      <c r="P21" s="172">
        <f>'EU Child Data'!P6</f>
        <v>0</v>
      </c>
      <c r="Q21" s="172">
        <f>'EU Child Data'!Q6</f>
        <v>0</v>
      </c>
      <c r="R21" s="157"/>
      <c r="S21" s="172">
        <f>'EU Child Data'!S6</f>
        <v>0</v>
      </c>
      <c r="T21" s="172">
        <f>'EU Child Data'!T6</f>
        <v>0</v>
      </c>
      <c r="U21" s="172">
        <f>'EU Child Data'!U6</f>
        <v>0</v>
      </c>
      <c r="V21" s="157"/>
      <c r="W21" s="172">
        <f>'EU Child Data'!W6</f>
        <v>0</v>
      </c>
      <c r="X21" s="172">
        <f>'EU Child Data'!X6</f>
        <v>0</v>
      </c>
      <c r="Y21" s="172">
        <f>'EU Child Data'!Y6</f>
        <v>0</v>
      </c>
      <c r="Z21" s="331">
        <v>0</v>
      </c>
      <c r="AA21" s="172">
        <f>'EU Child Data'!AA6</f>
        <v>0</v>
      </c>
      <c r="AB21" s="172">
        <f>'EU Child Data'!AB6</f>
        <v>0</v>
      </c>
      <c r="AC21" s="172">
        <f>'EU Child Data'!AC6</f>
        <v>0</v>
      </c>
      <c r="AD21" s="86"/>
      <c r="AE21" s="172">
        <f>'EU Child Data'!AE6</f>
        <v>0</v>
      </c>
      <c r="AF21" s="172">
        <f>'EU Child Data'!AF6</f>
        <v>0</v>
      </c>
      <c r="AG21" s="172">
        <f>'EU Child Data'!AG6</f>
        <v>0</v>
      </c>
      <c r="AH21" s="86"/>
      <c r="AI21" s="172">
        <f>'EU Child Data'!AI6</f>
        <v>0</v>
      </c>
      <c r="AJ21" s="172">
        <f>'EU Child Data'!AJ6</f>
        <v>0</v>
      </c>
      <c r="AK21" s="172">
        <f>'EU Child Data'!AK6</f>
        <v>0</v>
      </c>
      <c r="AL21" s="86"/>
      <c r="AM21" s="172">
        <f>'EU Child Data'!AM6</f>
        <v>0</v>
      </c>
      <c r="AN21" s="172">
        <f>'EU Child Data'!AN6</f>
        <v>0</v>
      </c>
      <c r="AO21" s="172">
        <f>'EU Child Data'!AO6</f>
        <v>0</v>
      </c>
      <c r="AP21" s="86"/>
      <c r="AQ21" s="172">
        <f>'EU Child Data'!AQ6</f>
        <v>0</v>
      </c>
      <c r="AR21" s="172">
        <f>'EU Child Data'!AR6</f>
        <v>0</v>
      </c>
      <c r="AS21" s="172">
        <f>'EU Child Data'!AS6</f>
        <v>0</v>
      </c>
      <c r="AT21" s="86"/>
      <c r="AU21" s="172">
        <f>'EU Child Data'!AU6</f>
        <v>0</v>
      </c>
      <c r="AV21" s="172">
        <f>'EU Child Data'!AV6</f>
        <v>0</v>
      </c>
      <c r="AW21" s="172">
        <f>'EU Child Data'!AW6</f>
        <v>0</v>
      </c>
      <c r="AX21" s="86"/>
      <c r="AY21" s="172">
        <f>'EU Child Data'!AY6</f>
        <v>0</v>
      </c>
      <c r="AZ21" s="172">
        <f>'EU Child Data'!AZ6</f>
        <v>0</v>
      </c>
      <c r="BA21" s="172">
        <f>'EU Child Data'!BA6</f>
        <v>0</v>
      </c>
      <c r="BB21" s="86"/>
      <c r="BC21" s="172">
        <f>'EU Child Data'!BC6</f>
        <v>0</v>
      </c>
      <c r="BD21" s="172">
        <f>'EU Child Data'!BD6</f>
        <v>0</v>
      </c>
      <c r="BE21" s="172">
        <f>'EU Child Data'!BE6</f>
        <v>0</v>
      </c>
      <c r="BF21" s="305"/>
      <c r="BG21" s="172">
        <f>'EU Child Data'!BG6</f>
        <v>0</v>
      </c>
      <c r="BH21" s="172">
        <f>'EU Child Data'!BH6</f>
        <v>0</v>
      </c>
      <c r="BI21" s="172">
        <f>'EU Child Data'!BI6</f>
        <v>0</v>
      </c>
      <c r="BJ21" s="157"/>
      <c r="BK21" s="172">
        <f>'EU Child Data'!BK6</f>
        <v>0</v>
      </c>
      <c r="BL21" s="172">
        <f>'EU Child Data'!BL6</f>
        <v>0</v>
      </c>
      <c r="BM21" s="172">
        <f>'EU Child Data'!BM6</f>
        <v>0</v>
      </c>
      <c r="BN21" s="157"/>
      <c r="BO21" s="172">
        <f>'EU Child Data'!BO6</f>
        <v>0</v>
      </c>
      <c r="BP21" s="172">
        <f>'EU Child Data'!BP6</f>
        <v>0</v>
      </c>
      <c r="BQ21" s="172">
        <f>'EU Child Data'!BQ6</f>
        <v>0</v>
      </c>
      <c r="BR21" s="157"/>
      <c r="BS21" s="172">
        <f>'EU Child Data'!BS6</f>
        <v>0</v>
      </c>
      <c r="BT21" s="172">
        <f>'EU Child Data'!BT6</f>
        <v>0</v>
      </c>
      <c r="BU21" s="172">
        <f>'EU Child Data'!BU6</f>
        <v>0</v>
      </c>
      <c r="BV21" s="157"/>
      <c r="BW21" s="172">
        <f>'EU Child Data'!BW6</f>
        <v>0</v>
      </c>
      <c r="BX21" s="172">
        <f>'EU Child Data'!BX6</f>
        <v>0</v>
      </c>
      <c r="BY21" s="172">
        <f>'EU Child Data'!BY6</f>
        <v>0</v>
      </c>
      <c r="BZ21" s="82"/>
      <c r="CA21" s="172">
        <f>'EU Child Data'!CA6</f>
        <v>0</v>
      </c>
      <c r="CB21" s="172">
        <f>'EU Child Data'!CB6</f>
        <v>0</v>
      </c>
      <c r="CC21" s="172">
        <f>'EU Child Data'!CC6</f>
        <v>0</v>
      </c>
      <c r="CD21" s="82"/>
      <c r="CE21" s="172">
        <f>'EU Child Data'!CE6</f>
        <v>0</v>
      </c>
      <c r="CF21" s="172">
        <f>'EU Child Data'!CF6</f>
        <v>0</v>
      </c>
      <c r="CG21" s="172">
        <f>'EU Child Data'!CG6</f>
        <v>0</v>
      </c>
      <c r="CH21" s="82"/>
      <c r="CI21" s="82"/>
      <c r="CJ21" s="82"/>
      <c r="CK21" s="82"/>
      <c r="CL21" s="82"/>
      <c r="CM21" s="82"/>
      <c r="CN21" s="82"/>
      <c r="CO21" s="82"/>
      <c r="CP21" s="82"/>
      <c r="CQ21" s="82"/>
      <c r="CR21" s="82"/>
      <c r="CS21" s="82"/>
      <c r="CT21" s="82"/>
      <c r="CU21" s="82"/>
      <c r="CV21" s="82"/>
      <c r="CW21" s="82"/>
      <c r="CX21" s="82"/>
      <c r="CY21" s="82"/>
      <c r="CZ21" s="82"/>
      <c r="DA21" s="82"/>
      <c r="DB21" s="82"/>
    </row>
    <row r="22" spans="1:106">
      <c r="A22" s="309" t="s">
        <v>493</v>
      </c>
      <c r="B22" s="155"/>
      <c r="C22" s="172">
        <f>'EU Child Data'!C7</f>
        <v>0</v>
      </c>
      <c r="D22" s="172">
        <f>'EU Child Data'!D7</f>
        <v>0</v>
      </c>
      <c r="E22" s="172">
        <f>'EU Child Data'!E7</f>
        <v>0</v>
      </c>
      <c r="F22" s="171"/>
      <c r="G22" s="172">
        <f>'EU Child Data'!G7</f>
        <v>0</v>
      </c>
      <c r="H22" s="172">
        <f>'EU Child Data'!H7</f>
        <v>0</v>
      </c>
      <c r="I22" s="172">
        <f>'EU Child Data'!I7</f>
        <v>0</v>
      </c>
      <c r="J22" s="157"/>
      <c r="K22" s="172">
        <f>'EU Child Data'!K7</f>
        <v>0</v>
      </c>
      <c r="L22" s="172">
        <f>'EU Child Data'!L7</f>
        <v>0</v>
      </c>
      <c r="M22" s="172">
        <f>'EU Child Data'!M7</f>
        <v>0</v>
      </c>
      <c r="N22" s="157"/>
      <c r="O22" s="172">
        <f>'EU Child Data'!O7</f>
        <v>0</v>
      </c>
      <c r="P22" s="172">
        <f>'EU Child Data'!P7</f>
        <v>0</v>
      </c>
      <c r="Q22" s="172">
        <f>'EU Child Data'!Q7</f>
        <v>0</v>
      </c>
      <c r="R22" s="157"/>
      <c r="S22" s="172">
        <f>'EU Child Data'!S7</f>
        <v>0</v>
      </c>
      <c r="T22" s="172">
        <f>'EU Child Data'!T7</f>
        <v>0</v>
      </c>
      <c r="U22" s="172">
        <f>'EU Child Data'!U7</f>
        <v>0</v>
      </c>
      <c r="V22" s="157"/>
      <c r="W22" s="172">
        <f>'EU Child Data'!W7</f>
        <v>0</v>
      </c>
      <c r="X22" s="172">
        <f>'EU Child Data'!X7</f>
        <v>0</v>
      </c>
      <c r="Y22" s="172">
        <f>'EU Child Data'!Y7</f>
        <v>0</v>
      </c>
      <c r="Z22" s="331">
        <v>0</v>
      </c>
      <c r="AA22" s="172">
        <f>'EU Child Data'!AA7</f>
        <v>0</v>
      </c>
      <c r="AB22" s="172">
        <f>'EU Child Data'!AB7</f>
        <v>0</v>
      </c>
      <c r="AC22" s="172">
        <f>'EU Child Data'!AC7</f>
        <v>0</v>
      </c>
      <c r="AD22" s="86"/>
      <c r="AE22" s="172">
        <f>'EU Child Data'!AE7</f>
        <v>0</v>
      </c>
      <c r="AF22" s="172">
        <f>'EU Child Data'!AF7</f>
        <v>0</v>
      </c>
      <c r="AG22" s="172">
        <f>'EU Child Data'!AG7</f>
        <v>0</v>
      </c>
      <c r="AH22" s="86"/>
      <c r="AI22" s="172">
        <f>'EU Child Data'!AI7</f>
        <v>0</v>
      </c>
      <c r="AJ22" s="172">
        <f>'EU Child Data'!AJ7</f>
        <v>0</v>
      </c>
      <c r="AK22" s="172">
        <f>'EU Child Data'!AK7</f>
        <v>0</v>
      </c>
      <c r="AL22" s="86"/>
      <c r="AM22" s="172">
        <f>'EU Child Data'!AM7</f>
        <v>0</v>
      </c>
      <c r="AN22" s="172">
        <f>'EU Child Data'!AN7</f>
        <v>0</v>
      </c>
      <c r="AO22" s="172">
        <f>'EU Child Data'!AO7</f>
        <v>0</v>
      </c>
      <c r="AP22" s="86"/>
      <c r="AQ22" s="172">
        <f>'EU Child Data'!AQ7</f>
        <v>0</v>
      </c>
      <c r="AR22" s="172">
        <f>'EU Child Data'!AR7</f>
        <v>0</v>
      </c>
      <c r="AS22" s="172">
        <f>'EU Child Data'!AS7</f>
        <v>0</v>
      </c>
      <c r="AT22" s="86"/>
      <c r="AU22" s="172">
        <f>'EU Child Data'!AU7</f>
        <v>0</v>
      </c>
      <c r="AV22" s="172">
        <f>'EU Child Data'!AV7</f>
        <v>0</v>
      </c>
      <c r="AW22" s="172">
        <f>'EU Child Data'!AW7</f>
        <v>0</v>
      </c>
      <c r="AX22" s="86"/>
      <c r="AY22" s="172">
        <f>'EU Child Data'!AY7</f>
        <v>0</v>
      </c>
      <c r="AZ22" s="172">
        <f>'EU Child Data'!AZ7</f>
        <v>0</v>
      </c>
      <c r="BA22" s="172">
        <f>'EU Child Data'!BA7</f>
        <v>0</v>
      </c>
      <c r="BB22" s="86"/>
      <c r="BC22" s="172">
        <f>'EU Child Data'!BC7</f>
        <v>0</v>
      </c>
      <c r="BD22" s="172">
        <f>'EU Child Data'!BD7</f>
        <v>0</v>
      </c>
      <c r="BE22" s="172">
        <f>'EU Child Data'!BE7</f>
        <v>0</v>
      </c>
      <c r="BF22" s="305"/>
      <c r="BG22" s="172">
        <f>'EU Child Data'!BG7</f>
        <v>0</v>
      </c>
      <c r="BH22" s="172">
        <f>'EU Child Data'!BH7</f>
        <v>0</v>
      </c>
      <c r="BI22" s="172">
        <f>'EU Child Data'!BI7</f>
        <v>0</v>
      </c>
      <c r="BJ22" s="157"/>
      <c r="BK22" s="172">
        <f>'EU Child Data'!BK7</f>
        <v>0</v>
      </c>
      <c r="BL22" s="172">
        <f>'EU Child Data'!BL7</f>
        <v>0</v>
      </c>
      <c r="BM22" s="172">
        <f>'EU Child Data'!BM7</f>
        <v>0</v>
      </c>
      <c r="BN22" s="157"/>
      <c r="BO22" s="172">
        <f>'EU Child Data'!BO7</f>
        <v>0</v>
      </c>
      <c r="BP22" s="172">
        <f>'EU Child Data'!BP7</f>
        <v>0</v>
      </c>
      <c r="BQ22" s="172">
        <f>'EU Child Data'!BQ7</f>
        <v>0</v>
      </c>
      <c r="BR22" s="157"/>
      <c r="BS22" s="172">
        <f>'EU Child Data'!BS7</f>
        <v>0</v>
      </c>
      <c r="BT22" s="172">
        <f>'EU Child Data'!BT7</f>
        <v>0</v>
      </c>
      <c r="BU22" s="172">
        <f>'EU Child Data'!BU7</f>
        <v>0</v>
      </c>
      <c r="BV22" s="157"/>
      <c r="BW22" s="172">
        <f>'EU Child Data'!BW7</f>
        <v>0</v>
      </c>
      <c r="BX22" s="172">
        <f>'EU Child Data'!BX7</f>
        <v>0</v>
      </c>
      <c r="BY22" s="172">
        <f>'EU Child Data'!BY7</f>
        <v>0</v>
      </c>
      <c r="BZ22" s="82"/>
      <c r="CA22" s="172">
        <f>'EU Child Data'!CA7</f>
        <v>0</v>
      </c>
      <c r="CB22" s="172">
        <f>'EU Child Data'!CB7</f>
        <v>0</v>
      </c>
      <c r="CC22" s="172">
        <f>'EU Child Data'!CC7</f>
        <v>0</v>
      </c>
      <c r="CD22" s="82"/>
      <c r="CE22" s="172">
        <f>'EU Child Data'!CE7</f>
        <v>0</v>
      </c>
      <c r="CF22" s="172">
        <f>'EU Child Data'!CF7</f>
        <v>0</v>
      </c>
      <c r="CG22" s="172">
        <f>'EU Child Data'!CG7</f>
        <v>0</v>
      </c>
      <c r="CH22" s="82"/>
      <c r="CI22" s="82"/>
      <c r="CJ22" s="82"/>
      <c r="CK22" s="82"/>
      <c r="CL22" s="82"/>
      <c r="CM22" s="82"/>
      <c r="CN22" s="82"/>
      <c r="CO22" s="82"/>
      <c r="CP22" s="82"/>
      <c r="CQ22" s="82"/>
      <c r="CR22" s="82"/>
      <c r="CS22" s="82"/>
      <c r="CT22" s="82"/>
      <c r="CU22" s="82"/>
      <c r="CV22" s="82"/>
      <c r="CW22" s="82"/>
      <c r="CX22" s="82"/>
      <c r="CY22" s="82"/>
      <c r="CZ22" s="82"/>
      <c r="DA22" s="82"/>
      <c r="DB22" s="82"/>
    </row>
    <row r="23" spans="1:106">
      <c r="A23" s="309">
        <v>2</v>
      </c>
      <c r="B23" s="155"/>
      <c r="C23" s="172">
        <f>'EU Child Data'!C8</f>
        <v>0</v>
      </c>
      <c r="D23" s="172">
        <f>'EU Child Data'!D8</f>
        <v>0</v>
      </c>
      <c r="E23" s="172">
        <f>'EU Child Data'!E8</f>
        <v>0</v>
      </c>
      <c r="F23" s="171"/>
      <c r="G23" s="172">
        <f>'EU Child Data'!G8</f>
        <v>0</v>
      </c>
      <c r="H23" s="172">
        <f>'EU Child Data'!H8</f>
        <v>0</v>
      </c>
      <c r="I23" s="172">
        <f>'EU Child Data'!I8</f>
        <v>0</v>
      </c>
      <c r="J23" s="157"/>
      <c r="K23" s="172">
        <f>'EU Child Data'!K8</f>
        <v>0</v>
      </c>
      <c r="L23" s="172">
        <f>'EU Child Data'!L8</f>
        <v>0</v>
      </c>
      <c r="M23" s="172">
        <f>'EU Child Data'!M8</f>
        <v>0</v>
      </c>
      <c r="N23" s="157"/>
      <c r="O23" s="172">
        <f>'EU Child Data'!O8</f>
        <v>0</v>
      </c>
      <c r="P23" s="172">
        <f>'EU Child Data'!P8</f>
        <v>0</v>
      </c>
      <c r="Q23" s="172">
        <f>'EU Child Data'!Q8</f>
        <v>0</v>
      </c>
      <c r="R23" s="157"/>
      <c r="S23" s="172">
        <f>'EU Child Data'!S8</f>
        <v>0</v>
      </c>
      <c r="T23" s="172">
        <f>'EU Child Data'!T8</f>
        <v>0</v>
      </c>
      <c r="U23" s="172">
        <f>'EU Child Data'!U8</f>
        <v>0</v>
      </c>
      <c r="V23" s="157"/>
      <c r="W23" s="172">
        <f>'EU Child Data'!W8</f>
        <v>0</v>
      </c>
      <c r="X23" s="172">
        <f>'EU Child Data'!X8</f>
        <v>0</v>
      </c>
      <c r="Y23" s="172">
        <f>'EU Child Data'!Y8</f>
        <v>0</v>
      </c>
      <c r="Z23" s="331">
        <v>0</v>
      </c>
      <c r="AA23" s="172">
        <f>'EU Child Data'!AA8</f>
        <v>0</v>
      </c>
      <c r="AB23" s="172">
        <f>'EU Child Data'!AB8</f>
        <v>0</v>
      </c>
      <c r="AC23" s="172">
        <f>'EU Child Data'!AC8</f>
        <v>0</v>
      </c>
      <c r="AD23" s="86"/>
      <c r="AE23" s="172">
        <f>'EU Child Data'!AE8</f>
        <v>0</v>
      </c>
      <c r="AF23" s="172">
        <f>'EU Child Data'!AF8</f>
        <v>0</v>
      </c>
      <c r="AG23" s="172">
        <f>'EU Child Data'!AG8</f>
        <v>0</v>
      </c>
      <c r="AH23" s="86"/>
      <c r="AI23" s="172">
        <f>'EU Child Data'!AI8</f>
        <v>0</v>
      </c>
      <c r="AJ23" s="172">
        <f>'EU Child Data'!AJ8</f>
        <v>0</v>
      </c>
      <c r="AK23" s="172">
        <f>'EU Child Data'!AK8</f>
        <v>0</v>
      </c>
      <c r="AL23" s="86"/>
      <c r="AM23" s="172">
        <f>'EU Child Data'!AM8</f>
        <v>0</v>
      </c>
      <c r="AN23" s="172">
        <f>'EU Child Data'!AN8</f>
        <v>0</v>
      </c>
      <c r="AO23" s="172">
        <f>'EU Child Data'!AO8</f>
        <v>0</v>
      </c>
      <c r="AP23" s="86"/>
      <c r="AQ23" s="172">
        <f>'EU Child Data'!AQ8</f>
        <v>0</v>
      </c>
      <c r="AR23" s="172">
        <f>'EU Child Data'!AR8</f>
        <v>0</v>
      </c>
      <c r="AS23" s="172">
        <f>'EU Child Data'!AS8</f>
        <v>0</v>
      </c>
      <c r="AT23" s="86"/>
      <c r="AU23" s="172">
        <f>'EU Child Data'!AU8</f>
        <v>0</v>
      </c>
      <c r="AV23" s="172">
        <f>'EU Child Data'!AV8</f>
        <v>0</v>
      </c>
      <c r="AW23" s="172">
        <f>'EU Child Data'!AW8</f>
        <v>0</v>
      </c>
      <c r="AX23" s="86"/>
      <c r="AY23" s="172">
        <f>'EU Child Data'!AY8</f>
        <v>0</v>
      </c>
      <c r="AZ23" s="172">
        <f>'EU Child Data'!AZ8</f>
        <v>0</v>
      </c>
      <c r="BA23" s="172">
        <f>'EU Child Data'!BA8</f>
        <v>0</v>
      </c>
      <c r="BB23" s="86"/>
      <c r="BC23" s="172">
        <f>'EU Child Data'!BC8</f>
        <v>0</v>
      </c>
      <c r="BD23" s="172">
        <f>'EU Child Data'!BD8</f>
        <v>0</v>
      </c>
      <c r="BE23" s="172">
        <f>'EU Child Data'!BE8</f>
        <v>0</v>
      </c>
      <c r="BF23" s="305"/>
      <c r="BG23" s="172">
        <f>'EU Child Data'!BG8</f>
        <v>0</v>
      </c>
      <c r="BH23" s="172">
        <f>'EU Child Data'!BH8</f>
        <v>0</v>
      </c>
      <c r="BI23" s="172">
        <f>'EU Child Data'!BI8</f>
        <v>0</v>
      </c>
      <c r="BJ23" s="157"/>
      <c r="BK23" s="172">
        <f>'EU Child Data'!BK8</f>
        <v>0</v>
      </c>
      <c r="BL23" s="172">
        <f>'EU Child Data'!BL8</f>
        <v>0</v>
      </c>
      <c r="BM23" s="172">
        <f>'EU Child Data'!BM8</f>
        <v>0</v>
      </c>
      <c r="BN23" s="157"/>
      <c r="BO23" s="172">
        <f>'EU Child Data'!BO8</f>
        <v>0</v>
      </c>
      <c r="BP23" s="172">
        <f>'EU Child Data'!BP8</f>
        <v>0</v>
      </c>
      <c r="BQ23" s="172">
        <f>'EU Child Data'!BQ8</f>
        <v>0</v>
      </c>
      <c r="BR23" s="157"/>
      <c r="BS23" s="172">
        <f>'EU Child Data'!BS8</f>
        <v>0</v>
      </c>
      <c r="BT23" s="172">
        <f>'EU Child Data'!BT8</f>
        <v>0</v>
      </c>
      <c r="BU23" s="172">
        <f>'EU Child Data'!BU8</f>
        <v>0</v>
      </c>
      <c r="BV23" s="157"/>
      <c r="BW23" s="172">
        <f>'EU Child Data'!BW8</f>
        <v>0</v>
      </c>
      <c r="BX23" s="172">
        <f>'EU Child Data'!BX8</f>
        <v>0</v>
      </c>
      <c r="BY23" s="172">
        <f>'EU Child Data'!BY8</f>
        <v>0</v>
      </c>
      <c r="BZ23" s="82"/>
      <c r="CA23" s="172">
        <f>'EU Child Data'!CA8</f>
        <v>0</v>
      </c>
      <c r="CB23" s="172">
        <f>'EU Child Data'!CB8</f>
        <v>0</v>
      </c>
      <c r="CC23" s="172">
        <f>'EU Child Data'!CC8</f>
        <v>0</v>
      </c>
      <c r="CD23" s="82"/>
      <c r="CE23" s="172">
        <f>'EU Child Data'!CE8</f>
        <v>0</v>
      </c>
      <c r="CF23" s="172">
        <f>'EU Child Data'!CF8</f>
        <v>0</v>
      </c>
      <c r="CG23" s="172">
        <f>'EU Child Data'!CG8</f>
        <v>0</v>
      </c>
      <c r="CH23" s="82"/>
      <c r="CI23" s="82"/>
      <c r="CJ23" s="82"/>
      <c r="CK23" s="82"/>
      <c r="CL23" s="82"/>
      <c r="CM23" s="82"/>
      <c r="CN23" s="82"/>
      <c r="CO23" s="82"/>
      <c r="CP23" s="82"/>
      <c r="CQ23" s="82"/>
      <c r="CR23" s="82"/>
      <c r="CS23" s="82"/>
      <c r="CT23" s="82"/>
      <c r="CU23" s="82"/>
      <c r="CV23" s="82"/>
      <c r="CW23" s="82"/>
      <c r="CX23" s="82"/>
      <c r="CY23" s="82"/>
      <c r="CZ23" s="82"/>
      <c r="DA23" s="82"/>
      <c r="DB23" s="82"/>
    </row>
    <row r="24" spans="1:106">
      <c r="A24" s="309">
        <v>3</v>
      </c>
      <c r="B24" s="155"/>
      <c r="C24" s="172">
        <f>'EU Child Data'!C9</f>
        <v>0</v>
      </c>
      <c r="D24" s="172">
        <f>'EU Child Data'!D9</f>
        <v>0</v>
      </c>
      <c r="E24" s="172">
        <f>'EU Child Data'!E9</f>
        <v>0</v>
      </c>
      <c r="F24" s="171"/>
      <c r="G24" s="172">
        <f>'EU Child Data'!G9</f>
        <v>0</v>
      </c>
      <c r="H24" s="172">
        <f>'EU Child Data'!H9</f>
        <v>0</v>
      </c>
      <c r="I24" s="172">
        <f>'EU Child Data'!I9</f>
        <v>0</v>
      </c>
      <c r="J24" s="157"/>
      <c r="K24" s="172">
        <f>'EU Child Data'!K9</f>
        <v>0</v>
      </c>
      <c r="L24" s="172">
        <f>'EU Child Data'!L9</f>
        <v>0</v>
      </c>
      <c r="M24" s="172">
        <f>'EU Child Data'!M9</f>
        <v>0</v>
      </c>
      <c r="N24" s="157"/>
      <c r="O24" s="172">
        <f>'EU Child Data'!O9</f>
        <v>0</v>
      </c>
      <c r="P24" s="172">
        <f>'EU Child Data'!P9</f>
        <v>0</v>
      </c>
      <c r="Q24" s="172">
        <f>'EU Child Data'!Q9</f>
        <v>0</v>
      </c>
      <c r="R24" s="157"/>
      <c r="S24" s="172">
        <f>'EU Child Data'!S9</f>
        <v>0</v>
      </c>
      <c r="T24" s="172">
        <f>'EU Child Data'!T9</f>
        <v>0</v>
      </c>
      <c r="U24" s="172">
        <f>'EU Child Data'!U9</f>
        <v>0</v>
      </c>
      <c r="V24" s="157"/>
      <c r="W24" s="172">
        <f>'EU Child Data'!W9</f>
        <v>0</v>
      </c>
      <c r="X24" s="172">
        <f>'EU Child Data'!X9</f>
        <v>0</v>
      </c>
      <c r="Y24" s="172">
        <f>'EU Child Data'!Y9</f>
        <v>0</v>
      </c>
      <c r="Z24" s="331">
        <v>0</v>
      </c>
      <c r="AA24" s="172">
        <f>'EU Child Data'!AA9</f>
        <v>0</v>
      </c>
      <c r="AB24" s="172">
        <f>'EU Child Data'!AB9</f>
        <v>0</v>
      </c>
      <c r="AC24" s="172">
        <f>'EU Child Data'!AC9</f>
        <v>0</v>
      </c>
      <c r="AD24" s="86"/>
      <c r="AE24" s="172">
        <f>'EU Child Data'!AE9</f>
        <v>0</v>
      </c>
      <c r="AF24" s="172">
        <f>'EU Child Data'!AF9</f>
        <v>0</v>
      </c>
      <c r="AG24" s="172">
        <f>'EU Child Data'!AG9</f>
        <v>0</v>
      </c>
      <c r="AH24" s="86"/>
      <c r="AI24" s="172">
        <f>'EU Child Data'!AI9</f>
        <v>0</v>
      </c>
      <c r="AJ24" s="172">
        <f>'EU Child Data'!AJ9</f>
        <v>0</v>
      </c>
      <c r="AK24" s="172">
        <f>'EU Child Data'!AK9</f>
        <v>0</v>
      </c>
      <c r="AL24" s="86"/>
      <c r="AM24" s="172">
        <f>'EU Child Data'!AM9</f>
        <v>0</v>
      </c>
      <c r="AN24" s="172">
        <f>'EU Child Data'!AN9</f>
        <v>0</v>
      </c>
      <c r="AO24" s="172">
        <f>'EU Child Data'!AO9</f>
        <v>0</v>
      </c>
      <c r="AP24" s="86"/>
      <c r="AQ24" s="172">
        <f>'EU Child Data'!AQ9</f>
        <v>0</v>
      </c>
      <c r="AR24" s="172">
        <f>'EU Child Data'!AR9</f>
        <v>0</v>
      </c>
      <c r="AS24" s="172">
        <f>'EU Child Data'!AS9</f>
        <v>0</v>
      </c>
      <c r="AT24" s="86"/>
      <c r="AU24" s="172">
        <f>'EU Child Data'!AU9</f>
        <v>0</v>
      </c>
      <c r="AV24" s="172">
        <f>'EU Child Data'!AV9</f>
        <v>0</v>
      </c>
      <c r="AW24" s="172">
        <f>'EU Child Data'!AW9</f>
        <v>0</v>
      </c>
      <c r="AX24" s="86"/>
      <c r="AY24" s="172">
        <f>'EU Child Data'!AY9</f>
        <v>0</v>
      </c>
      <c r="AZ24" s="172">
        <f>'EU Child Data'!AZ9</f>
        <v>0</v>
      </c>
      <c r="BA24" s="172">
        <f>'EU Child Data'!BA9</f>
        <v>0</v>
      </c>
      <c r="BB24" s="86"/>
      <c r="BC24" s="172">
        <f>'EU Child Data'!BC9</f>
        <v>0</v>
      </c>
      <c r="BD24" s="172">
        <f>'EU Child Data'!BD9</f>
        <v>0</v>
      </c>
      <c r="BE24" s="172">
        <f>'EU Child Data'!BE9</f>
        <v>0</v>
      </c>
      <c r="BF24" s="305"/>
      <c r="BG24" s="172">
        <f>'EU Child Data'!BG9</f>
        <v>0</v>
      </c>
      <c r="BH24" s="172">
        <f>'EU Child Data'!BH9</f>
        <v>0</v>
      </c>
      <c r="BI24" s="172">
        <f>'EU Child Data'!BI9</f>
        <v>0</v>
      </c>
      <c r="BJ24" s="157"/>
      <c r="BK24" s="172">
        <f>'EU Child Data'!BK9</f>
        <v>0</v>
      </c>
      <c r="BL24" s="172">
        <f>'EU Child Data'!BL9</f>
        <v>0</v>
      </c>
      <c r="BM24" s="172">
        <f>'EU Child Data'!BM9</f>
        <v>0</v>
      </c>
      <c r="BN24" s="157"/>
      <c r="BO24" s="172">
        <f>'EU Child Data'!BO9</f>
        <v>0</v>
      </c>
      <c r="BP24" s="172">
        <f>'EU Child Data'!BP9</f>
        <v>0</v>
      </c>
      <c r="BQ24" s="172">
        <f>'EU Child Data'!BQ9</f>
        <v>0</v>
      </c>
      <c r="BR24" s="157"/>
      <c r="BS24" s="172">
        <f>'EU Child Data'!BS9</f>
        <v>0</v>
      </c>
      <c r="BT24" s="172">
        <f>'EU Child Data'!BT9</f>
        <v>0</v>
      </c>
      <c r="BU24" s="172">
        <f>'EU Child Data'!BU9</f>
        <v>0</v>
      </c>
      <c r="BV24" s="157"/>
      <c r="BW24" s="172">
        <f>'EU Child Data'!BW9</f>
        <v>0</v>
      </c>
      <c r="BX24" s="172">
        <f>'EU Child Data'!BX9</f>
        <v>0</v>
      </c>
      <c r="BY24" s="172">
        <f>'EU Child Data'!BY9</f>
        <v>0</v>
      </c>
      <c r="BZ24" s="82"/>
      <c r="CA24" s="172">
        <f>'EU Child Data'!CA9</f>
        <v>0</v>
      </c>
      <c r="CB24" s="172">
        <f>'EU Child Data'!CB9</f>
        <v>0</v>
      </c>
      <c r="CC24" s="172">
        <f>'EU Child Data'!CC9</f>
        <v>0</v>
      </c>
      <c r="CD24" s="82"/>
      <c r="CE24" s="172">
        <f>'EU Child Data'!CE9</f>
        <v>0</v>
      </c>
      <c r="CF24" s="172">
        <f>'EU Child Data'!CF9</f>
        <v>0</v>
      </c>
      <c r="CG24" s="172">
        <f>'EU Child Data'!CG9</f>
        <v>0</v>
      </c>
      <c r="CH24" s="82"/>
      <c r="CI24" s="82"/>
      <c r="CJ24" s="82"/>
      <c r="CK24" s="82"/>
      <c r="CL24" s="82"/>
      <c r="CM24" s="82"/>
      <c r="CN24" s="82"/>
      <c r="CO24" s="82"/>
      <c r="CP24" s="82"/>
      <c r="CQ24" s="82"/>
      <c r="CR24" s="82"/>
      <c r="CS24" s="82"/>
      <c r="CT24" s="82"/>
      <c r="CU24" s="82"/>
      <c r="CV24" s="82"/>
      <c r="CW24" s="82"/>
      <c r="CX24" s="82"/>
      <c r="CY24" s="82"/>
      <c r="CZ24" s="82"/>
      <c r="DA24" s="82"/>
      <c r="DB24" s="82"/>
    </row>
    <row r="25" spans="1:106">
      <c r="A25" s="309">
        <v>4</v>
      </c>
      <c r="B25" s="155"/>
      <c r="C25" s="172">
        <f>'EU Child Data'!C10</f>
        <v>0</v>
      </c>
      <c r="D25" s="172">
        <f>'EU Child Data'!D10</f>
        <v>0</v>
      </c>
      <c r="E25" s="172">
        <f>'EU Child Data'!E10</f>
        <v>0</v>
      </c>
      <c r="F25" s="171"/>
      <c r="G25" s="172">
        <f>'EU Child Data'!G10</f>
        <v>0</v>
      </c>
      <c r="H25" s="172">
        <f>'EU Child Data'!H10</f>
        <v>0</v>
      </c>
      <c r="I25" s="172">
        <f>'EU Child Data'!I10</f>
        <v>0</v>
      </c>
      <c r="J25" s="157"/>
      <c r="K25" s="172">
        <f>'EU Child Data'!K10</f>
        <v>0</v>
      </c>
      <c r="L25" s="172">
        <f>'EU Child Data'!L10</f>
        <v>0</v>
      </c>
      <c r="M25" s="172">
        <f>'EU Child Data'!M10</f>
        <v>0</v>
      </c>
      <c r="N25" s="157"/>
      <c r="O25" s="172">
        <f>'EU Child Data'!O10</f>
        <v>0</v>
      </c>
      <c r="P25" s="172">
        <f>'EU Child Data'!P10</f>
        <v>0</v>
      </c>
      <c r="Q25" s="172">
        <f>'EU Child Data'!Q10</f>
        <v>0</v>
      </c>
      <c r="R25" s="157"/>
      <c r="S25" s="172">
        <f>'EU Child Data'!S10</f>
        <v>0</v>
      </c>
      <c r="T25" s="172">
        <f>'EU Child Data'!T10</f>
        <v>0</v>
      </c>
      <c r="U25" s="172">
        <f>'EU Child Data'!U10</f>
        <v>0</v>
      </c>
      <c r="V25" s="157"/>
      <c r="W25" s="172">
        <f>'EU Child Data'!W10</f>
        <v>0</v>
      </c>
      <c r="X25" s="172">
        <f>'EU Child Data'!X10</f>
        <v>0</v>
      </c>
      <c r="Y25" s="172">
        <f>'EU Child Data'!Y10</f>
        <v>0</v>
      </c>
      <c r="Z25" s="331">
        <v>0</v>
      </c>
      <c r="AA25" s="172">
        <f>'EU Child Data'!AA10</f>
        <v>0</v>
      </c>
      <c r="AB25" s="172">
        <f>'EU Child Data'!AB10</f>
        <v>0</v>
      </c>
      <c r="AC25" s="172">
        <f>'EU Child Data'!AC10</f>
        <v>0</v>
      </c>
      <c r="AD25" s="86"/>
      <c r="AE25" s="172">
        <f>'EU Child Data'!AE10</f>
        <v>0</v>
      </c>
      <c r="AF25" s="172">
        <f>'EU Child Data'!AF10</f>
        <v>0</v>
      </c>
      <c r="AG25" s="172">
        <f>'EU Child Data'!AG10</f>
        <v>0</v>
      </c>
      <c r="AH25" s="86"/>
      <c r="AI25" s="172">
        <f>'EU Child Data'!AI10</f>
        <v>0</v>
      </c>
      <c r="AJ25" s="172">
        <f>'EU Child Data'!AJ10</f>
        <v>0</v>
      </c>
      <c r="AK25" s="172">
        <f>'EU Child Data'!AK10</f>
        <v>0</v>
      </c>
      <c r="AL25" s="86"/>
      <c r="AM25" s="172">
        <f>'EU Child Data'!AM10</f>
        <v>0</v>
      </c>
      <c r="AN25" s="172">
        <f>'EU Child Data'!AN10</f>
        <v>0</v>
      </c>
      <c r="AO25" s="172">
        <f>'EU Child Data'!AO10</f>
        <v>0</v>
      </c>
      <c r="AP25" s="86"/>
      <c r="AQ25" s="172">
        <f>'EU Child Data'!AQ10</f>
        <v>0</v>
      </c>
      <c r="AR25" s="172">
        <f>'EU Child Data'!AR10</f>
        <v>0</v>
      </c>
      <c r="AS25" s="172">
        <f>'EU Child Data'!AS10</f>
        <v>0</v>
      </c>
      <c r="AT25" s="86"/>
      <c r="AU25" s="172">
        <f>'EU Child Data'!AU10</f>
        <v>0</v>
      </c>
      <c r="AV25" s="172">
        <f>'EU Child Data'!AV10</f>
        <v>0</v>
      </c>
      <c r="AW25" s="172">
        <f>'EU Child Data'!AW10</f>
        <v>0</v>
      </c>
      <c r="AX25" s="86"/>
      <c r="AY25" s="172">
        <f>'EU Child Data'!AY10</f>
        <v>0</v>
      </c>
      <c r="AZ25" s="172">
        <f>'EU Child Data'!AZ10</f>
        <v>0</v>
      </c>
      <c r="BA25" s="172">
        <f>'EU Child Data'!BA10</f>
        <v>0</v>
      </c>
      <c r="BB25" s="86"/>
      <c r="BC25" s="172">
        <f>'EU Child Data'!BC10</f>
        <v>0</v>
      </c>
      <c r="BD25" s="172">
        <f>'EU Child Data'!BD10</f>
        <v>0</v>
      </c>
      <c r="BE25" s="172">
        <f>'EU Child Data'!BE10</f>
        <v>0</v>
      </c>
      <c r="BF25" s="305"/>
      <c r="BG25" s="172">
        <f>'EU Child Data'!BG10</f>
        <v>0</v>
      </c>
      <c r="BH25" s="172">
        <f>'EU Child Data'!BH10</f>
        <v>0</v>
      </c>
      <c r="BI25" s="172">
        <f>'EU Child Data'!BI10</f>
        <v>0</v>
      </c>
      <c r="BJ25" s="157"/>
      <c r="BK25" s="172">
        <f>'EU Child Data'!BK10</f>
        <v>0</v>
      </c>
      <c r="BL25" s="172">
        <f>'EU Child Data'!BL10</f>
        <v>0</v>
      </c>
      <c r="BM25" s="172">
        <f>'EU Child Data'!BM10</f>
        <v>0</v>
      </c>
      <c r="BN25" s="157"/>
      <c r="BO25" s="172">
        <f>'EU Child Data'!BO10</f>
        <v>0</v>
      </c>
      <c r="BP25" s="172">
        <f>'EU Child Data'!BP10</f>
        <v>0</v>
      </c>
      <c r="BQ25" s="172">
        <f>'EU Child Data'!BQ10</f>
        <v>0</v>
      </c>
      <c r="BR25" s="157"/>
      <c r="BS25" s="172">
        <f>'EU Child Data'!BS10</f>
        <v>0</v>
      </c>
      <c r="BT25" s="172">
        <f>'EU Child Data'!BT10</f>
        <v>0</v>
      </c>
      <c r="BU25" s="172">
        <f>'EU Child Data'!BU10</f>
        <v>0</v>
      </c>
      <c r="BV25" s="157"/>
      <c r="BW25" s="172">
        <f>'EU Child Data'!BW10</f>
        <v>0</v>
      </c>
      <c r="BX25" s="172">
        <f>'EU Child Data'!BX10</f>
        <v>0</v>
      </c>
      <c r="BY25" s="172">
        <f>'EU Child Data'!BY10</f>
        <v>0</v>
      </c>
      <c r="BZ25" s="82"/>
      <c r="CA25" s="172">
        <f>'EU Child Data'!CA10</f>
        <v>0</v>
      </c>
      <c r="CB25" s="172">
        <f>'EU Child Data'!CB10</f>
        <v>0</v>
      </c>
      <c r="CC25" s="172">
        <f>'EU Child Data'!CC10</f>
        <v>0</v>
      </c>
      <c r="CD25" s="82"/>
      <c r="CE25" s="172">
        <f>'EU Child Data'!CE10</f>
        <v>0</v>
      </c>
      <c r="CF25" s="172">
        <f>'EU Child Data'!CF10</f>
        <v>0</v>
      </c>
      <c r="CG25" s="172">
        <f>'EU Child Data'!CG10</f>
        <v>0</v>
      </c>
      <c r="CH25" s="82"/>
      <c r="CI25" s="82"/>
      <c r="CJ25" s="82"/>
      <c r="CK25" s="82"/>
      <c r="CL25" s="82"/>
      <c r="CM25" s="82"/>
      <c r="CN25" s="82"/>
      <c r="CO25" s="82"/>
      <c r="CP25" s="82"/>
      <c r="CQ25" s="82"/>
      <c r="CR25" s="82"/>
      <c r="CS25" s="82"/>
      <c r="CT25" s="82"/>
      <c r="CU25" s="82"/>
      <c r="CV25" s="82"/>
      <c r="CW25" s="82"/>
      <c r="CX25" s="82"/>
      <c r="CY25" s="82"/>
      <c r="CZ25" s="82"/>
      <c r="DA25" s="82"/>
      <c r="DB25" s="82"/>
    </row>
    <row r="26" spans="1:106">
      <c r="A26" s="309">
        <v>5</v>
      </c>
      <c r="B26" s="155"/>
      <c r="C26" s="172">
        <f>'EU Child Data'!C11</f>
        <v>0</v>
      </c>
      <c r="D26" s="172">
        <f>'EU Child Data'!D11</f>
        <v>0</v>
      </c>
      <c r="E26" s="172">
        <f>'EU Child Data'!E11</f>
        <v>0</v>
      </c>
      <c r="F26" s="171"/>
      <c r="G26" s="172">
        <f>'EU Child Data'!G11</f>
        <v>0</v>
      </c>
      <c r="H26" s="172">
        <f>'EU Child Data'!H11</f>
        <v>0</v>
      </c>
      <c r="I26" s="172">
        <f>'EU Child Data'!I11</f>
        <v>0</v>
      </c>
      <c r="J26" s="157"/>
      <c r="K26" s="172">
        <f>'EU Child Data'!K11</f>
        <v>0</v>
      </c>
      <c r="L26" s="172">
        <f>'EU Child Data'!L11</f>
        <v>0</v>
      </c>
      <c r="M26" s="172">
        <f>'EU Child Data'!M11</f>
        <v>0</v>
      </c>
      <c r="N26" s="157"/>
      <c r="O26" s="172">
        <f>'EU Child Data'!O11</f>
        <v>0</v>
      </c>
      <c r="P26" s="172">
        <f>'EU Child Data'!P11</f>
        <v>0</v>
      </c>
      <c r="Q26" s="172">
        <f>'EU Child Data'!Q11</f>
        <v>0</v>
      </c>
      <c r="R26" s="157"/>
      <c r="S26" s="172">
        <f>'EU Child Data'!S11</f>
        <v>0</v>
      </c>
      <c r="T26" s="172">
        <f>'EU Child Data'!T11</f>
        <v>0</v>
      </c>
      <c r="U26" s="172">
        <f>'EU Child Data'!U11</f>
        <v>0</v>
      </c>
      <c r="V26" s="157"/>
      <c r="W26" s="172">
        <f>'EU Child Data'!W11</f>
        <v>0</v>
      </c>
      <c r="X26" s="172">
        <f>'EU Child Data'!X11</f>
        <v>0</v>
      </c>
      <c r="Y26" s="172">
        <f>'EU Child Data'!Y11</f>
        <v>0</v>
      </c>
      <c r="Z26" s="331">
        <v>0</v>
      </c>
      <c r="AA26" s="172">
        <f>'EU Child Data'!AA11</f>
        <v>0</v>
      </c>
      <c r="AB26" s="172">
        <f>'EU Child Data'!AB11</f>
        <v>0</v>
      </c>
      <c r="AC26" s="172">
        <f>'EU Child Data'!AC11</f>
        <v>0</v>
      </c>
      <c r="AD26" s="86"/>
      <c r="AE26" s="172">
        <f>'EU Child Data'!AE11</f>
        <v>0</v>
      </c>
      <c r="AF26" s="172">
        <f>'EU Child Data'!AF11</f>
        <v>0</v>
      </c>
      <c r="AG26" s="172">
        <f>'EU Child Data'!AG11</f>
        <v>0</v>
      </c>
      <c r="AH26" s="86"/>
      <c r="AI26" s="172">
        <f>'EU Child Data'!AI11</f>
        <v>0</v>
      </c>
      <c r="AJ26" s="172">
        <f>'EU Child Data'!AJ11</f>
        <v>0</v>
      </c>
      <c r="AK26" s="172">
        <f>'EU Child Data'!AK11</f>
        <v>0</v>
      </c>
      <c r="AL26" s="86"/>
      <c r="AM26" s="172">
        <f>'EU Child Data'!AM11</f>
        <v>0</v>
      </c>
      <c r="AN26" s="172">
        <f>'EU Child Data'!AN11</f>
        <v>0</v>
      </c>
      <c r="AO26" s="172">
        <f>'EU Child Data'!AO11</f>
        <v>0</v>
      </c>
      <c r="AP26" s="86"/>
      <c r="AQ26" s="172">
        <f>'EU Child Data'!AQ11</f>
        <v>0</v>
      </c>
      <c r="AR26" s="172">
        <f>'EU Child Data'!AR11</f>
        <v>0</v>
      </c>
      <c r="AS26" s="172">
        <f>'EU Child Data'!AS11</f>
        <v>0</v>
      </c>
      <c r="AT26" s="86"/>
      <c r="AU26" s="172">
        <f>'EU Child Data'!AU11</f>
        <v>0</v>
      </c>
      <c r="AV26" s="172">
        <f>'EU Child Data'!AV11</f>
        <v>0</v>
      </c>
      <c r="AW26" s="172">
        <f>'EU Child Data'!AW11</f>
        <v>0</v>
      </c>
      <c r="AX26" s="86"/>
      <c r="AY26" s="172">
        <f>'EU Child Data'!AY11</f>
        <v>0</v>
      </c>
      <c r="AZ26" s="172">
        <f>'EU Child Data'!AZ11</f>
        <v>0</v>
      </c>
      <c r="BA26" s="172">
        <f>'EU Child Data'!BA11</f>
        <v>0</v>
      </c>
      <c r="BB26" s="86"/>
      <c r="BC26" s="172">
        <f>'EU Child Data'!BC11</f>
        <v>0</v>
      </c>
      <c r="BD26" s="172">
        <f>'EU Child Data'!BD11</f>
        <v>0</v>
      </c>
      <c r="BE26" s="172">
        <f>'EU Child Data'!BE11</f>
        <v>0</v>
      </c>
      <c r="BF26" s="305"/>
      <c r="BG26" s="172">
        <f>'EU Child Data'!BG11</f>
        <v>0</v>
      </c>
      <c r="BH26" s="172">
        <f>'EU Child Data'!BH11</f>
        <v>0</v>
      </c>
      <c r="BI26" s="172">
        <f>'EU Child Data'!BI11</f>
        <v>0</v>
      </c>
      <c r="BJ26" s="157"/>
      <c r="BK26" s="172">
        <f>'EU Child Data'!BK11</f>
        <v>0</v>
      </c>
      <c r="BL26" s="172">
        <f>'EU Child Data'!BL11</f>
        <v>0</v>
      </c>
      <c r="BM26" s="172">
        <f>'EU Child Data'!BM11</f>
        <v>0</v>
      </c>
      <c r="BN26" s="157"/>
      <c r="BO26" s="172">
        <f>'EU Child Data'!BO11</f>
        <v>0</v>
      </c>
      <c r="BP26" s="172">
        <f>'EU Child Data'!BP11</f>
        <v>0</v>
      </c>
      <c r="BQ26" s="172">
        <f>'EU Child Data'!BQ11</f>
        <v>0</v>
      </c>
      <c r="BR26" s="157"/>
      <c r="BS26" s="172">
        <f>'EU Child Data'!BS11</f>
        <v>0</v>
      </c>
      <c r="BT26" s="172">
        <f>'EU Child Data'!BT11</f>
        <v>0</v>
      </c>
      <c r="BU26" s="172">
        <f>'EU Child Data'!BU11</f>
        <v>0</v>
      </c>
      <c r="BV26" s="157"/>
      <c r="BW26" s="172">
        <f>'EU Child Data'!BW11</f>
        <v>0</v>
      </c>
      <c r="BX26" s="172">
        <f>'EU Child Data'!BX11</f>
        <v>0</v>
      </c>
      <c r="BY26" s="172">
        <f>'EU Child Data'!BY11</f>
        <v>0</v>
      </c>
      <c r="BZ26" s="82"/>
      <c r="CA26" s="172">
        <f>'EU Child Data'!CA11</f>
        <v>0</v>
      </c>
      <c r="CB26" s="172">
        <f>'EU Child Data'!CB11</f>
        <v>0</v>
      </c>
      <c r="CC26" s="172">
        <f>'EU Child Data'!CC11</f>
        <v>0</v>
      </c>
      <c r="CD26" s="82"/>
      <c r="CE26" s="172">
        <f>'EU Child Data'!CE11</f>
        <v>0</v>
      </c>
      <c r="CF26" s="172">
        <f>'EU Child Data'!CF11</f>
        <v>0</v>
      </c>
      <c r="CG26" s="172">
        <f>'EU Child Data'!CG11</f>
        <v>0</v>
      </c>
      <c r="CH26" s="82"/>
      <c r="CI26" s="82"/>
      <c r="CJ26" s="82"/>
      <c r="CK26" s="82"/>
      <c r="CL26" s="82"/>
      <c r="CM26" s="82"/>
      <c r="CN26" s="82"/>
      <c r="CO26" s="82"/>
      <c r="CP26" s="82"/>
      <c r="CQ26" s="82"/>
      <c r="CR26" s="82"/>
      <c r="CS26" s="82"/>
      <c r="CT26" s="82"/>
      <c r="CU26" s="82"/>
      <c r="CV26" s="82"/>
      <c r="CW26" s="82"/>
      <c r="CX26" s="82"/>
      <c r="CY26" s="82"/>
      <c r="CZ26" s="82"/>
      <c r="DA26" s="82"/>
      <c r="DB26" s="82"/>
    </row>
    <row r="27" spans="1:106">
      <c r="A27" s="309">
        <v>6</v>
      </c>
      <c r="B27" s="155"/>
      <c r="C27" s="172">
        <f>'EU Child Data'!C12</f>
        <v>0</v>
      </c>
      <c r="D27" s="172">
        <f>'EU Child Data'!D12</f>
        <v>0</v>
      </c>
      <c r="E27" s="172">
        <f>'EU Child Data'!E12</f>
        <v>0</v>
      </c>
      <c r="F27" s="171"/>
      <c r="G27" s="172">
        <f>'EU Child Data'!G12</f>
        <v>0</v>
      </c>
      <c r="H27" s="172">
        <f>'EU Child Data'!H12</f>
        <v>0</v>
      </c>
      <c r="I27" s="172">
        <f>'EU Child Data'!I12</f>
        <v>0</v>
      </c>
      <c r="J27" s="157"/>
      <c r="K27" s="172">
        <f>'EU Child Data'!K12</f>
        <v>0</v>
      </c>
      <c r="L27" s="172">
        <f>'EU Child Data'!L12</f>
        <v>0</v>
      </c>
      <c r="M27" s="172">
        <f>'EU Child Data'!M12</f>
        <v>0</v>
      </c>
      <c r="N27" s="157"/>
      <c r="O27" s="172">
        <f>'EU Child Data'!O12</f>
        <v>0</v>
      </c>
      <c r="P27" s="172">
        <f>'EU Child Data'!P12</f>
        <v>0</v>
      </c>
      <c r="Q27" s="172">
        <f>'EU Child Data'!Q12</f>
        <v>0</v>
      </c>
      <c r="R27" s="157"/>
      <c r="S27" s="172">
        <f>'EU Child Data'!S12</f>
        <v>0</v>
      </c>
      <c r="T27" s="172">
        <f>'EU Child Data'!T12</f>
        <v>0</v>
      </c>
      <c r="U27" s="172">
        <f>'EU Child Data'!U12</f>
        <v>0</v>
      </c>
      <c r="V27" s="157"/>
      <c r="W27" s="172">
        <f>'EU Child Data'!W12</f>
        <v>0</v>
      </c>
      <c r="X27" s="172">
        <f>'EU Child Data'!X12</f>
        <v>0</v>
      </c>
      <c r="Y27" s="172">
        <f>'EU Child Data'!Y12</f>
        <v>0</v>
      </c>
      <c r="Z27" s="331">
        <v>0</v>
      </c>
      <c r="AA27" s="172">
        <f>'EU Child Data'!AA12</f>
        <v>0</v>
      </c>
      <c r="AB27" s="172">
        <f>'EU Child Data'!AB12</f>
        <v>0</v>
      </c>
      <c r="AC27" s="172">
        <f>'EU Child Data'!AC12</f>
        <v>0</v>
      </c>
      <c r="AD27" s="86"/>
      <c r="AE27" s="172">
        <f>'EU Child Data'!AE12</f>
        <v>0</v>
      </c>
      <c r="AF27" s="172">
        <f>'EU Child Data'!AF12</f>
        <v>0</v>
      </c>
      <c r="AG27" s="172">
        <f>'EU Child Data'!AG12</f>
        <v>0</v>
      </c>
      <c r="AH27" s="86"/>
      <c r="AI27" s="172">
        <f>'EU Child Data'!AI12</f>
        <v>0</v>
      </c>
      <c r="AJ27" s="172">
        <f>'EU Child Data'!AJ12</f>
        <v>0</v>
      </c>
      <c r="AK27" s="172">
        <f>'EU Child Data'!AK12</f>
        <v>0</v>
      </c>
      <c r="AL27" s="86"/>
      <c r="AM27" s="172">
        <f>'EU Child Data'!AM12</f>
        <v>0</v>
      </c>
      <c r="AN27" s="172">
        <f>'EU Child Data'!AN12</f>
        <v>0</v>
      </c>
      <c r="AO27" s="172">
        <f>'EU Child Data'!AO12</f>
        <v>0</v>
      </c>
      <c r="AP27" s="86"/>
      <c r="AQ27" s="172">
        <f>'EU Child Data'!AQ12</f>
        <v>0</v>
      </c>
      <c r="AR27" s="172">
        <f>'EU Child Data'!AR12</f>
        <v>0</v>
      </c>
      <c r="AS27" s="172">
        <f>'EU Child Data'!AS12</f>
        <v>0</v>
      </c>
      <c r="AT27" s="86"/>
      <c r="AU27" s="172">
        <f>'EU Child Data'!AU12</f>
        <v>0</v>
      </c>
      <c r="AV27" s="172">
        <f>'EU Child Data'!AV12</f>
        <v>0</v>
      </c>
      <c r="AW27" s="172">
        <f>'EU Child Data'!AW12</f>
        <v>0</v>
      </c>
      <c r="AX27" s="86"/>
      <c r="AY27" s="172">
        <f>'EU Child Data'!AY12</f>
        <v>0</v>
      </c>
      <c r="AZ27" s="172">
        <f>'EU Child Data'!AZ12</f>
        <v>0</v>
      </c>
      <c r="BA27" s="172">
        <f>'EU Child Data'!BA12</f>
        <v>0</v>
      </c>
      <c r="BB27" s="86"/>
      <c r="BC27" s="172">
        <f>'EU Child Data'!BC12</f>
        <v>0</v>
      </c>
      <c r="BD27" s="172">
        <f>'EU Child Data'!BD12</f>
        <v>0</v>
      </c>
      <c r="BE27" s="172">
        <f>'EU Child Data'!BE12</f>
        <v>0</v>
      </c>
      <c r="BF27" s="305"/>
      <c r="BG27" s="172">
        <f>'EU Child Data'!BG12</f>
        <v>0</v>
      </c>
      <c r="BH27" s="172">
        <f>'EU Child Data'!BH12</f>
        <v>0</v>
      </c>
      <c r="BI27" s="172">
        <f>'EU Child Data'!BI12</f>
        <v>0</v>
      </c>
      <c r="BJ27" s="157"/>
      <c r="BK27" s="172">
        <f>'EU Child Data'!BK12</f>
        <v>0</v>
      </c>
      <c r="BL27" s="172">
        <f>'EU Child Data'!BL12</f>
        <v>0</v>
      </c>
      <c r="BM27" s="172">
        <f>'EU Child Data'!BM12</f>
        <v>0</v>
      </c>
      <c r="BN27" s="157"/>
      <c r="BO27" s="172">
        <f>'EU Child Data'!BO12</f>
        <v>0</v>
      </c>
      <c r="BP27" s="172">
        <f>'EU Child Data'!BP12</f>
        <v>0</v>
      </c>
      <c r="BQ27" s="172">
        <f>'EU Child Data'!BQ12</f>
        <v>0</v>
      </c>
      <c r="BR27" s="157"/>
      <c r="BS27" s="172">
        <f>'EU Child Data'!BS12</f>
        <v>0</v>
      </c>
      <c r="BT27" s="172">
        <f>'EU Child Data'!BT12</f>
        <v>0</v>
      </c>
      <c r="BU27" s="172">
        <f>'EU Child Data'!BU12</f>
        <v>0</v>
      </c>
      <c r="BV27" s="157"/>
      <c r="BW27" s="172">
        <f>'EU Child Data'!BW12</f>
        <v>0</v>
      </c>
      <c r="BX27" s="172">
        <f>'EU Child Data'!BX12</f>
        <v>0</v>
      </c>
      <c r="BY27" s="172">
        <f>'EU Child Data'!BY12</f>
        <v>0</v>
      </c>
      <c r="BZ27" s="82"/>
      <c r="CA27" s="172">
        <f>'EU Child Data'!CA12</f>
        <v>0</v>
      </c>
      <c r="CB27" s="172">
        <f>'EU Child Data'!CB12</f>
        <v>0</v>
      </c>
      <c r="CC27" s="172">
        <f>'EU Child Data'!CC12</f>
        <v>0</v>
      </c>
      <c r="CD27" s="82"/>
      <c r="CE27" s="172">
        <f>'EU Child Data'!CE12</f>
        <v>0</v>
      </c>
      <c r="CF27" s="172">
        <f>'EU Child Data'!CF12</f>
        <v>0</v>
      </c>
      <c r="CG27" s="172">
        <f>'EU Child Data'!CG12</f>
        <v>0</v>
      </c>
      <c r="CH27" s="82"/>
      <c r="CI27" s="82"/>
      <c r="CJ27" s="82"/>
      <c r="CK27" s="82"/>
      <c r="CL27" s="82"/>
      <c r="CM27" s="82"/>
      <c r="CN27" s="82"/>
      <c r="CO27" s="82"/>
      <c r="CP27" s="82"/>
      <c r="CQ27" s="82"/>
      <c r="CR27" s="82"/>
      <c r="CS27" s="82"/>
      <c r="CT27" s="82"/>
      <c r="CU27" s="82"/>
      <c r="CV27" s="82"/>
      <c r="CW27" s="82"/>
      <c r="CX27" s="82"/>
      <c r="CY27" s="82"/>
      <c r="CZ27" s="82"/>
      <c r="DA27" s="82"/>
      <c r="DB27" s="82"/>
    </row>
    <row r="28" spans="1:106">
      <c r="A28" s="309">
        <v>7</v>
      </c>
      <c r="B28" s="155"/>
      <c r="C28" s="172">
        <f>'EU Child Data'!C13</f>
        <v>0</v>
      </c>
      <c r="D28" s="172">
        <f>'EU Child Data'!D13</f>
        <v>0</v>
      </c>
      <c r="E28" s="172">
        <f>'EU Child Data'!E13</f>
        <v>0</v>
      </c>
      <c r="F28" s="171"/>
      <c r="G28" s="172">
        <f>'EU Child Data'!G13</f>
        <v>0</v>
      </c>
      <c r="H28" s="172">
        <f>'EU Child Data'!H13</f>
        <v>0</v>
      </c>
      <c r="I28" s="172">
        <f>'EU Child Data'!I13</f>
        <v>0</v>
      </c>
      <c r="J28" s="157"/>
      <c r="K28" s="172">
        <f>'EU Child Data'!K13</f>
        <v>0</v>
      </c>
      <c r="L28" s="172">
        <f>'EU Child Data'!L13</f>
        <v>0</v>
      </c>
      <c r="M28" s="172">
        <f>'EU Child Data'!M13</f>
        <v>0</v>
      </c>
      <c r="N28" s="157"/>
      <c r="O28" s="172">
        <f>'EU Child Data'!O13</f>
        <v>0</v>
      </c>
      <c r="P28" s="172">
        <f>'EU Child Data'!P13</f>
        <v>0</v>
      </c>
      <c r="Q28" s="172">
        <f>'EU Child Data'!Q13</f>
        <v>0</v>
      </c>
      <c r="R28" s="157"/>
      <c r="S28" s="172">
        <f>'EU Child Data'!S13</f>
        <v>0</v>
      </c>
      <c r="T28" s="172">
        <f>'EU Child Data'!T13</f>
        <v>0</v>
      </c>
      <c r="U28" s="172">
        <f>'EU Child Data'!U13</f>
        <v>0</v>
      </c>
      <c r="V28" s="157"/>
      <c r="W28" s="172">
        <f>'EU Child Data'!W13</f>
        <v>0</v>
      </c>
      <c r="X28" s="172">
        <f>'EU Child Data'!X13</f>
        <v>0</v>
      </c>
      <c r="Y28" s="172">
        <f>'EU Child Data'!Y13</f>
        <v>0</v>
      </c>
      <c r="Z28" s="331">
        <v>0</v>
      </c>
      <c r="AA28" s="172">
        <f>'EU Child Data'!AA13</f>
        <v>0</v>
      </c>
      <c r="AB28" s="172">
        <f>'EU Child Data'!AB13</f>
        <v>0</v>
      </c>
      <c r="AC28" s="172">
        <f>'EU Child Data'!AC13</f>
        <v>0</v>
      </c>
      <c r="AD28" s="86"/>
      <c r="AE28" s="172">
        <f>'EU Child Data'!AE13</f>
        <v>0</v>
      </c>
      <c r="AF28" s="172">
        <f>'EU Child Data'!AF13</f>
        <v>0</v>
      </c>
      <c r="AG28" s="172">
        <f>'EU Child Data'!AG13</f>
        <v>0</v>
      </c>
      <c r="AH28" s="86"/>
      <c r="AI28" s="172">
        <f>'EU Child Data'!AI13</f>
        <v>0</v>
      </c>
      <c r="AJ28" s="172">
        <f>'EU Child Data'!AJ13</f>
        <v>0</v>
      </c>
      <c r="AK28" s="172">
        <f>'EU Child Data'!AK13</f>
        <v>0</v>
      </c>
      <c r="AL28" s="86"/>
      <c r="AM28" s="172">
        <f>'EU Child Data'!AM13</f>
        <v>0</v>
      </c>
      <c r="AN28" s="172">
        <f>'EU Child Data'!AN13</f>
        <v>0</v>
      </c>
      <c r="AO28" s="172">
        <f>'EU Child Data'!AO13</f>
        <v>0</v>
      </c>
      <c r="AP28" s="86"/>
      <c r="AQ28" s="172">
        <f>'EU Child Data'!AQ13</f>
        <v>0</v>
      </c>
      <c r="AR28" s="172">
        <f>'EU Child Data'!AR13</f>
        <v>0</v>
      </c>
      <c r="AS28" s="172">
        <f>'EU Child Data'!AS13</f>
        <v>0</v>
      </c>
      <c r="AT28" s="86"/>
      <c r="AU28" s="172">
        <f>'EU Child Data'!AU13</f>
        <v>0</v>
      </c>
      <c r="AV28" s="172">
        <f>'EU Child Data'!AV13</f>
        <v>0</v>
      </c>
      <c r="AW28" s="172">
        <f>'EU Child Data'!AW13</f>
        <v>0</v>
      </c>
      <c r="AX28" s="86"/>
      <c r="AY28" s="172">
        <f>'EU Child Data'!AY13</f>
        <v>0</v>
      </c>
      <c r="AZ28" s="172">
        <f>'EU Child Data'!AZ13</f>
        <v>0</v>
      </c>
      <c r="BA28" s="172">
        <f>'EU Child Data'!BA13</f>
        <v>0</v>
      </c>
      <c r="BB28" s="86"/>
      <c r="BC28" s="172">
        <f>'EU Child Data'!BC13</f>
        <v>0</v>
      </c>
      <c r="BD28" s="172">
        <f>'EU Child Data'!BD13</f>
        <v>0</v>
      </c>
      <c r="BE28" s="172">
        <f>'EU Child Data'!BE13</f>
        <v>0</v>
      </c>
      <c r="BF28" s="305"/>
      <c r="BG28" s="172">
        <f>'EU Child Data'!BG13</f>
        <v>0</v>
      </c>
      <c r="BH28" s="172">
        <f>'EU Child Data'!BH13</f>
        <v>0</v>
      </c>
      <c r="BI28" s="172">
        <f>'EU Child Data'!BI13</f>
        <v>0</v>
      </c>
      <c r="BJ28" s="157"/>
      <c r="BK28" s="172">
        <f>'EU Child Data'!BK13</f>
        <v>0</v>
      </c>
      <c r="BL28" s="172">
        <f>'EU Child Data'!BL13</f>
        <v>0</v>
      </c>
      <c r="BM28" s="172">
        <f>'EU Child Data'!BM13</f>
        <v>0</v>
      </c>
      <c r="BN28" s="157"/>
      <c r="BO28" s="172">
        <f>'EU Child Data'!BO13</f>
        <v>0</v>
      </c>
      <c r="BP28" s="172">
        <f>'EU Child Data'!BP13</f>
        <v>0</v>
      </c>
      <c r="BQ28" s="172">
        <f>'EU Child Data'!BQ13</f>
        <v>0</v>
      </c>
      <c r="BR28" s="157"/>
      <c r="BS28" s="172">
        <f>'EU Child Data'!BS13</f>
        <v>0</v>
      </c>
      <c r="BT28" s="172">
        <f>'EU Child Data'!BT13</f>
        <v>0</v>
      </c>
      <c r="BU28" s="172">
        <f>'EU Child Data'!BU13</f>
        <v>0</v>
      </c>
      <c r="BV28" s="157"/>
      <c r="BW28" s="172">
        <f>'EU Child Data'!BW13</f>
        <v>0</v>
      </c>
      <c r="BX28" s="172">
        <f>'EU Child Data'!BX13</f>
        <v>0</v>
      </c>
      <c r="BY28" s="172">
        <f>'EU Child Data'!BY13</f>
        <v>0</v>
      </c>
      <c r="BZ28" s="82"/>
      <c r="CA28" s="172">
        <f>'EU Child Data'!CA13</f>
        <v>0</v>
      </c>
      <c r="CB28" s="172">
        <f>'EU Child Data'!CB13</f>
        <v>0</v>
      </c>
      <c r="CC28" s="172">
        <f>'EU Child Data'!CC13</f>
        <v>0</v>
      </c>
      <c r="CD28" s="82"/>
      <c r="CE28" s="172">
        <f>'EU Child Data'!CE13</f>
        <v>0</v>
      </c>
      <c r="CF28" s="172">
        <f>'EU Child Data'!CF13</f>
        <v>0</v>
      </c>
      <c r="CG28" s="172">
        <f>'EU Child Data'!CG13</f>
        <v>0</v>
      </c>
      <c r="CH28" s="82"/>
      <c r="CI28" s="82"/>
      <c r="CJ28" s="82"/>
      <c r="CK28" s="82"/>
      <c r="CL28" s="82"/>
      <c r="CM28" s="82"/>
      <c r="CN28" s="82"/>
      <c r="CO28" s="82"/>
      <c r="CP28" s="82"/>
      <c r="CQ28" s="82"/>
      <c r="CR28" s="82"/>
      <c r="CS28" s="82"/>
      <c r="CT28" s="82"/>
      <c r="CU28" s="82"/>
      <c r="CV28" s="82"/>
      <c r="CW28" s="82"/>
      <c r="CX28" s="82"/>
      <c r="CY28" s="82"/>
      <c r="CZ28" s="82"/>
      <c r="DA28" s="82"/>
      <c r="DB28" s="82"/>
    </row>
    <row r="29" spans="1:106">
      <c r="A29" s="309">
        <v>8</v>
      </c>
      <c r="B29" s="155"/>
      <c r="C29" s="172">
        <f>'EU Child Data'!C14</f>
        <v>0</v>
      </c>
      <c r="D29" s="172">
        <f>'EU Child Data'!D14</f>
        <v>0</v>
      </c>
      <c r="E29" s="172">
        <f>'EU Child Data'!E14</f>
        <v>0</v>
      </c>
      <c r="F29" s="171"/>
      <c r="G29" s="172">
        <f>'EU Child Data'!G14</f>
        <v>0</v>
      </c>
      <c r="H29" s="172">
        <f>'EU Child Data'!H14</f>
        <v>0</v>
      </c>
      <c r="I29" s="172">
        <f>'EU Child Data'!I14</f>
        <v>0</v>
      </c>
      <c r="J29" s="157"/>
      <c r="K29" s="172">
        <f>'EU Child Data'!K14</f>
        <v>0</v>
      </c>
      <c r="L29" s="172">
        <f>'EU Child Data'!L14</f>
        <v>0</v>
      </c>
      <c r="M29" s="172">
        <f>'EU Child Data'!M14</f>
        <v>0</v>
      </c>
      <c r="N29" s="157"/>
      <c r="O29" s="172">
        <f>'EU Child Data'!O14</f>
        <v>0</v>
      </c>
      <c r="P29" s="172">
        <f>'EU Child Data'!P14</f>
        <v>0</v>
      </c>
      <c r="Q29" s="172">
        <f>'EU Child Data'!Q14</f>
        <v>0</v>
      </c>
      <c r="R29" s="157"/>
      <c r="S29" s="172">
        <f>'EU Child Data'!S14</f>
        <v>0</v>
      </c>
      <c r="T29" s="172">
        <f>'EU Child Data'!T14</f>
        <v>0</v>
      </c>
      <c r="U29" s="172">
        <f>'EU Child Data'!U14</f>
        <v>0</v>
      </c>
      <c r="V29" s="157"/>
      <c r="W29" s="172">
        <f>'EU Child Data'!W14</f>
        <v>0</v>
      </c>
      <c r="X29" s="172">
        <f>'EU Child Data'!X14</f>
        <v>0</v>
      </c>
      <c r="Y29" s="172">
        <f>'EU Child Data'!Y14</f>
        <v>0</v>
      </c>
      <c r="Z29" s="331">
        <v>0</v>
      </c>
      <c r="AA29" s="172">
        <f>'EU Child Data'!AA14</f>
        <v>0</v>
      </c>
      <c r="AB29" s="172">
        <f>'EU Child Data'!AB14</f>
        <v>0</v>
      </c>
      <c r="AC29" s="172">
        <f>'EU Child Data'!AC14</f>
        <v>0</v>
      </c>
      <c r="AD29" s="86"/>
      <c r="AE29" s="172">
        <f>'EU Child Data'!AE14</f>
        <v>0</v>
      </c>
      <c r="AF29" s="172">
        <f>'EU Child Data'!AF14</f>
        <v>0</v>
      </c>
      <c r="AG29" s="172">
        <f>'EU Child Data'!AG14</f>
        <v>0</v>
      </c>
      <c r="AH29" s="86"/>
      <c r="AI29" s="172">
        <f>'EU Child Data'!AI14</f>
        <v>0</v>
      </c>
      <c r="AJ29" s="172">
        <f>'EU Child Data'!AJ14</f>
        <v>0</v>
      </c>
      <c r="AK29" s="172">
        <f>'EU Child Data'!AK14</f>
        <v>0</v>
      </c>
      <c r="AL29" s="86"/>
      <c r="AM29" s="172">
        <f>'EU Child Data'!AM14</f>
        <v>0</v>
      </c>
      <c r="AN29" s="172">
        <f>'EU Child Data'!AN14</f>
        <v>0</v>
      </c>
      <c r="AO29" s="172">
        <f>'EU Child Data'!AO14</f>
        <v>0</v>
      </c>
      <c r="AP29" s="86"/>
      <c r="AQ29" s="172">
        <f>'EU Child Data'!AQ14</f>
        <v>0</v>
      </c>
      <c r="AR29" s="172">
        <f>'EU Child Data'!AR14</f>
        <v>0</v>
      </c>
      <c r="AS29" s="172">
        <f>'EU Child Data'!AS14</f>
        <v>0</v>
      </c>
      <c r="AT29" s="86"/>
      <c r="AU29" s="172">
        <f>'EU Child Data'!AU14</f>
        <v>0</v>
      </c>
      <c r="AV29" s="172">
        <f>'EU Child Data'!AV14</f>
        <v>0</v>
      </c>
      <c r="AW29" s="172">
        <f>'EU Child Data'!AW14</f>
        <v>0</v>
      </c>
      <c r="AX29" s="86"/>
      <c r="AY29" s="172">
        <f>'EU Child Data'!AY14</f>
        <v>0</v>
      </c>
      <c r="AZ29" s="172">
        <f>'EU Child Data'!AZ14</f>
        <v>0</v>
      </c>
      <c r="BA29" s="172">
        <f>'EU Child Data'!BA14</f>
        <v>0</v>
      </c>
      <c r="BB29" s="86"/>
      <c r="BC29" s="172">
        <f>'EU Child Data'!BC14</f>
        <v>0</v>
      </c>
      <c r="BD29" s="172">
        <f>'EU Child Data'!BD14</f>
        <v>0</v>
      </c>
      <c r="BE29" s="172">
        <f>'EU Child Data'!BE14</f>
        <v>0</v>
      </c>
      <c r="BF29" s="305"/>
      <c r="BG29" s="172">
        <f>'EU Child Data'!BG14</f>
        <v>0</v>
      </c>
      <c r="BH29" s="172">
        <f>'EU Child Data'!BH14</f>
        <v>0</v>
      </c>
      <c r="BI29" s="172">
        <f>'EU Child Data'!BI14</f>
        <v>0</v>
      </c>
      <c r="BJ29" s="157"/>
      <c r="BK29" s="172">
        <f>'EU Child Data'!BK14</f>
        <v>0</v>
      </c>
      <c r="BL29" s="172">
        <f>'EU Child Data'!BL14</f>
        <v>0</v>
      </c>
      <c r="BM29" s="172">
        <f>'EU Child Data'!BM14</f>
        <v>0</v>
      </c>
      <c r="BN29" s="157"/>
      <c r="BO29" s="172">
        <f>'EU Child Data'!BO14</f>
        <v>0</v>
      </c>
      <c r="BP29" s="172">
        <f>'EU Child Data'!BP14</f>
        <v>0</v>
      </c>
      <c r="BQ29" s="172">
        <f>'EU Child Data'!BQ14</f>
        <v>0</v>
      </c>
      <c r="BR29" s="157"/>
      <c r="BS29" s="172">
        <f>'EU Child Data'!BS14</f>
        <v>0</v>
      </c>
      <c r="BT29" s="172">
        <f>'EU Child Data'!BT14</f>
        <v>0</v>
      </c>
      <c r="BU29" s="172">
        <f>'EU Child Data'!BU14</f>
        <v>0</v>
      </c>
      <c r="BV29" s="157"/>
      <c r="BW29" s="172">
        <f>'EU Child Data'!BW14</f>
        <v>0</v>
      </c>
      <c r="BX29" s="172">
        <f>'EU Child Data'!BX14</f>
        <v>0</v>
      </c>
      <c r="BY29" s="172">
        <f>'EU Child Data'!BY14</f>
        <v>0</v>
      </c>
      <c r="BZ29" s="82"/>
      <c r="CA29" s="172">
        <f>'EU Child Data'!CA14</f>
        <v>0</v>
      </c>
      <c r="CB29" s="172">
        <f>'EU Child Data'!CB14</f>
        <v>0</v>
      </c>
      <c r="CC29" s="172">
        <f>'EU Child Data'!CC14</f>
        <v>0</v>
      </c>
      <c r="CD29" s="82"/>
      <c r="CE29" s="172">
        <f>'EU Child Data'!CE14</f>
        <v>0</v>
      </c>
      <c r="CF29" s="172">
        <f>'EU Child Data'!CF14</f>
        <v>0</v>
      </c>
      <c r="CG29" s="172">
        <f>'EU Child Data'!CG14</f>
        <v>0</v>
      </c>
      <c r="CH29" s="82"/>
      <c r="CI29" s="82"/>
      <c r="CJ29" s="82"/>
      <c r="CK29" s="82"/>
      <c r="CL29" s="82"/>
      <c r="CM29" s="82"/>
      <c r="CN29" s="82"/>
      <c r="CO29" s="82"/>
      <c r="CP29" s="82"/>
      <c r="CQ29" s="82"/>
      <c r="CR29" s="82"/>
      <c r="CS29" s="82"/>
      <c r="CT29" s="82"/>
      <c r="CU29" s="82"/>
      <c r="CV29" s="82"/>
      <c r="CW29" s="82"/>
      <c r="CX29" s="82"/>
      <c r="CY29" s="82"/>
      <c r="CZ29" s="82"/>
      <c r="DA29" s="82"/>
      <c r="DB29" s="82"/>
    </row>
    <row r="30" spans="1:106">
      <c r="A30" s="309">
        <v>9</v>
      </c>
      <c r="B30" s="155"/>
      <c r="C30" s="172">
        <f>'EU Child Data'!C15</f>
        <v>0</v>
      </c>
      <c r="D30" s="172">
        <f>'EU Child Data'!D15</f>
        <v>0</v>
      </c>
      <c r="E30" s="172">
        <f>'EU Child Data'!E15</f>
        <v>0</v>
      </c>
      <c r="F30" s="171"/>
      <c r="G30" s="172">
        <f>'EU Child Data'!G15</f>
        <v>0</v>
      </c>
      <c r="H30" s="172">
        <f>'EU Child Data'!H15</f>
        <v>0</v>
      </c>
      <c r="I30" s="172">
        <f>'EU Child Data'!I15</f>
        <v>0</v>
      </c>
      <c r="J30" s="157"/>
      <c r="K30" s="172">
        <f>'EU Child Data'!K15</f>
        <v>0</v>
      </c>
      <c r="L30" s="172">
        <f>'EU Child Data'!L15</f>
        <v>0</v>
      </c>
      <c r="M30" s="172">
        <f>'EU Child Data'!M15</f>
        <v>0</v>
      </c>
      <c r="N30" s="157"/>
      <c r="O30" s="172">
        <f>'EU Child Data'!O15</f>
        <v>0</v>
      </c>
      <c r="P30" s="172">
        <f>'EU Child Data'!P15</f>
        <v>0</v>
      </c>
      <c r="Q30" s="172">
        <f>'EU Child Data'!Q15</f>
        <v>0</v>
      </c>
      <c r="R30" s="157"/>
      <c r="S30" s="172">
        <f>'EU Child Data'!S15</f>
        <v>0</v>
      </c>
      <c r="T30" s="172">
        <f>'EU Child Data'!T15</f>
        <v>0</v>
      </c>
      <c r="U30" s="172">
        <f>'EU Child Data'!U15</f>
        <v>0</v>
      </c>
      <c r="V30" s="157"/>
      <c r="W30" s="172">
        <f>'EU Child Data'!W15</f>
        <v>0</v>
      </c>
      <c r="X30" s="172">
        <f>'EU Child Data'!X15</f>
        <v>0</v>
      </c>
      <c r="Y30" s="172">
        <f>'EU Child Data'!Y15</f>
        <v>0</v>
      </c>
      <c r="Z30" s="331">
        <v>0</v>
      </c>
      <c r="AA30" s="172">
        <f>'EU Child Data'!AA15</f>
        <v>0</v>
      </c>
      <c r="AB30" s="172">
        <f>'EU Child Data'!AB15</f>
        <v>0</v>
      </c>
      <c r="AC30" s="172">
        <f>'EU Child Data'!AC15</f>
        <v>0</v>
      </c>
      <c r="AD30" s="86"/>
      <c r="AE30" s="172">
        <f>'EU Child Data'!AE15</f>
        <v>0</v>
      </c>
      <c r="AF30" s="172">
        <f>'EU Child Data'!AF15</f>
        <v>0</v>
      </c>
      <c r="AG30" s="172">
        <f>'EU Child Data'!AG15</f>
        <v>0</v>
      </c>
      <c r="AH30" s="86"/>
      <c r="AI30" s="172">
        <f>'EU Child Data'!AI15</f>
        <v>0</v>
      </c>
      <c r="AJ30" s="172">
        <f>'EU Child Data'!AJ15</f>
        <v>0</v>
      </c>
      <c r="AK30" s="172">
        <f>'EU Child Data'!AK15</f>
        <v>0</v>
      </c>
      <c r="AL30" s="86"/>
      <c r="AM30" s="172">
        <f>'EU Child Data'!AM15</f>
        <v>0</v>
      </c>
      <c r="AN30" s="172">
        <f>'EU Child Data'!AN15</f>
        <v>0</v>
      </c>
      <c r="AO30" s="172">
        <f>'EU Child Data'!AO15</f>
        <v>0</v>
      </c>
      <c r="AP30" s="86"/>
      <c r="AQ30" s="172">
        <f>'EU Child Data'!AQ15</f>
        <v>0</v>
      </c>
      <c r="AR30" s="172">
        <f>'EU Child Data'!AR15</f>
        <v>0</v>
      </c>
      <c r="AS30" s="172">
        <f>'EU Child Data'!AS15</f>
        <v>0</v>
      </c>
      <c r="AT30" s="86"/>
      <c r="AU30" s="172">
        <f>'EU Child Data'!AU15</f>
        <v>0</v>
      </c>
      <c r="AV30" s="172">
        <f>'EU Child Data'!AV15</f>
        <v>0</v>
      </c>
      <c r="AW30" s="172">
        <f>'EU Child Data'!AW15</f>
        <v>0</v>
      </c>
      <c r="AX30" s="86"/>
      <c r="AY30" s="172">
        <f>'EU Child Data'!AY15</f>
        <v>0</v>
      </c>
      <c r="AZ30" s="172">
        <f>'EU Child Data'!AZ15</f>
        <v>0</v>
      </c>
      <c r="BA30" s="172">
        <f>'EU Child Data'!BA15</f>
        <v>0</v>
      </c>
      <c r="BB30" s="86"/>
      <c r="BC30" s="172">
        <f>'EU Child Data'!BC15</f>
        <v>0</v>
      </c>
      <c r="BD30" s="172">
        <f>'EU Child Data'!BD15</f>
        <v>0</v>
      </c>
      <c r="BE30" s="172">
        <f>'EU Child Data'!BE15</f>
        <v>0</v>
      </c>
      <c r="BF30" s="305"/>
      <c r="BG30" s="172">
        <f>'EU Child Data'!BG15</f>
        <v>0</v>
      </c>
      <c r="BH30" s="172">
        <f>'EU Child Data'!BH15</f>
        <v>0</v>
      </c>
      <c r="BI30" s="172">
        <f>'EU Child Data'!BI15</f>
        <v>0</v>
      </c>
      <c r="BJ30" s="157"/>
      <c r="BK30" s="172">
        <f>'EU Child Data'!BK15</f>
        <v>0</v>
      </c>
      <c r="BL30" s="172">
        <f>'EU Child Data'!BL15</f>
        <v>0</v>
      </c>
      <c r="BM30" s="172">
        <f>'EU Child Data'!BM15</f>
        <v>0</v>
      </c>
      <c r="BN30" s="157"/>
      <c r="BO30" s="172">
        <f>'EU Child Data'!BO15</f>
        <v>0</v>
      </c>
      <c r="BP30" s="172">
        <f>'EU Child Data'!BP15</f>
        <v>0</v>
      </c>
      <c r="BQ30" s="172">
        <f>'EU Child Data'!BQ15</f>
        <v>0</v>
      </c>
      <c r="BR30" s="157"/>
      <c r="BS30" s="172">
        <f>'EU Child Data'!BS15</f>
        <v>0</v>
      </c>
      <c r="BT30" s="172">
        <f>'EU Child Data'!BT15</f>
        <v>0</v>
      </c>
      <c r="BU30" s="172">
        <f>'EU Child Data'!BU15</f>
        <v>0</v>
      </c>
      <c r="BV30" s="157"/>
      <c r="BW30" s="172">
        <f>'EU Child Data'!BW15</f>
        <v>0</v>
      </c>
      <c r="BX30" s="172">
        <f>'EU Child Data'!BX15</f>
        <v>0</v>
      </c>
      <c r="BY30" s="172">
        <f>'EU Child Data'!BY15</f>
        <v>0</v>
      </c>
      <c r="BZ30" s="82"/>
      <c r="CA30" s="172">
        <f>'EU Child Data'!CA15</f>
        <v>0</v>
      </c>
      <c r="CB30" s="172">
        <f>'EU Child Data'!CB15</f>
        <v>0</v>
      </c>
      <c r="CC30" s="172">
        <f>'EU Child Data'!CC15</f>
        <v>0</v>
      </c>
      <c r="CD30" s="82"/>
      <c r="CE30" s="172">
        <f>'EU Child Data'!CE15</f>
        <v>0</v>
      </c>
      <c r="CF30" s="172">
        <f>'EU Child Data'!CF15</f>
        <v>0</v>
      </c>
      <c r="CG30" s="172">
        <f>'EU Child Data'!CG15</f>
        <v>0</v>
      </c>
      <c r="CH30" s="82"/>
      <c r="CI30" s="82"/>
      <c r="CJ30" s="82"/>
      <c r="CK30" s="82"/>
      <c r="CL30" s="82"/>
      <c r="CM30" s="82"/>
      <c r="CN30" s="82"/>
      <c r="CO30" s="82"/>
      <c r="CP30" s="82"/>
      <c r="CQ30" s="82"/>
      <c r="CR30" s="82"/>
      <c r="CS30" s="82"/>
      <c r="CT30" s="82"/>
      <c r="CU30" s="82"/>
      <c r="CV30" s="82"/>
      <c r="CW30" s="82"/>
      <c r="CX30" s="82"/>
      <c r="CY30" s="82"/>
      <c r="CZ30" s="82"/>
      <c r="DA30" s="82"/>
      <c r="DB30" s="82"/>
    </row>
    <row r="31" spans="1:106">
      <c r="A31" s="309">
        <v>10</v>
      </c>
      <c r="B31" s="155"/>
      <c r="C31" s="172">
        <f>'EU Child Data'!C16</f>
        <v>0</v>
      </c>
      <c r="D31" s="172">
        <f>'EU Child Data'!D16</f>
        <v>0</v>
      </c>
      <c r="E31" s="172">
        <f>'EU Child Data'!E16</f>
        <v>0</v>
      </c>
      <c r="F31" s="171"/>
      <c r="G31" s="172">
        <f>'EU Child Data'!G16</f>
        <v>0</v>
      </c>
      <c r="H31" s="172">
        <f>'EU Child Data'!H16</f>
        <v>0</v>
      </c>
      <c r="I31" s="172">
        <f>'EU Child Data'!I16</f>
        <v>0</v>
      </c>
      <c r="J31" s="157"/>
      <c r="K31" s="172">
        <f>'EU Child Data'!K16</f>
        <v>0</v>
      </c>
      <c r="L31" s="172">
        <f>'EU Child Data'!L16</f>
        <v>0</v>
      </c>
      <c r="M31" s="172">
        <f>'EU Child Data'!M16</f>
        <v>0</v>
      </c>
      <c r="N31" s="157"/>
      <c r="O31" s="172">
        <f>'EU Child Data'!O16</f>
        <v>0</v>
      </c>
      <c r="P31" s="172">
        <f>'EU Child Data'!P16</f>
        <v>0</v>
      </c>
      <c r="Q31" s="172">
        <f>'EU Child Data'!Q16</f>
        <v>0</v>
      </c>
      <c r="R31" s="157"/>
      <c r="S31" s="172">
        <f>'EU Child Data'!S16</f>
        <v>0</v>
      </c>
      <c r="T31" s="172">
        <f>'EU Child Data'!T16</f>
        <v>0</v>
      </c>
      <c r="U31" s="172">
        <f>'EU Child Data'!U16</f>
        <v>0</v>
      </c>
      <c r="V31" s="157"/>
      <c r="W31" s="172">
        <f>'EU Child Data'!W16</f>
        <v>0</v>
      </c>
      <c r="X31" s="172">
        <f>'EU Child Data'!X16</f>
        <v>0</v>
      </c>
      <c r="Y31" s="172">
        <f>'EU Child Data'!Y16</f>
        <v>0</v>
      </c>
      <c r="Z31" s="331">
        <v>0</v>
      </c>
      <c r="AA31" s="172">
        <f>'EU Child Data'!AA16</f>
        <v>0</v>
      </c>
      <c r="AB31" s="172">
        <f>'EU Child Data'!AB16</f>
        <v>0</v>
      </c>
      <c r="AC31" s="172">
        <f>'EU Child Data'!AC16</f>
        <v>0</v>
      </c>
      <c r="AD31" s="86"/>
      <c r="AE31" s="172">
        <f>'EU Child Data'!AE16</f>
        <v>0</v>
      </c>
      <c r="AF31" s="172">
        <f>'EU Child Data'!AF16</f>
        <v>0</v>
      </c>
      <c r="AG31" s="172">
        <f>'EU Child Data'!AG16</f>
        <v>0</v>
      </c>
      <c r="AH31" s="86"/>
      <c r="AI31" s="172">
        <f>'EU Child Data'!AI16</f>
        <v>0</v>
      </c>
      <c r="AJ31" s="172">
        <f>'EU Child Data'!AJ16</f>
        <v>0</v>
      </c>
      <c r="AK31" s="172">
        <f>'EU Child Data'!AK16</f>
        <v>0</v>
      </c>
      <c r="AL31" s="86"/>
      <c r="AM31" s="172">
        <f>'EU Child Data'!AM16</f>
        <v>0</v>
      </c>
      <c r="AN31" s="172">
        <f>'EU Child Data'!AN16</f>
        <v>0</v>
      </c>
      <c r="AO31" s="172">
        <f>'EU Child Data'!AO16</f>
        <v>0</v>
      </c>
      <c r="AP31" s="86"/>
      <c r="AQ31" s="172">
        <f>'EU Child Data'!AQ16</f>
        <v>0</v>
      </c>
      <c r="AR31" s="172">
        <f>'EU Child Data'!AR16</f>
        <v>0</v>
      </c>
      <c r="AS31" s="172">
        <f>'EU Child Data'!AS16</f>
        <v>0</v>
      </c>
      <c r="AT31" s="86"/>
      <c r="AU31" s="172">
        <f>'EU Child Data'!AU16</f>
        <v>0</v>
      </c>
      <c r="AV31" s="172">
        <f>'EU Child Data'!AV16</f>
        <v>0</v>
      </c>
      <c r="AW31" s="172">
        <f>'EU Child Data'!AW16</f>
        <v>0</v>
      </c>
      <c r="AX31" s="86"/>
      <c r="AY31" s="172">
        <f>'EU Child Data'!AY16</f>
        <v>0</v>
      </c>
      <c r="AZ31" s="172">
        <f>'EU Child Data'!AZ16</f>
        <v>0</v>
      </c>
      <c r="BA31" s="172">
        <f>'EU Child Data'!BA16</f>
        <v>0</v>
      </c>
      <c r="BB31" s="86"/>
      <c r="BC31" s="172">
        <f>'EU Child Data'!BC16</f>
        <v>0</v>
      </c>
      <c r="BD31" s="172">
        <f>'EU Child Data'!BD16</f>
        <v>0</v>
      </c>
      <c r="BE31" s="172">
        <f>'EU Child Data'!BE16</f>
        <v>0</v>
      </c>
      <c r="BF31" s="305"/>
      <c r="BG31" s="172">
        <f>'EU Child Data'!BG16</f>
        <v>0</v>
      </c>
      <c r="BH31" s="172">
        <f>'EU Child Data'!BH16</f>
        <v>0</v>
      </c>
      <c r="BI31" s="172">
        <f>'EU Child Data'!BI16</f>
        <v>0</v>
      </c>
      <c r="BJ31" s="157"/>
      <c r="BK31" s="172">
        <f>'EU Child Data'!BK16</f>
        <v>0</v>
      </c>
      <c r="BL31" s="172">
        <f>'EU Child Data'!BL16</f>
        <v>0</v>
      </c>
      <c r="BM31" s="172">
        <f>'EU Child Data'!BM16</f>
        <v>0</v>
      </c>
      <c r="BN31" s="157"/>
      <c r="BO31" s="172">
        <f>'EU Child Data'!BO16</f>
        <v>0</v>
      </c>
      <c r="BP31" s="172">
        <f>'EU Child Data'!BP16</f>
        <v>0</v>
      </c>
      <c r="BQ31" s="172">
        <f>'EU Child Data'!BQ16</f>
        <v>0</v>
      </c>
      <c r="BR31" s="157"/>
      <c r="BS31" s="172">
        <f>'EU Child Data'!BS16</f>
        <v>0</v>
      </c>
      <c r="BT31" s="172">
        <f>'EU Child Data'!BT16</f>
        <v>0</v>
      </c>
      <c r="BU31" s="172">
        <f>'EU Child Data'!BU16</f>
        <v>0</v>
      </c>
      <c r="BV31" s="157"/>
      <c r="BW31" s="172">
        <f>'EU Child Data'!BW16</f>
        <v>0</v>
      </c>
      <c r="BX31" s="172">
        <f>'EU Child Data'!BX16</f>
        <v>0</v>
      </c>
      <c r="BY31" s="172">
        <f>'EU Child Data'!BY16</f>
        <v>0</v>
      </c>
      <c r="BZ31" s="82"/>
      <c r="CA31" s="172">
        <f>'EU Child Data'!CA16</f>
        <v>0</v>
      </c>
      <c r="CB31" s="172">
        <f>'EU Child Data'!CB16</f>
        <v>0</v>
      </c>
      <c r="CC31" s="172">
        <f>'EU Child Data'!CC16</f>
        <v>0</v>
      </c>
      <c r="CD31" s="82"/>
      <c r="CE31" s="172">
        <f>'EU Child Data'!CE16</f>
        <v>0</v>
      </c>
      <c r="CF31" s="172">
        <f>'EU Child Data'!CF16</f>
        <v>0</v>
      </c>
      <c r="CG31" s="172">
        <f>'EU Child Data'!CG16</f>
        <v>0</v>
      </c>
      <c r="CH31" s="82"/>
      <c r="CI31" s="82"/>
      <c r="CJ31" s="82"/>
      <c r="CK31" s="82"/>
      <c r="CL31" s="82"/>
      <c r="CM31" s="82"/>
      <c r="CN31" s="82"/>
      <c r="CO31" s="82"/>
      <c r="CP31" s="82"/>
      <c r="CQ31" s="82"/>
      <c r="CR31" s="82"/>
      <c r="CS31" s="82"/>
      <c r="CT31" s="82"/>
      <c r="CU31" s="82"/>
      <c r="CV31" s="82"/>
      <c r="CW31" s="82"/>
      <c r="CX31" s="82"/>
      <c r="CY31" s="82"/>
      <c r="CZ31" s="82"/>
      <c r="DA31" s="82"/>
      <c r="DB31" s="82"/>
    </row>
    <row r="32" spans="1:106">
      <c r="A32" s="332" t="s">
        <v>489</v>
      </c>
      <c r="B32" s="302"/>
      <c r="C32" s="172">
        <f>'China Child Data'!C3</f>
        <v>0</v>
      </c>
      <c r="D32" s="172">
        <f>'China Child Data'!D3</f>
        <v>0</v>
      </c>
      <c r="E32" s="172">
        <f>'China Child Data'!E3</f>
        <v>0</v>
      </c>
      <c r="F32" s="171"/>
      <c r="G32" s="172">
        <f>'China Child Data'!G3</f>
        <v>0</v>
      </c>
      <c r="H32" s="172">
        <f>'China Child Data'!H3</f>
        <v>0</v>
      </c>
      <c r="I32" s="172">
        <f>'China Child Data'!I3</f>
        <v>0</v>
      </c>
      <c r="J32" s="157"/>
      <c r="K32" s="172">
        <f>'China Child Data'!K3</f>
        <v>0</v>
      </c>
      <c r="L32" s="172">
        <f>'China Child Data'!L3</f>
        <v>0</v>
      </c>
      <c r="M32" s="172">
        <f>'China Child Data'!M3</f>
        <v>0</v>
      </c>
      <c r="N32" s="157"/>
      <c r="O32" s="172">
        <f>'China Child Data'!O3</f>
        <v>0</v>
      </c>
      <c r="P32" s="172">
        <f>'China Child Data'!P3</f>
        <v>0</v>
      </c>
      <c r="Q32" s="172">
        <f>'China Child Data'!Q3</f>
        <v>0</v>
      </c>
      <c r="R32" s="157"/>
      <c r="S32" s="172">
        <f>'China Child Data'!S3</f>
        <v>0</v>
      </c>
      <c r="T32" s="172">
        <f>'China Child Data'!T3</f>
        <v>0</v>
      </c>
      <c r="U32" s="172">
        <f>'China Child Data'!U3</f>
        <v>0</v>
      </c>
      <c r="V32" s="157"/>
      <c r="W32" s="172">
        <f>'China Child Data'!W3</f>
        <v>0</v>
      </c>
      <c r="X32" s="172">
        <f>'China Child Data'!X3</f>
        <v>0</v>
      </c>
      <c r="Y32" s="172">
        <f>'China Child Data'!Y3</f>
        <v>0</v>
      </c>
      <c r="Z32" s="331">
        <v>0</v>
      </c>
      <c r="AA32" s="172">
        <f>'China Child Data'!AA3</f>
        <v>0</v>
      </c>
      <c r="AB32" s="172">
        <f>'China Child Data'!AB3</f>
        <v>0</v>
      </c>
      <c r="AC32" s="172">
        <f>'China Child Data'!AC3</f>
        <v>0</v>
      </c>
      <c r="AD32" s="86"/>
      <c r="AE32" s="172">
        <f>'China Child Data'!AE3</f>
        <v>0</v>
      </c>
      <c r="AF32" s="172">
        <f>'China Child Data'!AF3</f>
        <v>0</v>
      </c>
      <c r="AG32" s="172">
        <f>'China Child Data'!AG3</f>
        <v>0</v>
      </c>
      <c r="AH32" s="86"/>
      <c r="AI32" s="172">
        <f>'China Child Data'!AI3</f>
        <v>0</v>
      </c>
      <c r="AJ32" s="172">
        <f>'China Child Data'!AJ3</f>
        <v>0</v>
      </c>
      <c r="AK32" s="172">
        <f>'China Child Data'!AK3</f>
        <v>0</v>
      </c>
      <c r="AL32" s="86"/>
      <c r="AM32" s="172">
        <f>'China Child Data'!AM3</f>
        <v>0</v>
      </c>
      <c r="AN32" s="172">
        <f>'China Child Data'!AN3</f>
        <v>0</v>
      </c>
      <c r="AO32" s="172">
        <f>'China Child Data'!AO3</f>
        <v>0</v>
      </c>
      <c r="AP32" s="86"/>
      <c r="AQ32" s="172">
        <f>'China Child Data'!AQ3</f>
        <v>0</v>
      </c>
      <c r="AR32" s="172">
        <f>'China Child Data'!AR3</f>
        <v>0</v>
      </c>
      <c r="AS32" s="172">
        <f>'China Child Data'!AS3</f>
        <v>0</v>
      </c>
      <c r="AT32" s="86"/>
      <c r="AU32" s="172">
        <f>'China Child Data'!AU3</f>
        <v>0</v>
      </c>
      <c r="AV32" s="172">
        <f>'China Child Data'!AV3</f>
        <v>0</v>
      </c>
      <c r="AW32" s="172">
        <f>'China Child Data'!AW3</f>
        <v>0</v>
      </c>
      <c r="AX32" s="86"/>
      <c r="AY32" s="172">
        <f>'China Child Data'!AY3</f>
        <v>0</v>
      </c>
      <c r="AZ32" s="172">
        <f>'China Child Data'!AZ3</f>
        <v>0</v>
      </c>
      <c r="BA32" s="172">
        <f>'China Child Data'!BA3</f>
        <v>0</v>
      </c>
      <c r="BB32" s="86"/>
      <c r="BC32" s="172">
        <f>'China Child Data'!BC3</f>
        <v>0</v>
      </c>
      <c r="BD32" s="172">
        <f>'China Child Data'!BD3</f>
        <v>0</v>
      </c>
      <c r="BE32" s="172">
        <f>'China Child Data'!BE3</f>
        <v>0</v>
      </c>
      <c r="BF32" s="305"/>
      <c r="BG32" s="172">
        <f>'China Child Data'!BG3</f>
        <v>0</v>
      </c>
      <c r="BH32" s="172">
        <f>'China Child Data'!BH3</f>
        <v>0</v>
      </c>
      <c r="BI32" s="172">
        <f>'China Child Data'!BI3</f>
        <v>0</v>
      </c>
      <c r="BJ32" s="157"/>
      <c r="BK32" s="172">
        <f>'China Child Data'!BK3</f>
        <v>0</v>
      </c>
      <c r="BL32" s="172">
        <f>'China Child Data'!BL3</f>
        <v>0</v>
      </c>
      <c r="BM32" s="172">
        <f>'China Child Data'!BM3</f>
        <v>0</v>
      </c>
      <c r="BN32" s="157"/>
      <c r="BO32" s="172">
        <f>'China Child Data'!BO3</f>
        <v>0</v>
      </c>
      <c r="BP32" s="172">
        <f>'China Child Data'!BP3</f>
        <v>0</v>
      </c>
      <c r="BQ32" s="172">
        <f>'China Child Data'!BQ3</f>
        <v>0</v>
      </c>
      <c r="BR32" s="157"/>
      <c r="BS32" s="172">
        <f>'China Child Data'!BS3</f>
        <v>0</v>
      </c>
      <c r="BT32" s="172">
        <f>'China Child Data'!BT3</f>
        <v>0</v>
      </c>
      <c r="BU32" s="172">
        <f>'China Child Data'!BU3</f>
        <v>0</v>
      </c>
      <c r="BV32" s="157"/>
      <c r="BW32" s="172">
        <f>'China Child Data'!BW3</f>
        <v>0</v>
      </c>
      <c r="BX32" s="172">
        <f>'China Child Data'!BX3</f>
        <v>0</v>
      </c>
      <c r="BY32" s="172">
        <f>'China Child Data'!BY3</f>
        <v>0</v>
      </c>
      <c r="BZ32" s="82"/>
      <c r="CA32" s="172">
        <f>'China Child Data'!CA3</f>
        <v>0</v>
      </c>
      <c r="CB32" s="172">
        <f>'China Child Data'!CB3</f>
        <v>0</v>
      </c>
      <c r="CC32" s="172">
        <f>'China Child Data'!CC3</f>
        <v>0</v>
      </c>
      <c r="CD32" s="82"/>
      <c r="CE32" s="172">
        <f>'China Child Data'!CE3</f>
        <v>0</v>
      </c>
      <c r="CF32" s="172">
        <f>'China Child Data'!CF3</f>
        <v>0</v>
      </c>
      <c r="CG32" s="172">
        <f>'China Child Data'!CG3</f>
        <v>0</v>
      </c>
      <c r="CH32" s="82"/>
      <c r="CI32" s="82"/>
      <c r="CJ32" s="82"/>
      <c r="CK32" s="82"/>
      <c r="CL32" s="82"/>
      <c r="CM32" s="82"/>
      <c r="CN32" s="82"/>
      <c r="CO32" s="82"/>
      <c r="CP32" s="82"/>
      <c r="CQ32" s="82"/>
      <c r="CR32" s="82"/>
      <c r="CS32" s="82"/>
      <c r="CT32" s="82"/>
      <c r="CU32" s="82"/>
      <c r="CV32" s="82"/>
      <c r="CW32" s="82"/>
      <c r="CX32" s="82"/>
      <c r="CY32" s="82"/>
      <c r="CZ32" s="82"/>
      <c r="DA32" s="82"/>
      <c r="DB32" s="82"/>
    </row>
    <row r="33" spans="1:106">
      <c r="A33" s="332" t="s">
        <v>490</v>
      </c>
      <c r="B33" s="155"/>
      <c r="C33" s="172">
        <f>'China Child Data'!C4</f>
        <v>0</v>
      </c>
      <c r="D33" s="172">
        <f>'China Child Data'!D4</f>
        <v>0</v>
      </c>
      <c r="E33" s="172">
        <f>'China Child Data'!E4</f>
        <v>0</v>
      </c>
      <c r="F33" s="171"/>
      <c r="G33" s="172">
        <f>'China Child Data'!G4</f>
        <v>0</v>
      </c>
      <c r="H33" s="172">
        <f>'China Child Data'!H4</f>
        <v>0</v>
      </c>
      <c r="I33" s="172">
        <f>'China Child Data'!I4</f>
        <v>0</v>
      </c>
      <c r="J33" s="157"/>
      <c r="K33" s="172">
        <f>'China Child Data'!K4</f>
        <v>0</v>
      </c>
      <c r="L33" s="172">
        <f>'China Child Data'!L4</f>
        <v>0</v>
      </c>
      <c r="M33" s="172">
        <f>'China Child Data'!M4</f>
        <v>0</v>
      </c>
      <c r="N33" s="157"/>
      <c r="O33" s="172">
        <f>'China Child Data'!O4</f>
        <v>0</v>
      </c>
      <c r="P33" s="172">
        <f>'China Child Data'!P4</f>
        <v>0</v>
      </c>
      <c r="Q33" s="172">
        <f>'China Child Data'!Q4</f>
        <v>0</v>
      </c>
      <c r="R33" s="157"/>
      <c r="S33" s="172">
        <f>'China Child Data'!S4</f>
        <v>0</v>
      </c>
      <c r="T33" s="172">
        <f>'China Child Data'!T4</f>
        <v>0</v>
      </c>
      <c r="U33" s="172">
        <f>'China Child Data'!U4</f>
        <v>0</v>
      </c>
      <c r="V33" s="157"/>
      <c r="W33" s="172">
        <f>'China Child Data'!W4</f>
        <v>0</v>
      </c>
      <c r="X33" s="172">
        <f>'China Child Data'!X4</f>
        <v>0</v>
      </c>
      <c r="Y33" s="172">
        <f>'China Child Data'!Y4</f>
        <v>0</v>
      </c>
      <c r="Z33" s="331">
        <v>0</v>
      </c>
      <c r="AA33" s="172">
        <f>'China Child Data'!AA4</f>
        <v>0</v>
      </c>
      <c r="AB33" s="172">
        <f>'China Child Data'!AB4</f>
        <v>0</v>
      </c>
      <c r="AC33" s="172">
        <f>'China Child Data'!AC4</f>
        <v>0</v>
      </c>
      <c r="AD33" s="86"/>
      <c r="AE33" s="172">
        <f>'China Child Data'!AE4</f>
        <v>0</v>
      </c>
      <c r="AF33" s="172">
        <f>'China Child Data'!AF4</f>
        <v>0</v>
      </c>
      <c r="AG33" s="172">
        <f>'China Child Data'!AG4</f>
        <v>0</v>
      </c>
      <c r="AH33" s="86"/>
      <c r="AI33" s="172">
        <f>'China Child Data'!AI4</f>
        <v>0</v>
      </c>
      <c r="AJ33" s="172">
        <f>'China Child Data'!AJ4</f>
        <v>0</v>
      </c>
      <c r="AK33" s="172">
        <f>'China Child Data'!AK4</f>
        <v>0</v>
      </c>
      <c r="AL33" s="86"/>
      <c r="AM33" s="172">
        <f>'China Child Data'!AM4</f>
        <v>0</v>
      </c>
      <c r="AN33" s="172">
        <f>'China Child Data'!AN4</f>
        <v>0</v>
      </c>
      <c r="AO33" s="172">
        <f>'China Child Data'!AO4</f>
        <v>0</v>
      </c>
      <c r="AP33" s="86"/>
      <c r="AQ33" s="172">
        <f>'China Child Data'!AQ4</f>
        <v>0</v>
      </c>
      <c r="AR33" s="172">
        <f>'China Child Data'!AR4</f>
        <v>0</v>
      </c>
      <c r="AS33" s="172">
        <f>'China Child Data'!AS4</f>
        <v>0</v>
      </c>
      <c r="AT33" s="86"/>
      <c r="AU33" s="172">
        <f>'China Child Data'!AU4</f>
        <v>0</v>
      </c>
      <c r="AV33" s="172">
        <f>'China Child Data'!AV4</f>
        <v>0</v>
      </c>
      <c r="AW33" s="172">
        <f>'China Child Data'!AW4</f>
        <v>0</v>
      </c>
      <c r="AX33" s="86"/>
      <c r="AY33" s="172">
        <f>'China Child Data'!AY4</f>
        <v>0</v>
      </c>
      <c r="AZ33" s="172">
        <f>'China Child Data'!AZ4</f>
        <v>0</v>
      </c>
      <c r="BA33" s="172">
        <f>'China Child Data'!BA4</f>
        <v>0</v>
      </c>
      <c r="BB33" s="86"/>
      <c r="BC33" s="172">
        <f>'China Child Data'!BC4</f>
        <v>0</v>
      </c>
      <c r="BD33" s="172">
        <f>'China Child Data'!BD4</f>
        <v>0</v>
      </c>
      <c r="BE33" s="172">
        <f>'China Child Data'!BE4</f>
        <v>0</v>
      </c>
      <c r="BF33" s="305"/>
      <c r="BG33" s="172">
        <f>'China Child Data'!BG4</f>
        <v>0</v>
      </c>
      <c r="BH33" s="172">
        <f>'China Child Data'!BH4</f>
        <v>0</v>
      </c>
      <c r="BI33" s="172">
        <f>'China Child Data'!BI4</f>
        <v>0</v>
      </c>
      <c r="BJ33" s="157"/>
      <c r="BK33" s="172">
        <f>'China Child Data'!BK4</f>
        <v>0</v>
      </c>
      <c r="BL33" s="172">
        <f>'China Child Data'!BL4</f>
        <v>0</v>
      </c>
      <c r="BM33" s="172">
        <f>'China Child Data'!BM4</f>
        <v>0</v>
      </c>
      <c r="BN33" s="157"/>
      <c r="BO33" s="172">
        <f>'China Child Data'!BO4</f>
        <v>0</v>
      </c>
      <c r="BP33" s="172">
        <f>'China Child Data'!BP4</f>
        <v>0</v>
      </c>
      <c r="BQ33" s="172">
        <f>'China Child Data'!BQ4</f>
        <v>0</v>
      </c>
      <c r="BR33" s="157"/>
      <c r="BS33" s="172">
        <f>'China Child Data'!BS4</f>
        <v>0</v>
      </c>
      <c r="BT33" s="172">
        <f>'China Child Data'!BT4</f>
        <v>0</v>
      </c>
      <c r="BU33" s="172">
        <f>'China Child Data'!BU4</f>
        <v>0</v>
      </c>
      <c r="BV33" s="157"/>
      <c r="BW33" s="172">
        <f>'China Child Data'!BW4</f>
        <v>0</v>
      </c>
      <c r="BX33" s="172">
        <f>'China Child Data'!BX4</f>
        <v>0</v>
      </c>
      <c r="BY33" s="172">
        <f>'China Child Data'!BY4</f>
        <v>0</v>
      </c>
      <c r="BZ33" s="82"/>
      <c r="CA33" s="172">
        <f>'China Child Data'!CA4</f>
        <v>0</v>
      </c>
      <c r="CB33" s="172">
        <f>'China Child Data'!CB4</f>
        <v>0</v>
      </c>
      <c r="CC33" s="172">
        <f>'China Child Data'!CC4</f>
        <v>0</v>
      </c>
      <c r="CD33" s="82"/>
      <c r="CE33" s="172">
        <f>'China Child Data'!CE4</f>
        <v>0</v>
      </c>
      <c r="CF33" s="172">
        <f>'China Child Data'!CF4</f>
        <v>0</v>
      </c>
      <c r="CG33" s="172">
        <f>'China Child Data'!CG4</f>
        <v>0</v>
      </c>
      <c r="CH33" s="82"/>
      <c r="CI33" s="82"/>
      <c r="CJ33" s="82"/>
      <c r="CK33" s="82"/>
      <c r="CL33" s="82"/>
      <c r="CM33" s="82"/>
      <c r="CN33" s="82"/>
      <c r="CO33" s="82"/>
      <c r="CP33" s="82"/>
      <c r="CQ33" s="82"/>
      <c r="CR33" s="82"/>
      <c r="CS33" s="82"/>
      <c r="CT33" s="82"/>
      <c r="CU33" s="82"/>
      <c r="CV33" s="82"/>
      <c r="CW33" s="82"/>
      <c r="CX33" s="82"/>
      <c r="CY33" s="82"/>
      <c r="CZ33" s="82"/>
      <c r="DA33" s="82"/>
      <c r="DB33" s="82"/>
    </row>
    <row r="34" spans="1:106">
      <c r="A34" s="332" t="s">
        <v>491</v>
      </c>
      <c r="B34" s="155"/>
      <c r="C34" s="172">
        <f>'China Child Data'!C5</f>
        <v>0</v>
      </c>
      <c r="D34" s="172">
        <f>'China Child Data'!D5</f>
        <v>0</v>
      </c>
      <c r="E34" s="172">
        <f>'China Child Data'!E5</f>
        <v>0</v>
      </c>
      <c r="F34" s="171"/>
      <c r="G34" s="172">
        <f>'China Child Data'!G5</f>
        <v>0</v>
      </c>
      <c r="H34" s="172">
        <f>'China Child Data'!H5</f>
        <v>0</v>
      </c>
      <c r="I34" s="172">
        <f>'China Child Data'!I5</f>
        <v>0</v>
      </c>
      <c r="J34" s="157"/>
      <c r="K34" s="172">
        <f>'China Child Data'!K5</f>
        <v>0</v>
      </c>
      <c r="L34" s="172">
        <f>'China Child Data'!L5</f>
        <v>0</v>
      </c>
      <c r="M34" s="172">
        <f>'China Child Data'!M5</f>
        <v>0</v>
      </c>
      <c r="N34" s="157"/>
      <c r="O34" s="172">
        <f>'China Child Data'!O5</f>
        <v>0</v>
      </c>
      <c r="P34" s="172">
        <f>'China Child Data'!P5</f>
        <v>0</v>
      </c>
      <c r="Q34" s="172">
        <f>'China Child Data'!Q5</f>
        <v>0</v>
      </c>
      <c r="R34" s="157"/>
      <c r="S34" s="172">
        <f>'China Child Data'!S5</f>
        <v>0</v>
      </c>
      <c r="T34" s="172">
        <f>'China Child Data'!T5</f>
        <v>0</v>
      </c>
      <c r="U34" s="172">
        <f>'China Child Data'!U5</f>
        <v>0</v>
      </c>
      <c r="V34" s="157"/>
      <c r="W34" s="172">
        <f>'China Child Data'!W5</f>
        <v>0</v>
      </c>
      <c r="X34" s="172">
        <f>'China Child Data'!X5</f>
        <v>0</v>
      </c>
      <c r="Y34" s="172">
        <f>'China Child Data'!Y5</f>
        <v>0</v>
      </c>
      <c r="Z34" s="331">
        <v>0</v>
      </c>
      <c r="AA34" s="172">
        <f>'China Child Data'!AA5</f>
        <v>0</v>
      </c>
      <c r="AB34" s="172">
        <f>'China Child Data'!AB5</f>
        <v>0</v>
      </c>
      <c r="AC34" s="172">
        <f>'China Child Data'!AC5</f>
        <v>0</v>
      </c>
      <c r="AD34" s="86"/>
      <c r="AE34" s="172">
        <f>'China Child Data'!AE5</f>
        <v>0</v>
      </c>
      <c r="AF34" s="172">
        <f>'China Child Data'!AF5</f>
        <v>0</v>
      </c>
      <c r="AG34" s="172">
        <f>'China Child Data'!AG5</f>
        <v>0</v>
      </c>
      <c r="AH34" s="86"/>
      <c r="AI34" s="172">
        <f>'China Child Data'!AI5</f>
        <v>0</v>
      </c>
      <c r="AJ34" s="172">
        <f>'China Child Data'!AJ5</f>
        <v>0</v>
      </c>
      <c r="AK34" s="172">
        <f>'China Child Data'!AK5</f>
        <v>0</v>
      </c>
      <c r="AL34" s="86"/>
      <c r="AM34" s="172">
        <f>'China Child Data'!AM5</f>
        <v>0</v>
      </c>
      <c r="AN34" s="172">
        <f>'China Child Data'!AN5</f>
        <v>0</v>
      </c>
      <c r="AO34" s="172">
        <f>'China Child Data'!AO5</f>
        <v>0</v>
      </c>
      <c r="AP34" s="86"/>
      <c r="AQ34" s="172">
        <f>'China Child Data'!AQ5</f>
        <v>0</v>
      </c>
      <c r="AR34" s="172">
        <f>'China Child Data'!AR5</f>
        <v>0</v>
      </c>
      <c r="AS34" s="172">
        <f>'China Child Data'!AS5</f>
        <v>0</v>
      </c>
      <c r="AT34" s="86"/>
      <c r="AU34" s="172">
        <f>'China Child Data'!AU5</f>
        <v>0</v>
      </c>
      <c r="AV34" s="172">
        <f>'China Child Data'!AV5</f>
        <v>0</v>
      </c>
      <c r="AW34" s="172">
        <f>'China Child Data'!AW5</f>
        <v>0</v>
      </c>
      <c r="AX34" s="86"/>
      <c r="AY34" s="172">
        <f>'China Child Data'!AY5</f>
        <v>0</v>
      </c>
      <c r="AZ34" s="172">
        <f>'China Child Data'!AZ5</f>
        <v>0</v>
      </c>
      <c r="BA34" s="172">
        <f>'China Child Data'!BA5</f>
        <v>0</v>
      </c>
      <c r="BB34" s="86"/>
      <c r="BC34" s="172">
        <f>'China Child Data'!BC5</f>
        <v>0</v>
      </c>
      <c r="BD34" s="172">
        <f>'China Child Data'!BD5</f>
        <v>0</v>
      </c>
      <c r="BE34" s="172">
        <f>'China Child Data'!BE5</f>
        <v>0</v>
      </c>
      <c r="BF34" s="305"/>
      <c r="BG34" s="172">
        <f>'China Child Data'!BG5</f>
        <v>0</v>
      </c>
      <c r="BH34" s="172">
        <f>'China Child Data'!BH5</f>
        <v>0</v>
      </c>
      <c r="BI34" s="172">
        <f>'China Child Data'!BI5</f>
        <v>0</v>
      </c>
      <c r="BJ34" s="157"/>
      <c r="BK34" s="172">
        <f>'China Child Data'!BK5</f>
        <v>0</v>
      </c>
      <c r="BL34" s="172">
        <f>'China Child Data'!BL5</f>
        <v>0</v>
      </c>
      <c r="BM34" s="172">
        <f>'China Child Data'!BM5</f>
        <v>0</v>
      </c>
      <c r="BN34" s="157"/>
      <c r="BO34" s="172">
        <f>'China Child Data'!BO5</f>
        <v>0</v>
      </c>
      <c r="BP34" s="172">
        <f>'China Child Data'!BP5</f>
        <v>0</v>
      </c>
      <c r="BQ34" s="172">
        <f>'China Child Data'!BQ5</f>
        <v>0</v>
      </c>
      <c r="BR34" s="157"/>
      <c r="BS34" s="172">
        <f>'China Child Data'!BS5</f>
        <v>0</v>
      </c>
      <c r="BT34" s="172">
        <f>'China Child Data'!BT5</f>
        <v>0</v>
      </c>
      <c r="BU34" s="172">
        <f>'China Child Data'!BU5</f>
        <v>0</v>
      </c>
      <c r="BV34" s="157"/>
      <c r="BW34" s="172">
        <f>'China Child Data'!BW5</f>
        <v>0</v>
      </c>
      <c r="BX34" s="172">
        <f>'China Child Data'!BX5</f>
        <v>0</v>
      </c>
      <c r="BY34" s="172">
        <f>'China Child Data'!BY5</f>
        <v>0</v>
      </c>
      <c r="BZ34" s="82"/>
      <c r="CA34" s="172">
        <f>'China Child Data'!CA5</f>
        <v>0</v>
      </c>
      <c r="CB34" s="172">
        <f>'China Child Data'!CB5</f>
        <v>0</v>
      </c>
      <c r="CC34" s="172">
        <f>'China Child Data'!CC5</f>
        <v>0</v>
      </c>
      <c r="CD34" s="82"/>
      <c r="CE34" s="172">
        <f>'China Child Data'!CE5</f>
        <v>0</v>
      </c>
      <c r="CF34" s="172">
        <f>'China Child Data'!CF5</f>
        <v>0</v>
      </c>
      <c r="CG34" s="172">
        <f>'China Child Data'!CG5</f>
        <v>0</v>
      </c>
      <c r="CH34" s="82"/>
      <c r="CI34" s="82"/>
      <c r="CJ34" s="82"/>
      <c r="CK34" s="82"/>
      <c r="CL34" s="82"/>
      <c r="CM34" s="82"/>
      <c r="CN34" s="82"/>
      <c r="CO34" s="82"/>
      <c r="CP34" s="82"/>
      <c r="CQ34" s="82"/>
      <c r="CR34" s="82"/>
      <c r="CS34" s="82"/>
      <c r="CT34" s="82"/>
      <c r="CU34" s="82"/>
      <c r="CV34" s="82"/>
      <c r="CW34" s="82"/>
      <c r="CX34" s="82"/>
      <c r="CY34" s="82"/>
      <c r="CZ34" s="82"/>
      <c r="DA34" s="82"/>
      <c r="DB34" s="82"/>
    </row>
    <row r="35" spans="1:106">
      <c r="A35" s="332" t="s">
        <v>492</v>
      </c>
      <c r="B35" s="155"/>
      <c r="C35" s="172">
        <f>'China Child Data'!C6</f>
        <v>0</v>
      </c>
      <c r="D35" s="172">
        <f>'China Child Data'!D6</f>
        <v>0</v>
      </c>
      <c r="E35" s="172">
        <f>'China Child Data'!E6</f>
        <v>0</v>
      </c>
      <c r="F35" s="171"/>
      <c r="G35" s="172">
        <f>'China Child Data'!G6</f>
        <v>0</v>
      </c>
      <c r="H35" s="172">
        <f>'China Child Data'!H6</f>
        <v>0</v>
      </c>
      <c r="I35" s="172">
        <f>'China Child Data'!I6</f>
        <v>0</v>
      </c>
      <c r="J35" s="157"/>
      <c r="K35" s="172">
        <f>'China Child Data'!K6</f>
        <v>0</v>
      </c>
      <c r="L35" s="172">
        <f>'China Child Data'!L6</f>
        <v>0</v>
      </c>
      <c r="M35" s="172">
        <f>'China Child Data'!M6</f>
        <v>0</v>
      </c>
      <c r="N35" s="157"/>
      <c r="O35" s="172">
        <f>'China Child Data'!O6</f>
        <v>0</v>
      </c>
      <c r="P35" s="172">
        <f>'China Child Data'!P6</f>
        <v>0</v>
      </c>
      <c r="Q35" s="172">
        <f>'China Child Data'!Q6</f>
        <v>0</v>
      </c>
      <c r="R35" s="157"/>
      <c r="S35" s="172">
        <f>'China Child Data'!S6</f>
        <v>0</v>
      </c>
      <c r="T35" s="172">
        <f>'China Child Data'!T6</f>
        <v>0</v>
      </c>
      <c r="U35" s="172">
        <f>'China Child Data'!U6</f>
        <v>0</v>
      </c>
      <c r="V35" s="157"/>
      <c r="W35" s="172">
        <f>'China Child Data'!W6</f>
        <v>0</v>
      </c>
      <c r="X35" s="172">
        <f>'China Child Data'!X6</f>
        <v>0</v>
      </c>
      <c r="Y35" s="172">
        <f>'China Child Data'!Y6</f>
        <v>0</v>
      </c>
      <c r="Z35" s="331">
        <v>0</v>
      </c>
      <c r="AA35" s="172">
        <f>'China Child Data'!AA6</f>
        <v>0</v>
      </c>
      <c r="AB35" s="172">
        <f>'China Child Data'!AB6</f>
        <v>0</v>
      </c>
      <c r="AC35" s="172">
        <f>'China Child Data'!AC6</f>
        <v>0</v>
      </c>
      <c r="AD35" s="86"/>
      <c r="AE35" s="172">
        <f>'China Child Data'!AE6</f>
        <v>0</v>
      </c>
      <c r="AF35" s="172">
        <f>'China Child Data'!AF6</f>
        <v>0</v>
      </c>
      <c r="AG35" s="172">
        <f>'China Child Data'!AG6</f>
        <v>0</v>
      </c>
      <c r="AH35" s="86"/>
      <c r="AI35" s="172">
        <f>'China Child Data'!AI6</f>
        <v>0</v>
      </c>
      <c r="AJ35" s="172">
        <f>'China Child Data'!AJ6</f>
        <v>0</v>
      </c>
      <c r="AK35" s="172">
        <f>'China Child Data'!AK6</f>
        <v>0</v>
      </c>
      <c r="AL35" s="86"/>
      <c r="AM35" s="172">
        <f>'China Child Data'!AM6</f>
        <v>0</v>
      </c>
      <c r="AN35" s="172">
        <f>'China Child Data'!AN6</f>
        <v>0</v>
      </c>
      <c r="AO35" s="172">
        <f>'China Child Data'!AO6</f>
        <v>0</v>
      </c>
      <c r="AP35" s="86"/>
      <c r="AQ35" s="172">
        <f>'China Child Data'!AQ6</f>
        <v>0</v>
      </c>
      <c r="AR35" s="172">
        <f>'China Child Data'!AR6</f>
        <v>0</v>
      </c>
      <c r="AS35" s="172">
        <f>'China Child Data'!AS6</f>
        <v>0</v>
      </c>
      <c r="AT35" s="86"/>
      <c r="AU35" s="172">
        <f>'China Child Data'!AU6</f>
        <v>0</v>
      </c>
      <c r="AV35" s="172">
        <f>'China Child Data'!AV6</f>
        <v>0</v>
      </c>
      <c r="AW35" s="172">
        <f>'China Child Data'!AW6</f>
        <v>0</v>
      </c>
      <c r="AX35" s="86"/>
      <c r="AY35" s="172">
        <f>'China Child Data'!AY6</f>
        <v>0</v>
      </c>
      <c r="AZ35" s="172">
        <f>'China Child Data'!AZ6</f>
        <v>0</v>
      </c>
      <c r="BA35" s="172">
        <f>'China Child Data'!BA6</f>
        <v>0</v>
      </c>
      <c r="BB35" s="86"/>
      <c r="BC35" s="172">
        <f>'China Child Data'!BC6</f>
        <v>0</v>
      </c>
      <c r="BD35" s="172">
        <f>'China Child Data'!BD6</f>
        <v>0</v>
      </c>
      <c r="BE35" s="172">
        <f>'China Child Data'!BE6</f>
        <v>0</v>
      </c>
      <c r="BF35" s="305"/>
      <c r="BG35" s="172">
        <f>'China Child Data'!BG6</f>
        <v>0</v>
      </c>
      <c r="BH35" s="172">
        <f>'China Child Data'!BH6</f>
        <v>0</v>
      </c>
      <c r="BI35" s="172">
        <f>'China Child Data'!BI6</f>
        <v>0</v>
      </c>
      <c r="BJ35" s="157"/>
      <c r="BK35" s="172">
        <f>'China Child Data'!BK6</f>
        <v>0</v>
      </c>
      <c r="BL35" s="172">
        <f>'China Child Data'!BL6</f>
        <v>0</v>
      </c>
      <c r="BM35" s="172">
        <f>'China Child Data'!BM6</f>
        <v>0</v>
      </c>
      <c r="BN35" s="157"/>
      <c r="BO35" s="172">
        <f>'China Child Data'!BO6</f>
        <v>0</v>
      </c>
      <c r="BP35" s="172">
        <f>'China Child Data'!BP6</f>
        <v>0</v>
      </c>
      <c r="BQ35" s="172">
        <f>'China Child Data'!BQ6</f>
        <v>0</v>
      </c>
      <c r="BR35" s="157"/>
      <c r="BS35" s="172">
        <f>'China Child Data'!BS6</f>
        <v>0</v>
      </c>
      <c r="BT35" s="172">
        <f>'China Child Data'!BT6</f>
        <v>0</v>
      </c>
      <c r="BU35" s="172">
        <f>'China Child Data'!BU6</f>
        <v>0</v>
      </c>
      <c r="BV35" s="157"/>
      <c r="BW35" s="172">
        <f>'China Child Data'!BW6</f>
        <v>0</v>
      </c>
      <c r="BX35" s="172">
        <f>'China Child Data'!BX6</f>
        <v>0</v>
      </c>
      <c r="BY35" s="172">
        <f>'China Child Data'!BY6</f>
        <v>0</v>
      </c>
      <c r="BZ35" s="82"/>
      <c r="CA35" s="172">
        <f>'China Child Data'!CA6</f>
        <v>0</v>
      </c>
      <c r="CB35" s="172">
        <f>'China Child Data'!CB6</f>
        <v>0</v>
      </c>
      <c r="CC35" s="172">
        <f>'China Child Data'!CC6</f>
        <v>0</v>
      </c>
      <c r="CD35" s="82"/>
      <c r="CE35" s="172">
        <f>'China Child Data'!CE6</f>
        <v>0</v>
      </c>
      <c r="CF35" s="172">
        <f>'China Child Data'!CF6</f>
        <v>0</v>
      </c>
      <c r="CG35" s="172">
        <f>'China Child Data'!CG6</f>
        <v>0</v>
      </c>
      <c r="CH35" s="82"/>
      <c r="CI35" s="82"/>
      <c r="CJ35" s="82"/>
      <c r="CK35" s="82"/>
      <c r="CL35" s="82"/>
      <c r="CM35" s="82"/>
      <c r="CN35" s="82"/>
      <c r="CO35" s="82"/>
      <c r="CP35" s="82"/>
      <c r="CQ35" s="82"/>
      <c r="CR35" s="82"/>
      <c r="CS35" s="82"/>
      <c r="CT35" s="82"/>
      <c r="CU35" s="82"/>
      <c r="CV35" s="82"/>
      <c r="CW35" s="82"/>
      <c r="CX35" s="82"/>
      <c r="CY35" s="82"/>
      <c r="CZ35" s="82"/>
      <c r="DA35" s="82"/>
      <c r="DB35" s="82"/>
    </row>
    <row r="36" spans="1:106">
      <c r="A36" s="332" t="s">
        <v>493</v>
      </c>
      <c r="B36" s="155"/>
      <c r="C36" s="172">
        <f>'China Child Data'!C7</f>
        <v>0</v>
      </c>
      <c r="D36" s="172">
        <f>'China Child Data'!D7</f>
        <v>0</v>
      </c>
      <c r="E36" s="172">
        <f>'China Child Data'!E7</f>
        <v>0</v>
      </c>
      <c r="F36" s="171"/>
      <c r="G36" s="172">
        <f>'China Child Data'!G7</f>
        <v>0</v>
      </c>
      <c r="H36" s="172">
        <f>'China Child Data'!H7</f>
        <v>0</v>
      </c>
      <c r="I36" s="172">
        <f>'China Child Data'!I7</f>
        <v>0</v>
      </c>
      <c r="J36" s="157"/>
      <c r="K36" s="172">
        <f>'China Child Data'!K7</f>
        <v>0</v>
      </c>
      <c r="L36" s="172">
        <f>'China Child Data'!L7</f>
        <v>0</v>
      </c>
      <c r="M36" s="172">
        <f>'China Child Data'!M7</f>
        <v>0</v>
      </c>
      <c r="N36" s="157"/>
      <c r="O36" s="172">
        <f>'China Child Data'!O7</f>
        <v>0</v>
      </c>
      <c r="P36" s="172">
        <f>'China Child Data'!P7</f>
        <v>0</v>
      </c>
      <c r="Q36" s="172">
        <f>'China Child Data'!Q7</f>
        <v>0</v>
      </c>
      <c r="R36" s="157"/>
      <c r="S36" s="172">
        <f>'China Child Data'!S7</f>
        <v>0</v>
      </c>
      <c r="T36" s="172">
        <f>'China Child Data'!T7</f>
        <v>0</v>
      </c>
      <c r="U36" s="172">
        <f>'China Child Data'!U7</f>
        <v>0</v>
      </c>
      <c r="V36" s="157"/>
      <c r="W36" s="172">
        <f>'China Child Data'!W7</f>
        <v>0</v>
      </c>
      <c r="X36" s="172">
        <f>'China Child Data'!X7</f>
        <v>0</v>
      </c>
      <c r="Y36" s="172">
        <f>'China Child Data'!Y7</f>
        <v>0</v>
      </c>
      <c r="Z36" s="331">
        <v>0</v>
      </c>
      <c r="AA36" s="172">
        <f>'China Child Data'!AA7</f>
        <v>0</v>
      </c>
      <c r="AB36" s="172">
        <f>'China Child Data'!AB7</f>
        <v>0</v>
      </c>
      <c r="AC36" s="172">
        <f>'China Child Data'!AC7</f>
        <v>0</v>
      </c>
      <c r="AD36" s="86"/>
      <c r="AE36" s="172">
        <f>'China Child Data'!AE7</f>
        <v>0</v>
      </c>
      <c r="AF36" s="172">
        <f>'China Child Data'!AF7</f>
        <v>0</v>
      </c>
      <c r="AG36" s="172">
        <f>'China Child Data'!AG7</f>
        <v>0</v>
      </c>
      <c r="AH36" s="86"/>
      <c r="AI36" s="172">
        <f>'China Child Data'!AI7</f>
        <v>0</v>
      </c>
      <c r="AJ36" s="172">
        <f>'China Child Data'!AJ7</f>
        <v>0</v>
      </c>
      <c r="AK36" s="172">
        <f>'China Child Data'!AK7</f>
        <v>0</v>
      </c>
      <c r="AL36" s="86"/>
      <c r="AM36" s="172">
        <f>'China Child Data'!AM7</f>
        <v>0</v>
      </c>
      <c r="AN36" s="172">
        <f>'China Child Data'!AN7</f>
        <v>0</v>
      </c>
      <c r="AO36" s="172">
        <f>'China Child Data'!AO7</f>
        <v>0</v>
      </c>
      <c r="AP36" s="86"/>
      <c r="AQ36" s="172">
        <f>'China Child Data'!AQ7</f>
        <v>0</v>
      </c>
      <c r="AR36" s="172">
        <f>'China Child Data'!AR7</f>
        <v>0</v>
      </c>
      <c r="AS36" s="172">
        <f>'China Child Data'!AS7</f>
        <v>0</v>
      </c>
      <c r="AT36" s="86"/>
      <c r="AU36" s="172">
        <f>'China Child Data'!AU7</f>
        <v>0</v>
      </c>
      <c r="AV36" s="172">
        <f>'China Child Data'!AV7</f>
        <v>0</v>
      </c>
      <c r="AW36" s="172">
        <f>'China Child Data'!AW7</f>
        <v>0</v>
      </c>
      <c r="AX36" s="86"/>
      <c r="AY36" s="172">
        <f>'China Child Data'!AY7</f>
        <v>0</v>
      </c>
      <c r="AZ36" s="172">
        <f>'China Child Data'!AZ7</f>
        <v>0</v>
      </c>
      <c r="BA36" s="172">
        <f>'China Child Data'!BA7</f>
        <v>0</v>
      </c>
      <c r="BB36" s="86"/>
      <c r="BC36" s="172">
        <f>'China Child Data'!BC7</f>
        <v>0</v>
      </c>
      <c r="BD36" s="172">
        <f>'China Child Data'!BD7</f>
        <v>0</v>
      </c>
      <c r="BE36" s="172">
        <f>'China Child Data'!BE7</f>
        <v>0</v>
      </c>
      <c r="BF36" s="305"/>
      <c r="BG36" s="172">
        <f>'China Child Data'!BG7</f>
        <v>0</v>
      </c>
      <c r="BH36" s="172">
        <f>'China Child Data'!BH7</f>
        <v>0</v>
      </c>
      <c r="BI36" s="172">
        <f>'China Child Data'!BI7</f>
        <v>0</v>
      </c>
      <c r="BJ36" s="157"/>
      <c r="BK36" s="172">
        <f>'China Child Data'!BK7</f>
        <v>0</v>
      </c>
      <c r="BL36" s="172">
        <f>'China Child Data'!BL7</f>
        <v>0</v>
      </c>
      <c r="BM36" s="172">
        <f>'China Child Data'!BM7</f>
        <v>0</v>
      </c>
      <c r="BN36" s="157"/>
      <c r="BO36" s="172">
        <f>'China Child Data'!BO7</f>
        <v>0</v>
      </c>
      <c r="BP36" s="172">
        <f>'China Child Data'!BP7</f>
        <v>0</v>
      </c>
      <c r="BQ36" s="172">
        <f>'China Child Data'!BQ7</f>
        <v>0</v>
      </c>
      <c r="BR36" s="157"/>
      <c r="BS36" s="172">
        <f>'China Child Data'!BS7</f>
        <v>0</v>
      </c>
      <c r="BT36" s="172">
        <f>'China Child Data'!BT7</f>
        <v>0</v>
      </c>
      <c r="BU36" s="172">
        <f>'China Child Data'!BU7</f>
        <v>0</v>
      </c>
      <c r="BV36" s="157"/>
      <c r="BW36" s="172">
        <f>'China Child Data'!BW7</f>
        <v>0</v>
      </c>
      <c r="BX36" s="172">
        <f>'China Child Data'!BX7</f>
        <v>0</v>
      </c>
      <c r="BY36" s="172">
        <f>'China Child Data'!BY7</f>
        <v>0</v>
      </c>
      <c r="BZ36" s="82"/>
      <c r="CA36" s="172">
        <f>'China Child Data'!CA7</f>
        <v>0</v>
      </c>
      <c r="CB36" s="172">
        <f>'China Child Data'!CB7</f>
        <v>0</v>
      </c>
      <c r="CC36" s="172">
        <f>'China Child Data'!CC7</f>
        <v>0</v>
      </c>
      <c r="CD36" s="82"/>
      <c r="CE36" s="172">
        <f>'China Child Data'!CE7</f>
        <v>0</v>
      </c>
      <c r="CF36" s="172">
        <f>'China Child Data'!CF7</f>
        <v>0</v>
      </c>
      <c r="CG36" s="172">
        <f>'China Child Data'!CG7</f>
        <v>0</v>
      </c>
      <c r="CH36" s="82"/>
      <c r="CI36" s="82"/>
      <c r="CJ36" s="82"/>
      <c r="CK36" s="82"/>
      <c r="CL36" s="82"/>
      <c r="CM36" s="82"/>
      <c r="CN36" s="82"/>
      <c r="CO36" s="82"/>
      <c r="CP36" s="82"/>
      <c r="CQ36" s="82"/>
      <c r="CR36" s="82"/>
      <c r="CS36" s="82"/>
      <c r="CT36" s="82"/>
      <c r="CU36" s="82"/>
      <c r="CV36" s="82"/>
      <c r="CW36" s="82"/>
      <c r="CX36" s="82"/>
      <c r="CY36" s="82"/>
      <c r="CZ36" s="82"/>
      <c r="DA36" s="82"/>
      <c r="DB36" s="82"/>
    </row>
    <row r="37" spans="1:106">
      <c r="A37" s="332">
        <v>2</v>
      </c>
      <c r="B37" s="155"/>
      <c r="C37" s="172">
        <f>'China Child Data'!C8</f>
        <v>0</v>
      </c>
      <c r="D37" s="172">
        <f>'China Child Data'!D8</f>
        <v>0</v>
      </c>
      <c r="E37" s="172">
        <f>'China Child Data'!E8</f>
        <v>0</v>
      </c>
      <c r="F37" s="171"/>
      <c r="G37" s="172">
        <f>'China Child Data'!G8</f>
        <v>0</v>
      </c>
      <c r="H37" s="172">
        <f>'China Child Data'!H8</f>
        <v>0</v>
      </c>
      <c r="I37" s="172">
        <f>'China Child Data'!I8</f>
        <v>0</v>
      </c>
      <c r="J37" s="157"/>
      <c r="K37" s="172">
        <f>'China Child Data'!K8</f>
        <v>0</v>
      </c>
      <c r="L37" s="172">
        <f>'China Child Data'!L8</f>
        <v>0</v>
      </c>
      <c r="M37" s="172">
        <f>'China Child Data'!M8</f>
        <v>0</v>
      </c>
      <c r="N37" s="157"/>
      <c r="O37" s="172">
        <f>'China Child Data'!O8</f>
        <v>0</v>
      </c>
      <c r="P37" s="172">
        <f>'China Child Data'!P8</f>
        <v>0</v>
      </c>
      <c r="Q37" s="172">
        <f>'China Child Data'!Q8</f>
        <v>0</v>
      </c>
      <c r="R37" s="157"/>
      <c r="S37" s="172">
        <f>'China Child Data'!S8</f>
        <v>0</v>
      </c>
      <c r="T37" s="172">
        <f>'China Child Data'!T8</f>
        <v>0</v>
      </c>
      <c r="U37" s="172">
        <f>'China Child Data'!U8</f>
        <v>0</v>
      </c>
      <c r="V37" s="157"/>
      <c r="W37" s="172">
        <f>'China Child Data'!W8</f>
        <v>0</v>
      </c>
      <c r="X37" s="172">
        <f>'China Child Data'!X8</f>
        <v>0</v>
      </c>
      <c r="Y37" s="172">
        <f>'China Child Data'!Y8</f>
        <v>0</v>
      </c>
      <c r="Z37" s="331">
        <v>0</v>
      </c>
      <c r="AA37" s="172">
        <f>'China Child Data'!AA8</f>
        <v>0</v>
      </c>
      <c r="AB37" s="172">
        <f>'China Child Data'!AB8</f>
        <v>0</v>
      </c>
      <c r="AC37" s="172">
        <f>'China Child Data'!AC8</f>
        <v>0</v>
      </c>
      <c r="AD37" s="86"/>
      <c r="AE37" s="172">
        <f>'China Child Data'!AE8</f>
        <v>0</v>
      </c>
      <c r="AF37" s="172">
        <f>'China Child Data'!AF8</f>
        <v>0</v>
      </c>
      <c r="AG37" s="172">
        <f>'China Child Data'!AG8</f>
        <v>0</v>
      </c>
      <c r="AH37" s="86"/>
      <c r="AI37" s="172">
        <f>'China Child Data'!AI8</f>
        <v>0</v>
      </c>
      <c r="AJ37" s="172">
        <f>'China Child Data'!AJ8</f>
        <v>0</v>
      </c>
      <c r="AK37" s="172">
        <f>'China Child Data'!AK8</f>
        <v>0</v>
      </c>
      <c r="AL37" s="86"/>
      <c r="AM37" s="172">
        <f>'China Child Data'!AM8</f>
        <v>0</v>
      </c>
      <c r="AN37" s="172">
        <f>'China Child Data'!AN8</f>
        <v>0</v>
      </c>
      <c r="AO37" s="172">
        <f>'China Child Data'!AO8</f>
        <v>0</v>
      </c>
      <c r="AP37" s="86"/>
      <c r="AQ37" s="172">
        <f>'China Child Data'!AQ8</f>
        <v>0</v>
      </c>
      <c r="AR37" s="172">
        <f>'China Child Data'!AR8</f>
        <v>0</v>
      </c>
      <c r="AS37" s="172">
        <f>'China Child Data'!AS8</f>
        <v>0</v>
      </c>
      <c r="AT37" s="86"/>
      <c r="AU37" s="172">
        <f>'China Child Data'!AU8</f>
        <v>0</v>
      </c>
      <c r="AV37" s="172">
        <f>'China Child Data'!AV8</f>
        <v>0</v>
      </c>
      <c r="AW37" s="172">
        <f>'China Child Data'!AW8</f>
        <v>0</v>
      </c>
      <c r="AX37" s="86"/>
      <c r="AY37" s="172">
        <f>'China Child Data'!AY8</f>
        <v>0</v>
      </c>
      <c r="AZ37" s="172">
        <f>'China Child Data'!AZ8</f>
        <v>0</v>
      </c>
      <c r="BA37" s="172">
        <f>'China Child Data'!BA8</f>
        <v>0</v>
      </c>
      <c r="BB37" s="86"/>
      <c r="BC37" s="172">
        <f>'China Child Data'!BC8</f>
        <v>0</v>
      </c>
      <c r="BD37" s="172">
        <f>'China Child Data'!BD8</f>
        <v>0</v>
      </c>
      <c r="BE37" s="172">
        <f>'China Child Data'!BE8</f>
        <v>0</v>
      </c>
      <c r="BF37" s="305"/>
      <c r="BG37" s="172">
        <f>'China Child Data'!BG8</f>
        <v>0</v>
      </c>
      <c r="BH37" s="172">
        <f>'China Child Data'!BH8</f>
        <v>0</v>
      </c>
      <c r="BI37" s="172">
        <f>'China Child Data'!BI8</f>
        <v>0</v>
      </c>
      <c r="BJ37" s="157"/>
      <c r="BK37" s="172">
        <f>'China Child Data'!BK8</f>
        <v>0</v>
      </c>
      <c r="BL37" s="172">
        <f>'China Child Data'!BL8</f>
        <v>0</v>
      </c>
      <c r="BM37" s="172">
        <f>'China Child Data'!BM8</f>
        <v>0</v>
      </c>
      <c r="BN37" s="157"/>
      <c r="BO37" s="172">
        <f>'China Child Data'!BO8</f>
        <v>0</v>
      </c>
      <c r="BP37" s="172">
        <f>'China Child Data'!BP8</f>
        <v>0</v>
      </c>
      <c r="BQ37" s="172">
        <f>'China Child Data'!BQ8</f>
        <v>0</v>
      </c>
      <c r="BR37" s="157"/>
      <c r="BS37" s="172">
        <f>'China Child Data'!BS8</f>
        <v>0</v>
      </c>
      <c r="BT37" s="172">
        <f>'China Child Data'!BT8</f>
        <v>0</v>
      </c>
      <c r="BU37" s="172">
        <f>'China Child Data'!BU8</f>
        <v>0</v>
      </c>
      <c r="BV37" s="157"/>
      <c r="BW37" s="172">
        <f>'China Child Data'!BW8</f>
        <v>0</v>
      </c>
      <c r="BX37" s="172">
        <f>'China Child Data'!BX8</f>
        <v>0</v>
      </c>
      <c r="BY37" s="172">
        <f>'China Child Data'!BY8</f>
        <v>0</v>
      </c>
      <c r="BZ37" s="82"/>
      <c r="CA37" s="172">
        <f>'China Child Data'!CA8</f>
        <v>0</v>
      </c>
      <c r="CB37" s="172">
        <f>'China Child Data'!CB8</f>
        <v>0</v>
      </c>
      <c r="CC37" s="172">
        <f>'China Child Data'!CC8</f>
        <v>0</v>
      </c>
      <c r="CD37" s="82"/>
      <c r="CE37" s="172">
        <f>'China Child Data'!CE8</f>
        <v>0</v>
      </c>
      <c r="CF37" s="172">
        <f>'China Child Data'!CF8</f>
        <v>0</v>
      </c>
      <c r="CG37" s="172">
        <f>'China Child Data'!CG8</f>
        <v>0</v>
      </c>
      <c r="CH37" s="82"/>
      <c r="CI37" s="82"/>
      <c r="CJ37" s="82"/>
      <c r="CK37" s="82"/>
      <c r="CL37" s="82"/>
      <c r="CM37" s="82"/>
      <c r="CN37" s="82"/>
      <c r="CO37" s="82"/>
      <c r="CP37" s="82"/>
      <c r="CQ37" s="82"/>
      <c r="CR37" s="82"/>
      <c r="CS37" s="82"/>
      <c r="CT37" s="82"/>
      <c r="CU37" s="82"/>
      <c r="CV37" s="82"/>
      <c r="CW37" s="82"/>
      <c r="CX37" s="82"/>
      <c r="CY37" s="82"/>
      <c r="CZ37" s="82"/>
      <c r="DA37" s="82"/>
      <c r="DB37" s="82"/>
    </row>
    <row r="38" spans="1:106">
      <c r="A38" s="332">
        <v>3</v>
      </c>
      <c r="B38" s="155"/>
      <c r="C38" s="172">
        <f>'China Child Data'!C9</f>
        <v>0</v>
      </c>
      <c r="D38" s="172">
        <f>'China Child Data'!D9</f>
        <v>0</v>
      </c>
      <c r="E38" s="172">
        <f>'China Child Data'!E9</f>
        <v>0</v>
      </c>
      <c r="F38" s="171"/>
      <c r="G38" s="172">
        <f>'China Child Data'!G9</f>
        <v>0</v>
      </c>
      <c r="H38" s="172">
        <f>'China Child Data'!H9</f>
        <v>0</v>
      </c>
      <c r="I38" s="172">
        <f>'China Child Data'!I9</f>
        <v>0</v>
      </c>
      <c r="J38" s="157"/>
      <c r="K38" s="172">
        <f>'China Child Data'!K9</f>
        <v>0</v>
      </c>
      <c r="L38" s="172">
        <f>'China Child Data'!L9</f>
        <v>0</v>
      </c>
      <c r="M38" s="172">
        <f>'China Child Data'!M9</f>
        <v>0</v>
      </c>
      <c r="N38" s="157"/>
      <c r="O38" s="172">
        <f>'China Child Data'!O9</f>
        <v>0</v>
      </c>
      <c r="P38" s="172">
        <f>'China Child Data'!P9</f>
        <v>0</v>
      </c>
      <c r="Q38" s="172">
        <f>'China Child Data'!Q9</f>
        <v>0</v>
      </c>
      <c r="R38" s="157"/>
      <c r="S38" s="172">
        <f>'China Child Data'!S9</f>
        <v>0</v>
      </c>
      <c r="T38" s="172">
        <f>'China Child Data'!T9</f>
        <v>0</v>
      </c>
      <c r="U38" s="172">
        <f>'China Child Data'!U9</f>
        <v>0</v>
      </c>
      <c r="V38" s="157"/>
      <c r="W38" s="172">
        <f>'China Child Data'!W9</f>
        <v>0</v>
      </c>
      <c r="X38" s="172">
        <f>'China Child Data'!X9</f>
        <v>0</v>
      </c>
      <c r="Y38" s="172">
        <f>'China Child Data'!Y9</f>
        <v>0</v>
      </c>
      <c r="Z38" s="331">
        <v>0</v>
      </c>
      <c r="AA38" s="172">
        <f>'China Child Data'!AA9</f>
        <v>0</v>
      </c>
      <c r="AB38" s="172">
        <f>'China Child Data'!AB9</f>
        <v>0</v>
      </c>
      <c r="AC38" s="172">
        <f>'China Child Data'!AC9</f>
        <v>0</v>
      </c>
      <c r="AD38" s="86"/>
      <c r="AE38" s="172">
        <f>'China Child Data'!AE9</f>
        <v>0</v>
      </c>
      <c r="AF38" s="172">
        <f>'China Child Data'!AF9</f>
        <v>0</v>
      </c>
      <c r="AG38" s="172">
        <f>'China Child Data'!AG9</f>
        <v>0</v>
      </c>
      <c r="AH38" s="86"/>
      <c r="AI38" s="172">
        <f>'China Child Data'!AI9</f>
        <v>0</v>
      </c>
      <c r="AJ38" s="172">
        <f>'China Child Data'!AJ9</f>
        <v>0</v>
      </c>
      <c r="AK38" s="172">
        <f>'China Child Data'!AK9</f>
        <v>0</v>
      </c>
      <c r="AL38" s="86"/>
      <c r="AM38" s="172">
        <f>'China Child Data'!AM9</f>
        <v>0</v>
      </c>
      <c r="AN38" s="172">
        <f>'China Child Data'!AN9</f>
        <v>0</v>
      </c>
      <c r="AO38" s="172">
        <f>'China Child Data'!AO9</f>
        <v>0</v>
      </c>
      <c r="AP38" s="86"/>
      <c r="AQ38" s="172">
        <f>'China Child Data'!AQ9</f>
        <v>0</v>
      </c>
      <c r="AR38" s="172">
        <f>'China Child Data'!AR9</f>
        <v>0</v>
      </c>
      <c r="AS38" s="172">
        <f>'China Child Data'!AS9</f>
        <v>0</v>
      </c>
      <c r="AT38" s="86"/>
      <c r="AU38" s="172">
        <f>'China Child Data'!AU9</f>
        <v>0</v>
      </c>
      <c r="AV38" s="172">
        <f>'China Child Data'!AV9</f>
        <v>0</v>
      </c>
      <c r="AW38" s="172">
        <f>'China Child Data'!AW9</f>
        <v>0</v>
      </c>
      <c r="AX38" s="86"/>
      <c r="AY38" s="172">
        <f>'China Child Data'!AY9</f>
        <v>0</v>
      </c>
      <c r="AZ38" s="172">
        <f>'China Child Data'!AZ9</f>
        <v>0</v>
      </c>
      <c r="BA38" s="172">
        <f>'China Child Data'!BA9</f>
        <v>0</v>
      </c>
      <c r="BB38" s="86"/>
      <c r="BC38" s="172">
        <f>'China Child Data'!BC9</f>
        <v>0</v>
      </c>
      <c r="BD38" s="172">
        <f>'China Child Data'!BD9</f>
        <v>0</v>
      </c>
      <c r="BE38" s="172">
        <f>'China Child Data'!BE9</f>
        <v>0</v>
      </c>
      <c r="BF38" s="305"/>
      <c r="BG38" s="172">
        <f>'China Child Data'!BG9</f>
        <v>0</v>
      </c>
      <c r="BH38" s="172">
        <f>'China Child Data'!BH9</f>
        <v>0</v>
      </c>
      <c r="BI38" s="172">
        <f>'China Child Data'!BI9</f>
        <v>0</v>
      </c>
      <c r="BJ38" s="157"/>
      <c r="BK38" s="172">
        <f>'China Child Data'!BK9</f>
        <v>0</v>
      </c>
      <c r="BL38" s="172">
        <f>'China Child Data'!BL9</f>
        <v>0</v>
      </c>
      <c r="BM38" s="172">
        <f>'China Child Data'!BM9</f>
        <v>0</v>
      </c>
      <c r="BN38" s="157"/>
      <c r="BO38" s="172">
        <f>'China Child Data'!BO9</f>
        <v>0</v>
      </c>
      <c r="BP38" s="172">
        <f>'China Child Data'!BP9</f>
        <v>0</v>
      </c>
      <c r="BQ38" s="172">
        <f>'China Child Data'!BQ9</f>
        <v>0</v>
      </c>
      <c r="BR38" s="157"/>
      <c r="BS38" s="172">
        <f>'China Child Data'!BS9</f>
        <v>0</v>
      </c>
      <c r="BT38" s="172">
        <f>'China Child Data'!BT9</f>
        <v>0</v>
      </c>
      <c r="BU38" s="172">
        <f>'China Child Data'!BU9</f>
        <v>0</v>
      </c>
      <c r="BV38" s="157"/>
      <c r="BW38" s="172">
        <f>'China Child Data'!BW9</f>
        <v>0</v>
      </c>
      <c r="BX38" s="172">
        <f>'China Child Data'!BX9</f>
        <v>0</v>
      </c>
      <c r="BY38" s="172">
        <f>'China Child Data'!BY9</f>
        <v>0</v>
      </c>
      <c r="BZ38" s="82"/>
      <c r="CA38" s="172">
        <f>'China Child Data'!CA9</f>
        <v>0</v>
      </c>
      <c r="CB38" s="172">
        <f>'China Child Data'!CB9</f>
        <v>0</v>
      </c>
      <c r="CC38" s="172">
        <f>'China Child Data'!CC9</f>
        <v>0</v>
      </c>
      <c r="CD38" s="82"/>
      <c r="CE38" s="172">
        <f>'China Child Data'!CE9</f>
        <v>0</v>
      </c>
      <c r="CF38" s="172">
        <f>'China Child Data'!CF9</f>
        <v>0</v>
      </c>
      <c r="CG38" s="172">
        <f>'China Child Data'!CG9</f>
        <v>0</v>
      </c>
      <c r="CH38" s="82"/>
      <c r="CI38" s="82"/>
      <c r="CJ38" s="82"/>
      <c r="CK38" s="82"/>
      <c r="CL38" s="82"/>
      <c r="CM38" s="82"/>
      <c r="CN38" s="82"/>
      <c r="CO38" s="82"/>
      <c r="CP38" s="82"/>
      <c r="CQ38" s="82"/>
      <c r="CR38" s="82"/>
      <c r="CS38" s="82"/>
      <c r="CT38" s="82"/>
      <c r="CU38" s="82"/>
      <c r="CV38" s="82"/>
      <c r="CW38" s="82"/>
      <c r="CX38" s="82"/>
      <c r="CY38" s="82"/>
      <c r="CZ38" s="82"/>
      <c r="DA38" s="82"/>
      <c r="DB38" s="82"/>
    </row>
    <row r="39" spans="1:106">
      <c r="A39" s="332">
        <v>4</v>
      </c>
      <c r="B39" s="155"/>
      <c r="C39" s="172">
        <f>'China Child Data'!C10</f>
        <v>0</v>
      </c>
      <c r="D39" s="172">
        <f>'China Child Data'!D10</f>
        <v>0</v>
      </c>
      <c r="E39" s="172">
        <f>'China Child Data'!E10</f>
        <v>0</v>
      </c>
      <c r="F39" s="171"/>
      <c r="G39" s="172">
        <f>'China Child Data'!G10</f>
        <v>0</v>
      </c>
      <c r="H39" s="172">
        <f>'China Child Data'!H10</f>
        <v>0</v>
      </c>
      <c r="I39" s="172">
        <f>'China Child Data'!I10</f>
        <v>0</v>
      </c>
      <c r="J39" s="157"/>
      <c r="K39" s="172">
        <f>'China Child Data'!K10</f>
        <v>0</v>
      </c>
      <c r="L39" s="172">
        <f>'China Child Data'!L10</f>
        <v>0</v>
      </c>
      <c r="M39" s="172">
        <f>'China Child Data'!M10</f>
        <v>0</v>
      </c>
      <c r="N39" s="157"/>
      <c r="O39" s="172">
        <f>'China Child Data'!O10</f>
        <v>0</v>
      </c>
      <c r="P39" s="172">
        <f>'China Child Data'!P10</f>
        <v>0</v>
      </c>
      <c r="Q39" s="172">
        <f>'China Child Data'!Q10</f>
        <v>0</v>
      </c>
      <c r="R39" s="157"/>
      <c r="S39" s="172">
        <f>'China Child Data'!S10</f>
        <v>0</v>
      </c>
      <c r="T39" s="172">
        <f>'China Child Data'!T10</f>
        <v>0</v>
      </c>
      <c r="U39" s="172">
        <f>'China Child Data'!U10</f>
        <v>0</v>
      </c>
      <c r="V39" s="157"/>
      <c r="W39" s="172">
        <f>'China Child Data'!W10</f>
        <v>0</v>
      </c>
      <c r="X39" s="172">
        <f>'China Child Data'!X10</f>
        <v>0</v>
      </c>
      <c r="Y39" s="172">
        <f>'China Child Data'!Y10</f>
        <v>0</v>
      </c>
      <c r="Z39" s="331">
        <v>0</v>
      </c>
      <c r="AA39" s="172">
        <f>'China Child Data'!AA10</f>
        <v>0</v>
      </c>
      <c r="AB39" s="172">
        <f>'China Child Data'!AB10</f>
        <v>0</v>
      </c>
      <c r="AC39" s="172">
        <f>'China Child Data'!AC10</f>
        <v>0</v>
      </c>
      <c r="AD39" s="86"/>
      <c r="AE39" s="172">
        <f>'China Child Data'!AE10</f>
        <v>0</v>
      </c>
      <c r="AF39" s="172">
        <f>'China Child Data'!AF10</f>
        <v>0</v>
      </c>
      <c r="AG39" s="172">
        <f>'China Child Data'!AG10</f>
        <v>0</v>
      </c>
      <c r="AH39" s="86"/>
      <c r="AI39" s="172">
        <f>'China Child Data'!AI10</f>
        <v>0</v>
      </c>
      <c r="AJ39" s="172">
        <f>'China Child Data'!AJ10</f>
        <v>0</v>
      </c>
      <c r="AK39" s="172">
        <f>'China Child Data'!AK10</f>
        <v>0</v>
      </c>
      <c r="AL39" s="86"/>
      <c r="AM39" s="172">
        <f>'China Child Data'!AM10</f>
        <v>0</v>
      </c>
      <c r="AN39" s="172">
        <f>'China Child Data'!AN10</f>
        <v>0</v>
      </c>
      <c r="AO39" s="172">
        <f>'China Child Data'!AO10</f>
        <v>0</v>
      </c>
      <c r="AP39" s="86"/>
      <c r="AQ39" s="172">
        <f>'China Child Data'!AQ10</f>
        <v>0</v>
      </c>
      <c r="AR39" s="172">
        <f>'China Child Data'!AR10</f>
        <v>0</v>
      </c>
      <c r="AS39" s="172">
        <f>'China Child Data'!AS10</f>
        <v>0</v>
      </c>
      <c r="AT39" s="86"/>
      <c r="AU39" s="172">
        <f>'China Child Data'!AU10</f>
        <v>0</v>
      </c>
      <c r="AV39" s="172">
        <f>'China Child Data'!AV10</f>
        <v>0</v>
      </c>
      <c r="AW39" s="172">
        <f>'China Child Data'!AW10</f>
        <v>0</v>
      </c>
      <c r="AX39" s="86"/>
      <c r="AY39" s="172">
        <f>'China Child Data'!AY10</f>
        <v>0</v>
      </c>
      <c r="AZ39" s="172">
        <f>'China Child Data'!AZ10</f>
        <v>0</v>
      </c>
      <c r="BA39" s="172">
        <f>'China Child Data'!BA10</f>
        <v>0</v>
      </c>
      <c r="BB39" s="86"/>
      <c r="BC39" s="172">
        <f>'China Child Data'!BC10</f>
        <v>0</v>
      </c>
      <c r="BD39" s="172">
        <f>'China Child Data'!BD10</f>
        <v>0</v>
      </c>
      <c r="BE39" s="172">
        <f>'China Child Data'!BE10</f>
        <v>0</v>
      </c>
      <c r="BF39" s="305"/>
      <c r="BG39" s="172">
        <f>'China Child Data'!BG10</f>
        <v>0</v>
      </c>
      <c r="BH39" s="172">
        <f>'China Child Data'!BH10</f>
        <v>0</v>
      </c>
      <c r="BI39" s="172">
        <f>'China Child Data'!BI10</f>
        <v>0</v>
      </c>
      <c r="BJ39" s="157"/>
      <c r="BK39" s="172">
        <f>'China Child Data'!BK10</f>
        <v>0</v>
      </c>
      <c r="BL39" s="172">
        <f>'China Child Data'!BL10</f>
        <v>0</v>
      </c>
      <c r="BM39" s="172">
        <f>'China Child Data'!BM10</f>
        <v>0</v>
      </c>
      <c r="BN39" s="157"/>
      <c r="BO39" s="172">
        <f>'China Child Data'!BO10</f>
        <v>0</v>
      </c>
      <c r="BP39" s="172">
        <f>'China Child Data'!BP10</f>
        <v>0</v>
      </c>
      <c r="BQ39" s="172">
        <f>'China Child Data'!BQ10</f>
        <v>0</v>
      </c>
      <c r="BR39" s="157"/>
      <c r="BS39" s="172">
        <f>'China Child Data'!BS10</f>
        <v>0</v>
      </c>
      <c r="BT39" s="172">
        <f>'China Child Data'!BT10</f>
        <v>0</v>
      </c>
      <c r="BU39" s="172">
        <f>'China Child Data'!BU10</f>
        <v>0</v>
      </c>
      <c r="BV39" s="157"/>
      <c r="BW39" s="172">
        <f>'China Child Data'!BW10</f>
        <v>0</v>
      </c>
      <c r="BX39" s="172">
        <f>'China Child Data'!BX10</f>
        <v>0</v>
      </c>
      <c r="BY39" s="172">
        <f>'China Child Data'!BY10</f>
        <v>0</v>
      </c>
      <c r="BZ39" s="82"/>
      <c r="CA39" s="172">
        <f>'China Child Data'!CA10</f>
        <v>0</v>
      </c>
      <c r="CB39" s="172">
        <f>'China Child Data'!CB10</f>
        <v>0</v>
      </c>
      <c r="CC39" s="172">
        <f>'China Child Data'!CC10</f>
        <v>0</v>
      </c>
      <c r="CD39" s="82"/>
      <c r="CE39" s="172">
        <f>'China Child Data'!CE10</f>
        <v>0</v>
      </c>
      <c r="CF39" s="172">
        <f>'China Child Data'!CF10</f>
        <v>0</v>
      </c>
      <c r="CG39" s="172">
        <f>'China Child Data'!CG10</f>
        <v>0</v>
      </c>
      <c r="CH39" s="82"/>
      <c r="CI39" s="82"/>
      <c r="CJ39" s="82"/>
      <c r="CK39" s="82"/>
      <c r="CL39" s="82"/>
      <c r="CM39" s="82"/>
      <c r="CN39" s="82"/>
      <c r="CO39" s="82"/>
      <c r="CP39" s="82"/>
      <c r="CQ39" s="82"/>
      <c r="CR39" s="82"/>
      <c r="CS39" s="82"/>
      <c r="CT39" s="82"/>
      <c r="CU39" s="82"/>
      <c r="CV39" s="82"/>
      <c r="CW39" s="82"/>
      <c r="CX39" s="82"/>
      <c r="CY39" s="82"/>
      <c r="CZ39" s="82"/>
      <c r="DA39" s="82"/>
      <c r="DB39" s="82"/>
    </row>
    <row r="40" spans="1:106">
      <c r="A40" s="332">
        <v>5</v>
      </c>
      <c r="B40" s="155"/>
      <c r="C40" s="172">
        <f>'China Child Data'!C11</f>
        <v>0</v>
      </c>
      <c r="D40" s="172">
        <f>'China Child Data'!D11</f>
        <v>0</v>
      </c>
      <c r="E40" s="172">
        <f>'China Child Data'!E11</f>
        <v>0</v>
      </c>
      <c r="F40" s="171"/>
      <c r="G40" s="172">
        <f>'China Child Data'!G11</f>
        <v>0</v>
      </c>
      <c r="H40" s="172">
        <f>'China Child Data'!H11</f>
        <v>0</v>
      </c>
      <c r="I40" s="172">
        <f>'China Child Data'!I11</f>
        <v>0</v>
      </c>
      <c r="J40" s="157"/>
      <c r="K40" s="172">
        <f>'China Child Data'!K11</f>
        <v>0</v>
      </c>
      <c r="L40" s="172">
        <f>'China Child Data'!L11</f>
        <v>0</v>
      </c>
      <c r="M40" s="172">
        <f>'China Child Data'!M11</f>
        <v>0</v>
      </c>
      <c r="N40" s="157"/>
      <c r="O40" s="172">
        <f>'China Child Data'!O11</f>
        <v>0</v>
      </c>
      <c r="P40" s="172">
        <f>'China Child Data'!P11</f>
        <v>0</v>
      </c>
      <c r="Q40" s="172">
        <f>'China Child Data'!Q11</f>
        <v>0</v>
      </c>
      <c r="R40" s="157"/>
      <c r="S40" s="172">
        <f>'China Child Data'!S11</f>
        <v>0</v>
      </c>
      <c r="T40" s="172">
        <f>'China Child Data'!T11</f>
        <v>0</v>
      </c>
      <c r="U40" s="172">
        <f>'China Child Data'!U11</f>
        <v>0</v>
      </c>
      <c r="V40" s="157"/>
      <c r="W40" s="172">
        <f>'China Child Data'!W11</f>
        <v>0</v>
      </c>
      <c r="X40" s="172">
        <f>'China Child Data'!X11</f>
        <v>0</v>
      </c>
      <c r="Y40" s="172">
        <f>'China Child Data'!Y11</f>
        <v>0</v>
      </c>
      <c r="Z40" s="331">
        <v>0</v>
      </c>
      <c r="AA40" s="172">
        <f>'China Child Data'!AA11</f>
        <v>0</v>
      </c>
      <c r="AB40" s="172">
        <f>'China Child Data'!AB11</f>
        <v>0</v>
      </c>
      <c r="AC40" s="172">
        <f>'China Child Data'!AC11</f>
        <v>0</v>
      </c>
      <c r="AD40" s="86"/>
      <c r="AE40" s="172">
        <f>'China Child Data'!AE11</f>
        <v>0</v>
      </c>
      <c r="AF40" s="172">
        <f>'China Child Data'!AF11</f>
        <v>0</v>
      </c>
      <c r="AG40" s="172">
        <f>'China Child Data'!AG11</f>
        <v>0</v>
      </c>
      <c r="AH40" s="86"/>
      <c r="AI40" s="172">
        <f>'China Child Data'!AI11</f>
        <v>0</v>
      </c>
      <c r="AJ40" s="172">
        <f>'China Child Data'!AJ11</f>
        <v>0</v>
      </c>
      <c r="AK40" s="172">
        <f>'China Child Data'!AK11</f>
        <v>0</v>
      </c>
      <c r="AL40" s="86"/>
      <c r="AM40" s="172">
        <f>'China Child Data'!AM11</f>
        <v>0</v>
      </c>
      <c r="AN40" s="172">
        <f>'China Child Data'!AN11</f>
        <v>0</v>
      </c>
      <c r="AO40" s="172">
        <f>'China Child Data'!AO11</f>
        <v>0</v>
      </c>
      <c r="AP40" s="86"/>
      <c r="AQ40" s="172">
        <f>'China Child Data'!AQ11</f>
        <v>0</v>
      </c>
      <c r="AR40" s="172">
        <f>'China Child Data'!AR11</f>
        <v>0</v>
      </c>
      <c r="AS40" s="172">
        <f>'China Child Data'!AS11</f>
        <v>0</v>
      </c>
      <c r="AT40" s="86"/>
      <c r="AU40" s="172">
        <f>'China Child Data'!AU11</f>
        <v>0</v>
      </c>
      <c r="AV40" s="172">
        <f>'China Child Data'!AV11</f>
        <v>0</v>
      </c>
      <c r="AW40" s="172">
        <f>'China Child Data'!AW11</f>
        <v>0</v>
      </c>
      <c r="AX40" s="86"/>
      <c r="AY40" s="172">
        <f>'China Child Data'!AY11</f>
        <v>0</v>
      </c>
      <c r="AZ40" s="172">
        <f>'China Child Data'!AZ11</f>
        <v>0</v>
      </c>
      <c r="BA40" s="172">
        <f>'China Child Data'!BA11</f>
        <v>0</v>
      </c>
      <c r="BB40" s="86"/>
      <c r="BC40" s="172">
        <f>'China Child Data'!BC11</f>
        <v>0</v>
      </c>
      <c r="BD40" s="172">
        <f>'China Child Data'!BD11</f>
        <v>0</v>
      </c>
      <c r="BE40" s="172">
        <f>'China Child Data'!BE11</f>
        <v>0</v>
      </c>
      <c r="BF40" s="305"/>
      <c r="BG40" s="172">
        <f>'China Child Data'!BG11</f>
        <v>0</v>
      </c>
      <c r="BH40" s="172">
        <f>'China Child Data'!BH11</f>
        <v>0</v>
      </c>
      <c r="BI40" s="172">
        <f>'China Child Data'!BI11</f>
        <v>0</v>
      </c>
      <c r="BJ40" s="157"/>
      <c r="BK40" s="172">
        <f>'China Child Data'!BK11</f>
        <v>0</v>
      </c>
      <c r="BL40" s="172">
        <f>'China Child Data'!BL11</f>
        <v>0</v>
      </c>
      <c r="BM40" s="172">
        <f>'China Child Data'!BM11</f>
        <v>0</v>
      </c>
      <c r="BN40" s="157"/>
      <c r="BO40" s="172">
        <f>'China Child Data'!BO11</f>
        <v>0</v>
      </c>
      <c r="BP40" s="172">
        <f>'China Child Data'!BP11</f>
        <v>0</v>
      </c>
      <c r="BQ40" s="172">
        <f>'China Child Data'!BQ11</f>
        <v>0</v>
      </c>
      <c r="BR40" s="157"/>
      <c r="BS40" s="172">
        <f>'China Child Data'!BS11</f>
        <v>0</v>
      </c>
      <c r="BT40" s="172">
        <f>'China Child Data'!BT11</f>
        <v>0</v>
      </c>
      <c r="BU40" s="172">
        <f>'China Child Data'!BU11</f>
        <v>0</v>
      </c>
      <c r="BV40" s="157"/>
      <c r="BW40" s="172">
        <f>'China Child Data'!BW11</f>
        <v>0</v>
      </c>
      <c r="BX40" s="172">
        <f>'China Child Data'!BX11</f>
        <v>0</v>
      </c>
      <c r="BY40" s="172">
        <f>'China Child Data'!BY11</f>
        <v>0</v>
      </c>
      <c r="BZ40" s="82"/>
      <c r="CA40" s="172">
        <f>'China Child Data'!CA11</f>
        <v>0</v>
      </c>
      <c r="CB40" s="172">
        <f>'China Child Data'!CB11</f>
        <v>0</v>
      </c>
      <c r="CC40" s="172">
        <f>'China Child Data'!CC11</f>
        <v>0</v>
      </c>
      <c r="CD40" s="82"/>
      <c r="CE40" s="172">
        <f>'China Child Data'!CE11</f>
        <v>0</v>
      </c>
      <c r="CF40" s="172">
        <f>'China Child Data'!CF11</f>
        <v>0</v>
      </c>
      <c r="CG40" s="172">
        <f>'China Child Data'!CG11</f>
        <v>0</v>
      </c>
      <c r="CH40" s="82"/>
      <c r="CI40" s="82"/>
      <c r="CJ40" s="82"/>
      <c r="CK40" s="82"/>
      <c r="CL40" s="82"/>
      <c r="CM40" s="82"/>
      <c r="CN40" s="82"/>
      <c r="CO40" s="82"/>
      <c r="CP40" s="82"/>
      <c r="CQ40" s="82"/>
      <c r="CR40" s="82"/>
      <c r="CS40" s="82"/>
      <c r="CT40" s="82"/>
      <c r="CU40" s="82"/>
      <c r="CV40" s="82"/>
      <c r="CW40" s="82"/>
      <c r="CX40" s="82"/>
      <c r="CY40" s="82"/>
      <c r="CZ40" s="82"/>
      <c r="DA40" s="82"/>
      <c r="DB40" s="82"/>
    </row>
    <row r="41" spans="1:106">
      <c r="A41" s="332">
        <v>6</v>
      </c>
      <c r="B41" s="155"/>
      <c r="C41" s="172">
        <f>'China Child Data'!C12</f>
        <v>0</v>
      </c>
      <c r="D41" s="172">
        <f>'China Child Data'!D12</f>
        <v>0</v>
      </c>
      <c r="E41" s="172">
        <f>'China Child Data'!E12</f>
        <v>0</v>
      </c>
      <c r="F41" s="171"/>
      <c r="G41" s="172">
        <f>'China Child Data'!G12</f>
        <v>0</v>
      </c>
      <c r="H41" s="172">
        <f>'China Child Data'!H12</f>
        <v>0</v>
      </c>
      <c r="I41" s="172">
        <f>'China Child Data'!I12</f>
        <v>0</v>
      </c>
      <c r="J41" s="157"/>
      <c r="K41" s="172">
        <f>'China Child Data'!K12</f>
        <v>0</v>
      </c>
      <c r="L41" s="172">
        <f>'China Child Data'!L12</f>
        <v>0</v>
      </c>
      <c r="M41" s="172">
        <f>'China Child Data'!M12</f>
        <v>0</v>
      </c>
      <c r="N41" s="157"/>
      <c r="O41" s="172">
        <f>'China Child Data'!O12</f>
        <v>0</v>
      </c>
      <c r="P41" s="172">
        <f>'China Child Data'!P12</f>
        <v>0</v>
      </c>
      <c r="Q41" s="172">
        <f>'China Child Data'!Q12</f>
        <v>0</v>
      </c>
      <c r="R41" s="157"/>
      <c r="S41" s="172">
        <f>'China Child Data'!S12</f>
        <v>0</v>
      </c>
      <c r="T41" s="172">
        <f>'China Child Data'!T12</f>
        <v>0</v>
      </c>
      <c r="U41" s="172">
        <f>'China Child Data'!U12</f>
        <v>0</v>
      </c>
      <c r="V41" s="157"/>
      <c r="W41" s="172">
        <f>'China Child Data'!W12</f>
        <v>0</v>
      </c>
      <c r="X41" s="172">
        <f>'China Child Data'!X12</f>
        <v>0</v>
      </c>
      <c r="Y41" s="172">
        <f>'China Child Data'!Y12</f>
        <v>0</v>
      </c>
      <c r="Z41" s="331">
        <v>0</v>
      </c>
      <c r="AA41" s="172">
        <f>'China Child Data'!AA12</f>
        <v>0</v>
      </c>
      <c r="AB41" s="172">
        <f>'China Child Data'!AB12</f>
        <v>0</v>
      </c>
      <c r="AC41" s="172">
        <f>'China Child Data'!AC12</f>
        <v>0</v>
      </c>
      <c r="AD41" s="86"/>
      <c r="AE41" s="172">
        <f>'China Child Data'!AE12</f>
        <v>0</v>
      </c>
      <c r="AF41" s="172">
        <f>'China Child Data'!AF12</f>
        <v>0</v>
      </c>
      <c r="AG41" s="172">
        <f>'China Child Data'!AG12</f>
        <v>0</v>
      </c>
      <c r="AH41" s="86"/>
      <c r="AI41" s="172">
        <f>'China Child Data'!AI12</f>
        <v>0</v>
      </c>
      <c r="AJ41" s="172">
        <f>'China Child Data'!AJ12</f>
        <v>0</v>
      </c>
      <c r="AK41" s="172">
        <f>'China Child Data'!AK12</f>
        <v>0</v>
      </c>
      <c r="AL41" s="86"/>
      <c r="AM41" s="172">
        <f>'China Child Data'!AM12</f>
        <v>0</v>
      </c>
      <c r="AN41" s="172">
        <f>'China Child Data'!AN12</f>
        <v>0</v>
      </c>
      <c r="AO41" s="172">
        <f>'China Child Data'!AO12</f>
        <v>0</v>
      </c>
      <c r="AP41" s="86"/>
      <c r="AQ41" s="172">
        <f>'China Child Data'!AQ12</f>
        <v>0</v>
      </c>
      <c r="AR41" s="172">
        <f>'China Child Data'!AR12</f>
        <v>0</v>
      </c>
      <c r="AS41" s="172">
        <f>'China Child Data'!AS12</f>
        <v>0</v>
      </c>
      <c r="AT41" s="86"/>
      <c r="AU41" s="172">
        <f>'China Child Data'!AU12</f>
        <v>0</v>
      </c>
      <c r="AV41" s="172">
        <f>'China Child Data'!AV12</f>
        <v>0</v>
      </c>
      <c r="AW41" s="172">
        <f>'China Child Data'!AW12</f>
        <v>0</v>
      </c>
      <c r="AX41" s="86"/>
      <c r="AY41" s="172">
        <f>'China Child Data'!AY12</f>
        <v>0</v>
      </c>
      <c r="AZ41" s="172">
        <f>'China Child Data'!AZ12</f>
        <v>0</v>
      </c>
      <c r="BA41" s="172">
        <f>'China Child Data'!BA12</f>
        <v>0</v>
      </c>
      <c r="BB41" s="86"/>
      <c r="BC41" s="172">
        <f>'China Child Data'!BC12</f>
        <v>0</v>
      </c>
      <c r="BD41" s="172">
        <f>'China Child Data'!BD12</f>
        <v>0</v>
      </c>
      <c r="BE41" s="172">
        <f>'China Child Data'!BE12</f>
        <v>0</v>
      </c>
      <c r="BF41" s="305"/>
      <c r="BG41" s="172">
        <f>'China Child Data'!BG12</f>
        <v>0</v>
      </c>
      <c r="BH41" s="172">
        <f>'China Child Data'!BH12</f>
        <v>0</v>
      </c>
      <c r="BI41" s="172">
        <f>'China Child Data'!BI12</f>
        <v>0</v>
      </c>
      <c r="BJ41" s="157"/>
      <c r="BK41" s="172">
        <f>'China Child Data'!BK12</f>
        <v>0</v>
      </c>
      <c r="BL41" s="172">
        <f>'China Child Data'!BL12</f>
        <v>0</v>
      </c>
      <c r="BM41" s="172">
        <f>'China Child Data'!BM12</f>
        <v>0</v>
      </c>
      <c r="BN41" s="157"/>
      <c r="BO41" s="172">
        <f>'China Child Data'!BO12</f>
        <v>0</v>
      </c>
      <c r="BP41" s="172">
        <f>'China Child Data'!BP12</f>
        <v>0</v>
      </c>
      <c r="BQ41" s="172">
        <f>'China Child Data'!BQ12</f>
        <v>0</v>
      </c>
      <c r="BR41" s="157"/>
      <c r="BS41" s="172">
        <f>'China Child Data'!BS12</f>
        <v>0</v>
      </c>
      <c r="BT41" s="172">
        <f>'China Child Data'!BT12</f>
        <v>0</v>
      </c>
      <c r="BU41" s="172">
        <f>'China Child Data'!BU12</f>
        <v>0</v>
      </c>
      <c r="BV41" s="157"/>
      <c r="BW41" s="172">
        <f>'China Child Data'!BW12</f>
        <v>0</v>
      </c>
      <c r="BX41" s="172">
        <f>'China Child Data'!BX12</f>
        <v>0</v>
      </c>
      <c r="BY41" s="172">
        <f>'China Child Data'!BY12</f>
        <v>0</v>
      </c>
      <c r="BZ41" s="82"/>
      <c r="CA41" s="172">
        <f>'China Child Data'!CA12</f>
        <v>0</v>
      </c>
      <c r="CB41" s="172">
        <f>'China Child Data'!CB12</f>
        <v>0</v>
      </c>
      <c r="CC41" s="172">
        <f>'China Child Data'!CC12</f>
        <v>0</v>
      </c>
      <c r="CD41" s="82"/>
      <c r="CE41" s="172">
        <f>'China Child Data'!CE12</f>
        <v>0</v>
      </c>
      <c r="CF41" s="172">
        <f>'China Child Data'!CF12</f>
        <v>0</v>
      </c>
      <c r="CG41" s="172">
        <f>'China Child Data'!CG12</f>
        <v>0</v>
      </c>
      <c r="CH41" s="82"/>
      <c r="CI41" s="82"/>
      <c r="CJ41" s="82"/>
      <c r="CK41" s="82"/>
      <c r="CL41" s="82"/>
      <c r="CM41" s="82"/>
      <c r="CN41" s="82"/>
      <c r="CO41" s="82"/>
      <c r="CP41" s="82"/>
      <c r="CQ41" s="82"/>
      <c r="CR41" s="82"/>
      <c r="CS41" s="82"/>
      <c r="CT41" s="82"/>
      <c r="CU41" s="82"/>
      <c r="CV41" s="82"/>
      <c r="CW41" s="82"/>
      <c r="CX41" s="82"/>
      <c r="CY41" s="82"/>
      <c r="CZ41" s="82"/>
      <c r="DA41" s="82"/>
      <c r="DB41" s="82"/>
    </row>
    <row r="42" spans="1:106">
      <c r="A42" s="332">
        <v>7</v>
      </c>
      <c r="B42" s="155"/>
      <c r="C42" s="172">
        <f>'China Child Data'!C13</f>
        <v>0</v>
      </c>
      <c r="D42" s="172">
        <f>'China Child Data'!D13</f>
        <v>0</v>
      </c>
      <c r="E42" s="172">
        <f>'China Child Data'!E13</f>
        <v>0</v>
      </c>
      <c r="F42" s="171"/>
      <c r="G42" s="172">
        <f>'China Child Data'!G13</f>
        <v>0</v>
      </c>
      <c r="H42" s="172">
        <f>'China Child Data'!H13</f>
        <v>0</v>
      </c>
      <c r="I42" s="172">
        <f>'China Child Data'!I13</f>
        <v>0</v>
      </c>
      <c r="J42" s="157"/>
      <c r="K42" s="172">
        <f>'China Child Data'!K13</f>
        <v>0</v>
      </c>
      <c r="L42" s="172">
        <f>'China Child Data'!L13</f>
        <v>0</v>
      </c>
      <c r="M42" s="172">
        <f>'China Child Data'!M13</f>
        <v>0</v>
      </c>
      <c r="N42" s="157"/>
      <c r="O42" s="172">
        <f>'China Child Data'!O13</f>
        <v>0</v>
      </c>
      <c r="P42" s="172">
        <f>'China Child Data'!P13</f>
        <v>0</v>
      </c>
      <c r="Q42" s="172">
        <f>'China Child Data'!Q13</f>
        <v>0</v>
      </c>
      <c r="R42" s="157"/>
      <c r="S42" s="172">
        <f>'China Child Data'!S13</f>
        <v>0</v>
      </c>
      <c r="T42" s="172">
        <f>'China Child Data'!T13</f>
        <v>0</v>
      </c>
      <c r="U42" s="172">
        <f>'China Child Data'!U13</f>
        <v>0</v>
      </c>
      <c r="V42" s="157"/>
      <c r="W42" s="172">
        <f>'China Child Data'!W13</f>
        <v>0</v>
      </c>
      <c r="X42" s="172">
        <f>'China Child Data'!X13</f>
        <v>0</v>
      </c>
      <c r="Y42" s="172">
        <f>'China Child Data'!Y13</f>
        <v>0</v>
      </c>
      <c r="Z42" s="331">
        <v>0</v>
      </c>
      <c r="AA42" s="172">
        <f>'China Child Data'!AA13</f>
        <v>0</v>
      </c>
      <c r="AB42" s="172">
        <f>'China Child Data'!AB13</f>
        <v>0</v>
      </c>
      <c r="AC42" s="172">
        <f>'China Child Data'!AC13</f>
        <v>0</v>
      </c>
      <c r="AD42" s="86"/>
      <c r="AE42" s="172">
        <f>'China Child Data'!AE13</f>
        <v>0</v>
      </c>
      <c r="AF42" s="172">
        <f>'China Child Data'!AF13</f>
        <v>0</v>
      </c>
      <c r="AG42" s="172">
        <f>'China Child Data'!AG13</f>
        <v>0</v>
      </c>
      <c r="AH42" s="86"/>
      <c r="AI42" s="172">
        <f>'China Child Data'!AI13</f>
        <v>0</v>
      </c>
      <c r="AJ42" s="172">
        <f>'China Child Data'!AJ13</f>
        <v>0</v>
      </c>
      <c r="AK42" s="172">
        <f>'China Child Data'!AK13</f>
        <v>0</v>
      </c>
      <c r="AL42" s="86"/>
      <c r="AM42" s="172">
        <f>'China Child Data'!AM13</f>
        <v>0</v>
      </c>
      <c r="AN42" s="172">
        <f>'China Child Data'!AN13</f>
        <v>0</v>
      </c>
      <c r="AO42" s="172">
        <f>'China Child Data'!AO13</f>
        <v>0</v>
      </c>
      <c r="AP42" s="86"/>
      <c r="AQ42" s="172">
        <f>'China Child Data'!AQ13</f>
        <v>0</v>
      </c>
      <c r="AR42" s="172">
        <f>'China Child Data'!AR13</f>
        <v>0</v>
      </c>
      <c r="AS42" s="172">
        <f>'China Child Data'!AS13</f>
        <v>0</v>
      </c>
      <c r="AT42" s="86"/>
      <c r="AU42" s="172">
        <f>'China Child Data'!AU13</f>
        <v>0</v>
      </c>
      <c r="AV42" s="172">
        <f>'China Child Data'!AV13</f>
        <v>0</v>
      </c>
      <c r="AW42" s="172">
        <f>'China Child Data'!AW13</f>
        <v>0</v>
      </c>
      <c r="AX42" s="86"/>
      <c r="AY42" s="172">
        <f>'China Child Data'!AY13</f>
        <v>0</v>
      </c>
      <c r="AZ42" s="172">
        <f>'China Child Data'!AZ13</f>
        <v>0</v>
      </c>
      <c r="BA42" s="172">
        <f>'China Child Data'!BA13</f>
        <v>0</v>
      </c>
      <c r="BB42" s="86"/>
      <c r="BC42" s="172">
        <f>'China Child Data'!BC13</f>
        <v>0</v>
      </c>
      <c r="BD42" s="172">
        <f>'China Child Data'!BD13</f>
        <v>0</v>
      </c>
      <c r="BE42" s="172">
        <f>'China Child Data'!BE13</f>
        <v>0</v>
      </c>
      <c r="BF42" s="305"/>
      <c r="BG42" s="172">
        <f>'China Child Data'!BG13</f>
        <v>0</v>
      </c>
      <c r="BH42" s="172">
        <f>'China Child Data'!BH13</f>
        <v>0</v>
      </c>
      <c r="BI42" s="172">
        <f>'China Child Data'!BI13</f>
        <v>0</v>
      </c>
      <c r="BJ42" s="157"/>
      <c r="BK42" s="172">
        <f>'China Child Data'!BK13</f>
        <v>0</v>
      </c>
      <c r="BL42" s="172">
        <f>'China Child Data'!BL13</f>
        <v>0</v>
      </c>
      <c r="BM42" s="172">
        <f>'China Child Data'!BM13</f>
        <v>0</v>
      </c>
      <c r="BN42" s="157"/>
      <c r="BO42" s="172">
        <f>'China Child Data'!BO13</f>
        <v>0</v>
      </c>
      <c r="BP42" s="172">
        <f>'China Child Data'!BP13</f>
        <v>0</v>
      </c>
      <c r="BQ42" s="172">
        <f>'China Child Data'!BQ13</f>
        <v>0</v>
      </c>
      <c r="BR42" s="157"/>
      <c r="BS42" s="172">
        <f>'China Child Data'!BS13</f>
        <v>0</v>
      </c>
      <c r="BT42" s="172">
        <f>'China Child Data'!BT13</f>
        <v>0</v>
      </c>
      <c r="BU42" s="172">
        <f>'China Child Data'!BU13</f>
        <v>0</v>
      </c>
      <c r="BV42" s="157"/>
      <c r="BW42" s="172">
        <f>'China Child Data'!BW13</f>
        <v>0</v>
      </c>
      <c r="BX42" s="172">
        <f>'China Child Data'!BX13</f>
        <v>0</v>
      </c>
      <c r="BY42" s="172">
        <f>'China Child Data'!BY13</f>
        <v>0</v>
      </c>
      <c r="BZ42" s="82"/>
      <c r="CA42" s="172">
        <f>'China Child Data'!CA13</f>
        <v>0</v>
      </c>
      <c r="CB42" s="172">
        <f>'China Child Data'!CB13</f>
        <v>0</v>
      </c>
      <c r="CC42" s="172">
        <f>'China Child Data'!CC13</f>
        <v>0</v>
      </c>
      <c r="CD42" s="82"/>
      <c r="CE42" s="172">
        <f>'China Child Data'!CE13</f>
        <v>0</v>
      </c>
      <c r="CF42" s="172">
        <f>'China Child Data'!CF13</f>
        <v>0</v>
      </c>
      <c r="CG42" s="172">
        <f>'China Child Data'!CG13</f>
        <v>0</v>
      </c>
      <c r="CH42" s="82"/>
      <c r="CI42" s="82"/>
      <c r="CJ42" s="82"/>
      <c r="CK42" s="82"/>
      <c r="CL42" s="82"/>
      <c r="CM42" s="82"/>
      <c r="CN42" s="82"/>
      <c r="CO42" s="82"/>
      <c r="CP42" s="82"/>
      <c r="CQ42" s="82"/>
      <c r="CR42" s="82"/>
      <c r="CS42" s="82"/>
      <c r="CT42" s="82"/>
      <c r="CU42" s="82"/>
      <c r="CV42" s="82"/>
      <c r="CW42" s="82"/>
      <c r="CX42" s="82"/>
      <c r="CY42" s="82"/>
      <c r="CZ42" s="82"/>
      <c r="DA42" s="82"/>
      <c r="DB42" s="82"/>
    </row>
    <row r="43" spans="1:106">
      <c r="A43" s="332">
        <v>8</v>
      </c>
      <c r="B43" s="155"/>
      <c r="C43" s="172">
        <f>'China Child Data'!C14</f>
        <v>0</v>
      </c>
      <c r="D43" s="172">
        <f>'China Child Data'!D14</f>
        <v>0</v>
      </c>
      <c r="E43" s="172">
        <f>'China Child Data'!E14</f>
        <v>0</v>
      </c>
      <c r="F43" s="171"/>
      <c r="G43" s="172">
        <f>'China Child Data'!G14</f>
        <v>0</v>
      </c>
      <c r="H43" s="172">
        <f>'China Child Data'!H14</f>
        <v>0</v>
      </c>
      <c r="I43" s="172">
        <f>'China Child Data'!I14</f>
        <v>0</v>
      </c>
      <c r="J43" s="157"/>
      <c r="K43" s="172">
        <f>'China Child Data'!K14</f>
        <v>0</v>
      </c>
      <c r="L43" s="172">
        <f>'China Child Data'!L14</f>
        <v>0</v>
      </c>
      <c r="M43" s="172">
        <f>'China Child Data'!M14</f>
        <v>0</v>
      </c>
      <c r="N43" s="157"/>
      <c r="O43" s="172">
        <f>'China Child Data'!O14</f>
        <v>0</v>
      </c>
      <c r="P43" s="172">
        <f>'China Child Data'!P14</f>
        <v>0</v>
      </c>
      <c r="Q43" s="172">
        <f>'China Child Data'!Q14</f>
        <v>0</v>
      </c>
      <c r="R43" s="157"/>
      <c r="S43" s="172">
        <f>'China Child Data'!S14</f>
        <v>0</v>
      </c>
      <c r="T43" s="172">
        <f>'China Child Data'!T14</f>
        <v>0</v>
      </c>
      <c r="U43" s="172">
        <f>'China Child Data'!U14</f>
        <v>0</v>
      </c>
      <c r="V43" s="157"/>
      <c r="W43" s="172">
        <f>'China Child Data'!W14</f>
        <v>0</v>
      </c>
      <c r="X43" s="172">
        <f>'China Child Data'!X14</f>
        <v>0</v>
      </c>
      <c r="Y43" s="172">
        <f>'China Child Data'!Y14</f>
        <v>0</v>
      </c>
      <c r="Z43" s="331">
        <v>0</v>
      </c>
      <c r="AA43" s="172">
        <f>'China Child Data'!AA14</f>
        <v>0</v>
      </c>
      <c r="AB43" s="172">
        <f>'China Child Data'!AB14</f>
        <v>0</v>
      </c>
      <c r="AC43" s="172">
        <f>'China Child Data'!AC14</f>
        <v>0</v>
      </c>
      <c r="AD43" s="86"/>
      <c r="AE43" s="172">
        <f>'China Child Data'!AE14</f>
        <v>0</v>
      </c>
      <c r="AF43" s="172">
        <f>'China Child Data'!AF14</f>
        <v>0</v>
      </c>
      <c r="AG43" s="172">
        <f>'China Child Data'!AG14</f>
        <v>0</v>
      </c>
      <c r="AH43" s="86"/>
      <c r="AI43" s="172">
        <f>'China Child Data'!AI14</f>
        <v>0</v>
      </c>
      <c r="AJ43" s="172">
        <f>'China Child Data'!AJ14</f>
        <v>0</v>
      </c>
      <c r="AK43" s="172">
        <f>'China Child Data'!AK14</f>
        <v>0</v>
      </c>
      <c r="AL43" s="86"/>
      <c r="AM43" s="172">
        <f>'China Child Data'!AM14</f>
        <v>0</v>
      </c>
      <c r="AN43" s="172">
        <f>'China Child Data'!AN14</f>
        <v>0</v>
      </c>
      <c r="AO43" s="172">
        <f>'China Child Data'!AO14</f>
        <v>0</v>
      </c>
      <c r="AP43" s="86"/>
      <c r="AQ43" s="172">
        <f>'China Child Data'!AQ14</f>
        <v>0</v>
      </c>
      <c r="AR43" s="172">
        <f>'China Child Data'!AR14</f>
        <v>0</v>
      </c>
      <c r="AS43" s="172">
        <f>'China Child Data'!AS14</f>
        <v>0</v>
      </c>
      <c r="AT43" s="86"/>
      <c r="AU43" s="172">
        <f>'China Child Data'!AU14</f>
        <v>0</v>
      </c>
      <c r="AV43" s="172">
        <f>'China Child Data'!AV14</f>
        <v>0</v>
      </c>
      <c r="AW43" s="172">
        <f>'China Child Data'!AW14</f>
        <v>0</v>
      </c>
      <c r="AX43" s="86"/>
      <c r="AY43" s="172">
        <f>'China Child Data'!AY14</f>
        <v>0</v>
      </c>
      <c r="AZ43" s="172">
        <f>'China Child Data'!AZ14</f>
        <v>0</v>
      </c>
      <c r="BA43" s="172">
        <f>'China Child Data'!BA14</f>
        <v>0</v>
      </c>
      <c r="BB43" s="86"/>
      <c r="BC43" s="172">
        <f>'China Child Data'!BC14</f>
        <v>0</v>
      </c>
      <c r="BD43" s="172">
        <f>'China Child Data'!BD14</f>
        <v>0</v>
      </c>
      <c r="BE43" s="172">
        <f>'China Child Data'!BE14</f>
        <v>0</v>
      </c>
      <c r="BF43" s="305"/>
      <c r="BG43" s="172">
        <f>'China Child Data'!BG14</f>
        <v>0</v>
      </c>
      <c r="BH43" s="172">
        <f>'China Child Data'!BH14</f>
        <v>0</v>
      </c>
      <c r="BI43" s="172">
        <f>'China Child Data'!BI14</f>
        <v>0</v>
      </c>
      <c r="BJ43" s="157"/>
      <c r="BK43" s="172">
        <f>'China Child Data'!BK14</f>
        <v>0</v>
      </c>
      <c r="BL43" s="172">
        <f>'China Child Data'!BL14</f>
        <v>0</v>
      </c>
      <c r="BM43" s="172">
        <f>'China Child Data'!BM14</f>
        <v>0</v>
      </c>
      <c r="BN43" s="157"/>
      <c r="BO43" s="172">
        <f>'China Child Data'!BO14</f>
        <v>0</v>
      </c>
      <c r="BP43" s="172">
        <f>'China Child Data'!BP14</f>
        <v>0</v>
      </c>
      <c r="BQ43" s="172">
        <f>'China Child Data'!BQ14</f>
        <v>0</v>
      </c>
      <c r="BR43" s="157"/>
      <c r="BS43" s="172">
        <f>'China Child Data'!BS14</f>
        <v>0</v>
      </c>
      <c r="BT43" s="172">
        <f>'China Child Data'!BT14</f>
        <v>0</v>
      </c>
      <c r="BU43" s="172">
        <f>'China Child Data'!BU14</f>
        <v>0</v>
      </c>
      <c r="BV43" s="157"/>
      <c r="BW43" s="172">
        <f>'China Child Data'!BW14</f>
        <v>0</v>
      </c>
      <c r="BX43" s="172">
        <f>'China Child Data'!BX14</f>
        <v>0</v>
      </c>
      <c r="BY43" s="172">
        <f>'China Child Data'!BY14</f>
        <v>0</v>
      </c>
      <c r="BZ43" s="82"/>
      <c r="CA43" s="172">
        <f>'China Child Data'!CA14</f>
        <v>0</v>
      </c>
      <c r="CB43" s="172">
        <f>'China Child Data'!CB14</f>
        <v>0</v>
      </c>
      <c r="CC43" s="172">
        <f>'China Child Data'!CC14</f>
        <v>0</v>
      </c>
      <c r="CD43" s="82"/>
      <c r="CE43" s="172">
        <f>'China Child Data'!CE14</f>
        <v>0</v>
      </c>
      <c r="CF43" s="172">
        <f>'China Child Data'!CF14</f>
        <v>0</v>
      </c>
      <c r="CG43" s="172">
        <f>'China Child Data'!CG14</f>
        <v>0</v>
      </c>
      <c r="CH43" s="82"/>
      <c r="CI43" s="82"/>
      <c r="CJ43" s="82"/>
      <c r="CK43" s="82"/>
      <c r="CL43" s="82"/>
      <c r="CM43" s="82"/>
      <c r="CN43" s="82"/>
      <c r="CO43" s="82"/>
      <c r="CP43" s="82"/>
      <c r="CQ43" s="82"/>
      <c r="CR43" s="82"/>
      <c r="CS43" s="82"/>
      <c r="CT43" s="82"/>
      <c r="CU43" s="82"/>
      <c r="CV43" s="82"/>
      <c r="CW43" s="82"/>
      <c r="CX43" s="82"/>
      <c r="CY43" s="82"/>
      <c r="CZ43" s="82"/>
      <c r="DA43" s="82"/>
      <c r="DB43" s="82"/>
    </row>
    <row r="44" spans="1:106">
      <c r="A44" s="332">
        <v>9</v>
      </c>
      <c r="B44" s="155"/>
      <c r="C44" s="172">
        <f>'China Child Data'!C15</f>
        <v>0</v>
      </c>
      <c r="D44" s="172">
        <f>'China Child Data'!D15</f>
        <v>0</v>
      </c>
      <c r="E44" s="172">
        <f>'China Child Data'!E15</f>
        <v>0</v>
      </c>
      <c r="F44" s="171"/>
      <c r="G44" s="172">
        <f>'China Child Data'!G15</f>
        <v>0</v>
      </c>
      <c r="H44" s="172">
        <f>'China Child Data'!H15</f>
        <v>0</v>
      </c>
      <c r="I44" s="172">
        <f>'China Child Data'!I15</f>
        <v>0</v>
      </c>
      <c r="J44" s="157"/>
      <c r="K44" s="172">
        <f>'China Child Data'!K15</f>
        <v>0</v>
      </c>
      <c r="L44" s="172">
        <f>'China Child Data'!L15</f>
        <v>0</v>
      </c>
      <c r="M44" s="172">
        <f>'China Child Data'!M15</f>
        <v>0</v>
      </c>
      <c r="N44" s="157"/>
      <c r="O44" s="172">
        <f>'China Child Data'!O15</f>
        <v>0</v>
      </c>
      <c r="P44" s="172">
        <f>'China Child Data'!P15</f>
        <v>0</v>
      </c>
      <c r="Q44" s="172">
        <f>'China Child Data'!Q15</f>
        <v>0</v>
      </c>
      <c r="R44" s="157"/>
      <c r="S44" s="172">
        <f>'China Child Data'!S15</f>
        <v>0</v>
      </c>
      <c r="T44" s="172">
        <f>'China Child Data'!T15</f>
        <v>0</v>
      </c>
      <c r="U44" s="172">
        <f>'China Child Data'!U15</f>
        <v>0</v>
      </c>
      <c r="V44" s="157"/>
      <c r="W44" s="172">
        <f>'China Child Data'!W15</f>
        <v>0</v>
      </c>
      <c r="X44" s="172">
        <f>'China Child Data'!X15</f>
        <v>0</v>
      </c>
      <c r="Y44" s="172">
        <f>'China Child Data'!Y15</f>
        <v>0</v>
      </c>
      <c r="Z44" s="331">
        <v>0</v>
      </c>
      <c r="AA44" s="172">
        <f>'China Child Data'!AA15</f>
        <v>0</v>
      </c>
      <c r="AB44" s="172">
        <f>'China Child Data'!AB15</f>
        <v>0</v>
      </c>
      <c r="AC44" s="172">
        <f>'China Child Data'!AC15</f>
        <v>0</v>
      </c>
      <c r="AD44" s="86"/>
      <c r="AE44" s="172">
        <f>'China Child Data'!AE15</f>
        <v>0</v>
      </c>
      <c r="AF44" s="172">
        <f>'China Child Data'!AF15</f>
        <v>0</v>
      </c>
      <c r="AG44" s="172">
        <f>'China Child Data'!AG15</f>
        <v>0</v>
      </c>
      <c r="AH44" s="86"/>
      <c r="AI44" s="172">
        <f>'China Child Data'!AI15</f>
        <v>0</v>
      </c>
      <c r="AJ44" s="172">
        <f>'China Child Data'!AJ15</f>
        <v>0</v>
      </c>
      <c r="AK44" s="172">
        <f>'China Child Data'!AK15</f>
        <v>0</v>
      </c>
      <c r="AL44" s="86"/>
      <c r="AM44" s="172">
        <f>'China Child Data'!AM15</f>
        <v>0</v>
      </c>
      <c r="AN44" s="172">
        <f>'China Child Data'!AN15</f>
        <v>0</v>
      </c>
      <c r="AO44" s="172">
        <f>'China Child Data'!AO15</f>
        <v>0</v>
      </c>
      <c r="AP44" s="86"/>
      <c r="AQ44" s="172">
        <f>'China Child Data'!AQ15</f>
        <v>0</v>
      </c>
      <c r="AR44" s="172">
        <f>'China Child Data'!AR15</f>
        <v>0</v>
      </c>
      <c r="AS44" s="172">
        <f>'China Child Data'!AS15</f>
        <v>0</v>
      </c>
      <c r="AT44" s="86"/>
      <c r="AU44" s="172">
        <f>'China Child Data'!AU15</f>
        <v>0</v>
      </c>
      <c r="AV44" s="172">
        <f>'China Child Data'!AV15</f>
        <v>0</v>
      </c>
      <c r="AW44" s="172">
        <f>'China Child Data'!AW15</f>
        <v>0</v>
      </c>
      <c r="AX44" s="86"/>
      <c r="AY44" s="172">
        <f>'China Child Data'!AY15</f>
        <v>0</v>
      </c>
      <c r="AZ44" s="172">
        <f>'China Child Data'!AZ15</f>
        <v>0</v>
      </c>
      <c r="BA44" s="172">
        <f>'China Child Data'!BA15</f>
        <v>0</v>
      </c>
      <c r="BB44" s="86"/>
      <c r="BC44" s="172">
        <f>'China Child Data'!BC15</f>
        <v>0</v>
      </c>
      <c r="BD44" s="172">
        <f>'China Child Data'!BD15</f>
        <v>0</v>
      </c>
      <c r="BE44" s="172">
        <f>'China Child Data'!BE15</f>
        <v>0</v>
      </c>
      <c r="BF44" s="305"/>
      <c r="BG44" s="172">
        <f>'China Child Data'!BG15</f>
        <v>0</v>
      </c>
      <c r="BH44" s="172">
        <f>'China Child Data'!BH15</f>
        <v>0</v>
      </c>
      <c r="BI44" s="172">
        <f>'China Child Data'!BI15</f>
        <v>0</v>
      </c>
      <c r="BJ44" s="157"/>
      <c r="BK44" s="172">
        <f>'China Child Data'!BK15</f>
        <v>0</v>
      </c>
      <c r="BL44" s="172">
        <f>'China Child Data'!BL15</f>
        <v>0</v>
      </c>
      <c r="BM44" s="172">
        <f>'China Child Data'!BM15</f>
        <v>0</v>
      </c>
      <c r="BN44" s="157"/>
      <c r="BO44" s="172">
        <f>'China Child Data'!BO15</f>
        <v>0</v>
      </c>
      <c r="BP44" s="172">
        <f>'China Child Data'!BP15</f>
        <v>0</v>
      </c>
      <c r="BQ44" s="172">
        <f>'China Child Data'!BQ15</f>
        <v>0</v>
      </c>
      <c r="BR44" s="157"/>
      <c r="BS44" s="172">
        <f>'China Child Data'!BS15</f>
        <v>0</v>
      </c>
      <c r="BT44" s="172">
        <f>'China Child Data'!BT15</f>
        <v>0</v>
      </c>
      <c r="BU44" s="172">
        <f>'China Child Data'!BU15</f>
        <v>0</v>
      </c>
      <c r="BV44" s="157"/>
      <c r="BW44" s="172">
        <f>'China Child Data'!BW15</f>
        <v>0</v>
      </c>
      <c r="BX44" s="172">
        <f>'China Child Data'!BX15</f>
        <v>0</v>
      </c>
      <c r="BY44" s="172">
        <f>'China Child Data'!BY15</f>
        <v>0</v>
      </c>
      <c r="BZ44" s="82"/>
      <c r="CA44" s="172">
        <f>'China Child Data'!CA15</f>
        <v>0</v>
      </c>
      <c r="CB44" s="172">
        <f>'China Child Data'!CB15</f>
        <v>0</v>
      </c>
      <c r="CC44" s="172">
        <f>'China Child Data'!CC15</f>
        <v>0</v>
      </c>
      <c r="CD44" s="82"/>
      <c r="CE44" s="172">
        <f>'China Child Data'!CE15</f>
        <v>0</v>
      </c>
      <c r="CF44" s="172">
        <f>'China Child Data'!CF15</f>
        <v>0</v>
      </c>
      <c r="CG44" s="172">
        <f>'China Child Data'!CG15</f>
        <v>0</v>
      </c>
      <c r="CH44" s="82"/>
      <c r="CI44" s="82"/>
      <c r="CJ44" s="82"/>
      <c r="CK44" s="82"/>
      <c r="CL44" s="82"/>
      <c r="CM44" s="82"/>
      <c r="CN44" s="82"/>
      <c r="CO44" s="82"/>
      <c r="CP44" s="82"/>
      <c r="CQ44" s="82"/>
      <c r="CR44" s="82"/>
      <c r="CS44" s="82"/>
      <c r="CT44" s="82"/>
      <c r="CU44" s="82"/>
      <c r="CV44" s="82"/>
      <c r="CW44" s="82"/>
      <c r="CX44" s="82"/>
      <c r="CY44" s="82"/>
      <c r="CZ44" s="82"/>
      <c r="DA44" s="82"/>
      <c r="DB44" s="82"/>
    </row>
    <row r="45" spans="1:106">
      <c r="A45" s="332">
        <v>10</v>
      </c>
      <c r="B45" s="155"/>
      <c r="C45" s="172">
        <f>'China Child Data'!C16</f>
        <v>0</v>
      </c>
      <c r="D45" s="172">
        <f>'China Child Data'!D16</f>
        <v>0</v>
      </c>
      <c r="E45" s="172">
        <f>'China Child Data'!E16</f>
        <v>0</v>
      </c>
      <c r="F45" s="171"/>
      <c r="G45" s="172">
        <f>'China Child Data'!G16</f>
        <v>0</v>
      </c>
      <c r="H45" s="172">
        <f>'China Child Data'!H16</f>
        <v>0</v>
      </c>
      <c r="I45" s="172">
        <f>'China Child Data'!I16</f>
        <v>0</v>
      </c>
      <c r="J45" s="157"/>
      <c r="K45" s="172">
        <f>'China Child Data'!K16</f>
        <v>0</v>
      </c>
      <c r="L45" s="172">
        <f>'China Child Data'!L16</f>
        <v>0</v>
      </c>
      <c r="M45" s="172">
        <f>'China Child Data'!M16</f>
        <v>0</v>
      </c>
      <c r="N45" s="157"/>
      <c r="O45" s="172">
        <f>'China Child Data'!O16</f>
        <v>0</v>
      </c>
      <c r="P45" s="172">
        <f>'China Child Data'!P16</f>
        <v>0</v>
      </c>
      <c r="Q45" s="172">
        <f>'China Child Data'!Q16</f>
        <v>0</v>
      </c>
      <c r="R45" s="157"/>
      <c r="S45" s="172">
        <f>'China Child Data'!S16</f>
        <v>0</v>
      </c>
      <c r="T45" s="172">
        <f>'China Child Data'!T16</f>
        <v>0</v>
      </c>
      <c r="U45" s="172">
        <f>'China Child Data'!U16</f>
        <v>0</v>
      </c>
      <c r="V45" s="157"/>
      <c r="W45" s="172">
        <f>'China Child Data'!W16</f>
        <v>0</v>
      </c>
      <c r="X45" s="172">
        <f>'China Child Data'!X16</f>
        <v>0</v>
      </c>
      <c r="Y45" s="172">
        <f>'China Child Data'!Y16</f>
        <v>0</v>
      </c>
      <c r="Z45" s="331">
        <v>0</v>
      </c>
      <c r="AA45" s="172">
        <f>'China Child Data'!AA16</f>
        <v>0</v>
      </c>
      <c r="AB45" s="172">
        <f>'China Child Data'!AB16</f>
        <v>0</v>
      </c>
      <c r="AC45" s="172">
        <f>'China Child Data'!AC16</f>
        <v>0</v>
      </c>
      <c r="AD45" s="86"/>
      <c r="AE45" s="172">
        <f>'China Child Data'!AE16</f>
        <v>0</v>
      </c>
      <c r="AF45" s="172">
        <f>'China Child Data'!AF16</f>
        <v>0</v>
      </c>
      <c r="AG45" s="172">
        <f>'China Child Data'!AG16</f>
        <v>0</v>
      </c>
      <c r="AH45" s="86"/>
      <c r="AI45" s="172">
        <f>'China Child Data'!AI16</f>
        <v>0</v>
      </c>
      <c r="AJ45" s="172">
        <f>'China Child Data'!AJ16</f>
        <v>0</v>
      </c>
      <c r="AK45" s="172">
        <f>'China Child Data'!AK16</f>
        <v>0</v>
      </c>
      <c r="AL45" s="86"/>
      <c r="AM45" s="172">
        <f>'China Child Data'!AM16</f>
        <v>0</v>
      </c>
      <c r="AN45" s="172">
        <f>'China Child Data'!AN16</f>
        <v>0</v>
      </c>
      <c r="AO45" s="172">
        <f>'China Child Data'!AO16</f>
        <v>0</v>
      </c>
      <c r="AP45" s="86"/>
      <c r="AQ45" s="172">
        <f>'China Child Data'!AQ16</f>
        <v>0</v>
      </c>
      <c r="AR45" s="172">
        <f>'China Child Data'!AR16</f>
        <v>0</v>
      </c>
      <c r="AS45" s="172">
        <f>'China Child Data'!AS16</f>
        <v>0</v>
      </c>
      <c r="AT45" s="86"/>
      <c r="AU45" s="172">
        <f>'China Child Data'!AU16</f>
        <v>0</v>
      </c>
      <c r="AV45" s="172">
        <f>'China Child Data'!AV16</f>
        <v>0</v>
      </c>
      <c r="AW45" s="172">
        <f>'China Child Data'!AW16</f>
        <v>0</v>
      </c>
      <c r="AX45" s="86"/>
      <c r="AY45" s="172">
        <f>'China Child Data'!AY16</f>
        <v>0</v>
      </c>
      <c r="AZ45" s="172">
        <f>'China Child Data'!AZ16</f>
        <v>0</v>
      </c>
      <c r="BA45" s="172">
        <f>'China Child Data'!BA16</f>
        <v>0</v>
      </c>
      <c r="BB45" s="86"/>
      <c r="BC45" s="172">
        <f>'China Child Data'!BC16</f>
        <v>0</v>
      </c>
      <c r="BD45" s="172">
        <f>'China Child Data'!BD16</f>
        <v>0</v>
      </c>
      <c r="BE45" s="172">
        <f>'China Child Data'!BE16</f>
        <v>0</v>
      </c>
      <c r="BF45" s="305"/>
      <c r="BG45" s="172">
        <f>'China Child Data'!BG16</f>
        <v>0</v>
      </c>
      <c r="BH45" s="172">
        <f>'China Child Data'!BH16</f>
        <v>0</v>
      </c>
      <c r="BI45" s="172">
        <f>'China Child Data'!BI16</f>
        <v>0</v>
      </c>
      <c r="BJ45" s="157"/>
      <c r="BK45" s="172">
        <f>'China Child Data'!BK16</f>
        <v>0</v>
      </c>
      <c r="BL45" s="172">
        <f>'China Child Data'!BL16</f>
        <v>0</v>
      </c>
      <c r="BM45" s="172">
        <f>'China Child Data'!BM16</f>
        <v>0</v>
      </c>
      <c r="BN45" s="157"/>
      <c r="BO45" s="172">
        <f>'China Child Data'!BO16</f>
        <v>0</v>
      </c>
      <c r="BP45" s="172">
        <f>'China Child Data'!BP16</f>
        <v>0</v>
      </c>
      <c r="BQ45" s="172">
        <f>'China Child Data'!BQ16</f>
        <v>0</v>
      </c>
      <c r="BR45" s="157"/>
      <c r="BS45" s="172">
        <f>'China Child Data'!BS16</f>
        <v>0</v>
      </c>
      <c r="BT45" s="172">
        <f>'China Child Data'!BT16</f>
        <v>0</v>
      </c>
      <c r="BU45" s="172">
        <f>'China Child Data'!BU16</f>
        <v>0</v>
      </c>
      <c r="BV45" s="157"/>
      <c r="BW45" s="172">
        <f>'China Child Data'!BW16</f>
        <v>0</v>
      </c>
      <c r="BX45" s="172">
        <f>'China Child Data'!BX16</f>
        <v>0</v>
      </c>
      <c r="BY45" s="172">
        <f>'China Child Data'!BY16</f>
        <v>0</v>
      </c>
      <c r="BZ45" s="82"/>
      <c r="CA45" s="172">
        <f>'China Child Data'!CA16</f>
        <v>0</v>
      </c>
      <c r="CB45" s="172">
        <f>'China Child Data'!CB16</f>
        <v>0</v>
      </c>
      <c r="CC45" s="172">
        <f>'China Child Data'!CC16</f>
        <v>0</v>
      </c>
      <c r="CD45" s="82"/>
      <c r="CE45" s="172">
        <f>'China Child Data'!CE16</f>
        <v>0</v>
      </c>
      <c r="CF45" s="172">
        <f>'China Child Data'!CF16</f>
        <v>0</v>
      </c>
      <c r="CG45" s="172">
        <f>'China Child Data'!CG16</f>
        <v>0</v>
      </c>
      <c r="CH45" s="82"/>
      <c r="CI45" s="82"/>
      <c r="CJ45" s="82"/>
      <c r="CK45" s="82"/>
      <c r="CL45" s="82"/>
      <c r="CM45" s="82"/>
      <c r="CN45" s="82"/>
      <c r="CO45" s="82"/>
      <c r="CP45" s="82"/>
      <c r="CQ45" s="82"/>
      <c r="CR45" s="82"/>
      <c r="CS45" s="82"/>
      <c r="CT45" s="82"/>
      <c r="CU45" s="82"/>
      <c r="CV45" s="82"/>
      <c r="CW45" s="82"/>
      <c r="CX45" s="82"/>
      <c r="CY45" s="82"/>
      <c r="CZ45" s="82"/>
      <c r="DA45" s="82"/>
      <c r="DB45" s="82"/>
    </row>
    <row r="46" spans="1:106">
      <c r="A46" s="82"/>
      <c r="B46" s="82"/>
      <c r="C46" s="171"/>
      <c r="D46" s="171"/>
      <c r="E46" s="171"/>
      <c r="F46" s="171"/>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c r="BA46" s="82"/>
      <c r="BB46" s="82"/>
      <c r="BC46" s="82"/>
      <c r="BD46" s="82"/>
      <c r="BE46" s="82"/>
      <c r="BF46" s="306"/>
      <c r="BG46" s="82"/>
      <c r="BH46" s="82"/>
      <c r="BI46" s="82"/>
      <c r="BJ46" s="82"/>
      <c r="BK46" s="82"/>
      <c r="BL46" s="82"/>
      <c r="BM46" s="82"/>
      <c r="BN46" s="82"/>
      <c r="BO46" s="82"/>
      <c r="BP46" s="82"/>
      <c r="BQ46" s="82"/>
      <c r="BR46" s="82"/>
      <c r="BS46" s="82"/>
      <c r="BT46" s="82"/>
      <c r="BU46" s="82"/>
      <c r="BV46" s="82"/>
      <c r="BW46" s="82"/>
      <c r="BX46" s="82"/>
      <c r="BY46" s="82"/>
      <c r="BZ46" s="82"/>
      <c r="CA46" s="82"/>
      <c r="CB46" s="82"/>
      <c r="CC46" s="82"/>
      <c r="CD46" s="82"/>
      <c r="CE46" s="82"/>
      <c r="CF46" s="82"/>
      <c r="CG46" s="82"/>
      <c r="CH46" s="82"/>
      <c r="CI46" s="82"/>
      <c r="CJ46" s="82"/>
      <c r="CK46" s="82"/>
      <c r="CL46" s="82"/>
      <c r="CM46" s="82"/>
      <c r="CN46" s="82"/>
      <c r="CO46" s="82"/>
      <c r="CP46" s="82"/>
      <c r="CQ46" s="82"/>
      <c r="CR46" s="82"/>
      <c r="CS46" s="82"/>
      <c r="CT46" s="82"/>
      <c r="CU46" s="82"/>
      <c r="CV46" s="82"/>
      <c r="CW46" s="82"/>
      <c r="CX46" s="82"/>
      <c r="CY46" s="82"/>
      <c r="CZ46" s="82"/>
      <c r="DA46" s="82"/>
      <c r="DB46" s="82"/>
    </row>
    <row r="47" spans="1:106">
      <c r="A47" s="82"/>
      <c r="B47" s="82"/>
      <c r="C47" s="171"/>
      <c r="D47" s="171"/>
      <c r="E47" s="171"/>
      <c r="F47" s="171"/>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c r="BA47" s="82"/>
      <c r="BB47" s="82"/>
      <c r="BC47" s="82"/>
      <c r="BD47" s="82"/>
      <c r="BE47" s="82"/>
      <c r="BF47" s="306"/>
      <c r="BG47" s="82"/>
      <c r="BH47" s="82"/>
      <c r="BI47" s="82"/>
      <c r="BJ47" s="82"/>
      <c r="BK47" s="82"/>
      <c r="BL47" s="82"/>
      <c r="BM47" s="82"/>
      <c r="BN47" s="82"/>
      <c r="BO47" s="82"/>
      <c r="BP47" s="82"/>
      <c r="BQ47" s="82"/>
      <c r="BR47" s="82"/>
      <c r="BS47" s="82"/>
      <c r="BT47" s="82"/>
      <c r="BU47" s="82"/>
      <c r="BV47" s="82"/>
      <c r="BW47" s="82"/>
      <c r="BX47" s="82"/>
      <c r="BY47" s="82"/>
      <c r="BZ47" s="82"/>
      <c r="CA47" s="82"/>
      <c r="CB47" s="82"/>
      <c r="CC47" s="82"/>
      <c r="CD47" s="82"/>
      <c r="CE47" s="82"/>
      <c r="CF47" s="82"/>
      <c r="CG47" s="82"/>
      <c r="CH47" s="82"/>
      <c r="CI47" s="82"/>
      <c r="CJ47" s="82"/>
      <c r="CK47" s="82"/>
      <c r="CL47" s="82"/>
      <c r="CM47" s="82"/>
      <c r="CN47" s="82"/>
      <c r="CO47" s="82"/>
      <c r="CP47" s="82"/>
      <c r="CQ47" s="82"/>
      <c r="CR47" s="82"/>
      <c r="CS47" s="82"/>
      <c r="CT47" s="82"/>
      <c r="CU47" s="82"/>
      <c r="CV47" s="82"/>
      <c r="CW47" s="82"/>
      <c r="CX47" s="82"/>
      <c r="CY47" s="82"/>
      <c r="CZ47" s="82"/>
      <c r="DA47" s="82"/>
      <c r="DB47" s="82"/>
    </row>
    <row r="48" spans="1:106">
      <c r="A48" s="82"/>
      <c r="B48" s="82"/>
      <c r="C48" s="171"/>
      <c r="D48" s="171"/>
      <c r="E48" s="171"/>
      <c r="F48" s="171"/>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c r="BA48" s="82"/>
      <c r="BB48" s="82"/>
      <c r="BC48" s="82"/>
      <c r="BD48" s="82"/>
      <c r="BE48" s="82"/>
      <c r="BF48" s="306"/>
      <c r="BG48" s="82"/>
      <c r="BH48" s="82"/>
      <c r="BI48" s="82"/>
      <c r="BJ48" s="82"/>
      <c r="BK48" s="82"/>
      <c r="BL48" s="82"/>
      <c r="BM48" s="82"/>
      <c r="BN48" s="82"/>
      <c r="BO48" s="82"/>
      <c r="BP48" s="82"/>
      <c r="BQ48" s="82"/>
      <c r="BR48" s="82"/>
      <c r="BS48" s="82"/>
      <c r="BT48" s="82"/>
      <c r="BU48" s="82"/>
      <c r="BV48" s="82"/>
      <c r="BW48" s="82"/>
      <c r="BX48" s="82"/>
      <c r="BY48" s="82"/>
      <c r="BZ48" s="82"/>
      <c r="CA48" s="82"/>
      <c r="CB48" s="82"/>
      <c r="CC48" s="82"/>
      <c r="CD48" s="82"/>
      <c r="CE48" s="82"/>
      <c r="CF48" s="82"/>
      <c r="CG48" s="82"/>
      <c r="CH48" s="82"/>
      <c r="CI48" s="82"/>
      <c r="CJ48" s="82"/>
      <c r="CK48" s="82"/>
      <c r="CL48" s="82"/>
      <c r="CM48" s="82"/>
      <c r="CN48" s="82"/>
      <c r="CO48" s="82"/>
      <c r="CP48" s="82"/>
      <c r="CQ48" s="82"/>
      <c r="CR48" s="82"/>
      <c r="CS48" s="82"/>
      <c r="CT48" s="82"/>
      <c r="CU48" s="82"/>
      <c r="CV48" s="82"/>
      <c r="CW48" s="82"/>
      <c r="CX48" s="82"/>
      <c r="CY48" s="82"/>
      <c r="CZ48" s="82"/>
      <c r="DA48" s="82"/>
      <c r="DB48" s="82"/>
    </row>
    <row r="49" spans="1:106">
      <c r="A49" s="82"/>
      <c r="B49" s="82"/>
      <c r="C49" s="171"/>
      <c r="D49" s="171"/>
      <c r="E49" s="171"/>
      <c r="F49" s="171"/>
      <c r="G49" s="82"/>
      <c r="H49" s="82"/>
      <c r="I49" s="82"/>
      <c r="J49" s="82"/>
      <c r="K49" s="82"/>
      <c r="L49" s="82"/>
      <c r="M49" s="82"/>
      <c r="N49" s="82"/>
      <c r="O49" s="82"/>
      <c r="P49" s="82"/>
      <c r="Q49" s="82"/>
      <c r="R49" s="82"/>
      <c r="S49" s="86"/>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82"/>
      <c r="AZ49" s="82"/>
      <c r="BA49" s="82"/>
      <c r="BB49" s="82"/>
      <c r="BC49" s="82"/>
      <c r="BD49" s="82"/>
      <c r="BE49" s="82"/>
      <c r="BF49" s="306"/>
      <c r="BG49" s="82"/>
      <c r="BH49" s="82"/>
      <c r="BI49" s="82"/>
      <c r="BJ49" s="82"/>
      <c r="BK49" s="82"/>
      <c r="BL49" s="82"/>
      <c r="BM49" s="82"/>
      <c r="BN49" s="82"/>
      <c r="BO49" s="82"/>
      <c r="BP49" s="82"/>
      <c r="BQ49" s="82"/>
      <c r="BR49" s="82"/>
      <c r="BS49" s="82"/>
      <c r="BT49" s="82"/>
      <c r="BU49" s="82"/>
      <c r="BV49" s="82"/>
      <c r="BW49" s="82"/>
      <c r="BX49" s="82"/>
      <c r="BY49" s="82"/>
      <c r="BZ49" s="82"/>
      <c r="CA49" s="82"/>
      <c r="CB49" s="82"/>
      <c r="CC49" s="82"/>
      <c r="CD49" s="82"/>
      <c r="CE49" s="82"/>
      <c r="CF49" s="82"/>
      <c r="CG49" s="82"/>
      <c r="CH49" s="82"/>
      <c r="CI49" s="82"/>
      <c r="CJ49" s="82"/>
      <c r="CK49" s="82"/>
      <c r="CL49" s="82"/>
      <c r="CM49" s="82"/>
      <c r="CN49" s="82"/>
      <c r="CO49" s="82"/>
      <c r="CP49" s="82"/>
      <c r="CQ49" s="82"/>
      <c r="CR49" s="82"/>
      <c r="CS49" s="82"/>
      <c r="CT49" s="82"/>
      <c r="CU49" s="82"/>
      <c r="CV49" s="82"/>
      <c r="CW49" s="82"/>
      <c r="CX49" s="82"/>
      <c r="CY49" s="82"/>
      <c r="CZ49" s="82"/>
      <c r="DA49" s="82"/>
      <c r="DB49" s="82"/>
    </row>
    <row r="50" spans="1:106">
      <c r="A50" s="82"/>
      <c r="B50" s="82"/>
      <c r="C50" s="171"/>
      <c r="D50" s="171"/>
      <c r="E50" s="171"/>
      <c r="F50" s="171"/>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c r="BA50" s="82"/>
      <c r="BB50" s="82"/>
      <c r="BC50" s="82"/>
      <c r="BD50" s="82"/>
      <c r="BE50" s="82"/>
      <c r="BF50" s="306"/>
      <c r="BG50" s="82"/>
      <c r="BH50" s="82"/>
      <c r="BI50" s="82"/>
      <c r="BJ50" s="82"/>
      <c r="BK50" s="82"/>
      <c r="BL50" s="82"/>
      <c r="BM50" s="82"/>
      <c r="BN50" s="82"/>
      <c r="BO50" s="82"/>
      <c r="BP50" s="82"/>
      <c r="BQ50" s="82"/>
      <c r="BR50" s="82"/>
      <c r="BS50" s="82"/>
      <c r="BT50" s="82"/>
      <c r="BU50" s="82"/>
      <c r="BV50" s="82"/>
      <c r="BW50" s="82"/>
      <c r="BX50" s="82"/>
      <c r="BY50" s="82"/>
      <c r="BZ50" s="82"/>
      <c r="CA50" s="82"/>
      <c r="CB50" s="82"/>
      <c r="CC50" s="82"/>
      <c r="CD50" s="82"/>
      <c r="CE50" s="82"/>
      <c r="CF50" s="82"/>
      <c r="CG50" s="82"/>
      <c r="CH50" s="82"/>
      <c r="CI50" s="82"/>
      <c r="CJ50" s="82"/>
      <c r="CK50" s="82"/>
      <c r="CL50" s="82"/>
      <c r="CM50" s="82"/>
      <c r="CN50" s="82"/>
      <c r="CO50" s="82"/>
      <c r="CP50" s="82"/>
      <c r="CQ50" s="82"/>
      <c r="CR50" s="82"/>
      <c r="CS50" s="82"/>
      <c r="CT50" s="82"/>
      <c r="CU50" s="82"/>
      <c r="CV50" s="82"/>
      <c r="CW50" s="82"/>
      <c r="CX50" s="82"/>
      <c r="CY50" s="82"/>
      <c r="CZ50" s="82"/>
      <c r="DA50" s="82"/>
      <c r="DB50" s="82"/>
    </row>
    <row r="51" spans="1:106">
      <c r="A51" s="82"/>
      <c r="B51" s="82"/>
      <c r="C51" s="171"/>
      <c r="D51" s="171"/>
      <c r="E51" s="171"/>
      <c r="F51" s="171"/>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c r="BA51" s="82"/>
      <c r="BB51" s="82"/>
      <c r="BC51" s="82"/>
      <c r="BD51" s="82"/>
      <c r="BE51" s="82"/>
      <c r="BF51" s="306"/>
      <c r="BG51" s="82"/>
      <c r="BH51" s="82"/>
      <c r="BI51" s="82"/>
      <c r="BJ51" s="82"/>
      <c r="BK51" s="82"/>
      <c r="BL51" s="82"/>
      <c r="BM51" s="82"/>
      <c r="BN51" s="82"/>
      <c r="BO51" s="82"/>
      <c r="BP51" s="82"/>
      <c r="BQ51" s="82"/>
      <c r="BR51" s="82"/>
      <c r="BS51" s="82"/>
      <c r="BT51" s="82"/>
      <c r="BU51" s="82"/>
      <c r="BV51" s="82"/>
      <c r="BW51" s="82"/>
      <c r="BX51" s="82"/>
      <c r="BY51" s="82"/>
      <c r="BZ51" s="82"/>
      <c r="CA51" s="82"/>
      <c r="CB51" s="82"/>
      <c r="CC51" s="82"/>
      <c r="CD51" s="82"/>
      <c r="CE51" s="82"/>
      <c r="CF51" s="82"/>
      <c r="CG51" s="82"/>
      <c r="CH51" s="82"/>
      <c r="CI51" s="82"/>
      <c r="CJ51" s="82"/>
      <c r="CK51" s="82"/>
      <c r="CL51" s="82"/>
      <c r="CM51" s="82"/>
      <c r="CN51" s="82"/>
      <c r="CO51" s="82"/>
      <c r="CP51" s="82"/>
      <c r="CQ51" s="82"/>
      <c r="CR51" s="82"/>
      <c r="CS51" s="82"/>
      <c r="CT51" s="82"/>
      <c r="CU51" s="82"/>
      <c r="CV51" s="82"/>
      <c r="CW51" s="82"/>
      <c r="CX51" s="82"/>
      <c r="CY51" s="82"/>
      <c r="CZ51" s="82"/>
      <c r="DA51" s="82"/>
      <c r="DB51" s="82"/>
    </row>
    <row r="52" spans="1:106">
      <c r="A52" s="82"/>
      <c r="B52" s="82"/>
      <c r="C52" s="171"/>
      <c r="D52" s="171"/>
      <c r="E52" s="171"/>
      <c r="F52" s="171"/>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c r="BA52" s="82"/>
      <c r="BB52" s="82"/>
      <c r="BC52" s="82"/>
      <c r="BD52" s="82"/>
      <c r="BE52" s="82"/>
      <c r="BF52" s="306"/>
      <c r="BG52" s="82"/>
      <c r="BH52" s="82"/>
      <c r="BI52" s="82"/>
      <c r="BJ52" s="82"/>
      <c r="BK52" s="82"/>
      <c r="BL52" s="82"/>
      <c r="BM52" s="82"/>
      <c r="BN52" s="82"/>
      <c r="BO52" s="82"/>
      <c r="BP52" s="82"/>
      <c r="BQ52" s="82"/>
      <c r="BR52" s="82"/>
      <c r="BS52" s="82"/>
      <c r="BT52" s="82"/>
      <c r="BU52" s="82"/>
      <c r="BV52" s="82"/>
      <c r="BW52" s="82"/>
      <c r="BX52" s="82"/>
      <c r="BY52" s="82"/>
      <c r="BZ52" s="82"/>
      <c r="CA52" s="82"/>
      <c r="CB52" s="82"/>
      <c r="CC52" s="82"/>
      <c r="CD52" s="82"/>
      <c r="CE52" s="82"/>
      <c r="CF52" s="82"/>
      <c r="CG52" s="82"/>
      <c r="CH52" s="82"/>
      <c r="CI52" s="82"/>
      <c r="CJ52" s="82"/>
      <c r="CK52" s="82"/>
      <c r="CL52" s="82"/>
      <c r="CM52" s="82"/>
      <c r="CN52" s="82"/>
      <c r="CO52" s="82"/>
      <c r="CP52" s="82"/>
      <c r="CQ52" s="82"/>
      <c r="CR52" s="82"/>
      <c r="CS52" s="82"/>
      <c r="CT52" s="82"/>
      <c r="CU52" s="82"/>
      <c r="CV52" s="82"/>
      <c r="CW52" s="82"/>
      <c r="CX52" s="82"/>
      <c r="CY52" s="82"/>
      <c r="CZ52" s="82"/>
      <c r="DA52" s="82"/>
      <c r="DB52" s="82"/>
    </row>
    <row r="53" spans="1:106">
      <c r="A53" s="82"/>
      <c r="B53" s="82"/>
      <c r="C53" s="171"/>
      <c r="D53" s="171"/>
      <c r="E53" s="171"/>
      <c r="F53" s="171"/>
      <c r="G53" s="82"/>
      <c r="H53" s="82"/>
      <c r="I53" s="82"/>
      <c r="J53" s="82"/>
      <c r="K53" s="82"/>
      <c r="L53" s="82"/>
      <c r="M53" s="82"/>
      <c r="N53" s="82"/>
      <c r="O53" s="82"/>
      <c r="P53" s="82"/>
      <c r="Q53" s="321"/>
      <c r="R53" s="322"/>
      <c r="S53" s="323" t="s">
        <v>308</v>
      </c>
      <c r="T53" s="323" t="s">
        <v>435</v>
      </c>
      <c r="U53" s="323" t="s">
        <v>309</v>
      </c>
      <c r="V53" s="322"/>
      <c r="W53" s="323" t="s">
        <v>308</v>
      </c>
      <c r="X53" s="323" t="s">
        <v>435</v>
      </c>
      <c r="Y53" s="324" t="s">
        <v>309</v>
      </c>
      <c r="Z53" s="82"/>
      <c r="AA53" s="82"/>
      <c r="AB53" s="82"/>
      <c r="AC53" s="82"/>
      <c r="AD53" s="82"/>
      <c r="AE53" s="82"/>
      <c r="AF53" s="82"/>
      <c r="AG53" s="82"/>
      <c r="AH53" s="82"/>
      <c r="AI53" s="82"/>
      <c r="AJ53" s="82"/>
      <c r="AK53" s="82"/>
      <c r="AL53" s="82"/>
      <c r="AM53" s="82"/>
      <c r="AN53" s="82"/>
      <c r="AO53" s="82"/>
      <c r="AP53" s="82"/>
      <c r="AQ53" s="330" t="s">
        <v>308</v>
      </c>
      <c r="AR53" s="323" t="s">
        <v>435</v>
      </c>
      <c r="AS53" s="323" t="s">
        <v>309</v>
      </c>
      <c r="AT53" s="322"/>
      <c r="AU53" s="323" t="s">
        <v>308</v>
      </c>
      <c r="AV53" s="323" t="s">
        <v>435</v>
      </c>
      <c r="AW53" s="324" t="s">
        <v>309</v>
      </c>
      <c r="AX53" s="82"/>
      <c r="AY53" s="82"/>
      <c r="AZ53" s="82"/>
      <c r="BA53" s="82"/>
      <c r="BB53" s="82"/>
      <c r="BC53" s="82"/>
      <c r="BD53" s="82"/>
      <c r="BE53" s="82"/>
      <c r="BF53" s="306"/>
      <c r="BG53" s="82"/>
      <c r="BH53" s="82"/>
      <c r="BI53" s="82"/>
      <c r="BJ53" s="82"/>
      <c r="BK53" s="82"/>
      <c r="BL53" s="82"/>
      <c r="BM53" s="82"/>
      <c r="BN53" s="82"/>
      <c r="BO53" s="82"/>
      <c r="BP53" s="82"/>
      <c r="BQ53" s="82"/>
      <c r="BR53" s="82"/>
      <c r="BS53" s="82"/>
      <c r="BT53" s="82"/>
      <c r="BU53" s="82"/>
      <c r="BV53" s="82"/>
      <c r="BW53" s="82"/>
      <c r="BX53" s="82"/>
      <c r="BY53" s="82"/>
      <c r="BZ53" s="82"/>
      <c r="CA53" s="82"/>
      <c r="CB53" s="82"/>
      <c r="CC53" s="82"/>
      <c r="CD53" s="82"/>
      <c r="CE53" s="82"/>
      <c r="CF53" s="82"/>
      <c r="CG53" s="82"/>
      <c r="CH53" s="82"/>
      <c r="CI53" s="82"/>
      <c r="CJ53" s="82"/>
      <c r="CK53" s="82"/>
      <c r="CL53" s="82"/>
      <c r="CM53" s="82"/>
      <c r="CN53" s="82"/>
      <c r="CO53" s="82"/>
      <c r="CP53" s="82"/>
      <c r="CQ53" s="82"/>
      <c r="CR53" s="82"/>
      <c r="CS53" s="82"/>
      <c r="CT53" s="82"/>
      <c r="CU53" s="82"/>
      <c r="CV53" s="82"/>
      <c r="CW53" s="82"/>
      <c r="CX53" s="82"/>
      <c r="CY53" s="82"/>
      <c r="CZ53" s="82"/>
      <c r="DA53" s="82"/>
      <c r="DB53" s="82"/>
    </row>
    <row r="54" spans="1:106" ht="51">
      <c r="A54" s="82"/>
      <c r="B54" s="82"/>
      <c r="C54" s="171"/>
      <c r="D54" s="171"/>
      <c r="E54" s="171"/>
      <c r="F54" s="171"/>
      <c r="G54" s="82"/>
      <c r="H54" s="82"/>
      <c r="I54" s="82"/>
      <c r="J54" s="82"/>
      <c r="K54" s="82"/>
      <c r="L54" s="82"/>
      <c r="M54" s="82"/>
      <c r="N54" s="82"/>
      <c r="O54" s="82"/>
      <c r="P54" s="82"/>
      <c r="Q54" s="325"/>
      <c r="R54" s="82"/>
      <c r="S54" s="311" t="s">
        <v>571</v>
      </c>
      <c r="T54" s="311" t="s">
        <v>573</v>
      </c>
      <c r="U54" s="311" t="s">
        <v>575</v>
      </c>
      <c r="W54" s="311" t="s">
        <v>571</v>
      </c>
      <c r="X54" s="311" t="s">
        <v>573</v>
      </c>
      <c r="Y54" s="311" t="s">
        <v>575</v>
      </c>
      <c r="Z54" s="82"/>
      <c r="AA54" s="156" t="s">
        <v>3450</v>
      </c>
      <c r="AB54" s="156" t="s">
        <v>3451</v>
      </c>
      <c r="AC54" s="156" t="s">
        <v>3452</v>
      </c>
      <c r="AD54" s="82"/>
      <c r="AE54" s="82"/>
      <c r="AF54" s="82"/>
      <c r="AG54" s="82"/>
      <c r="AH54" s="82"/>
      <c r="AI54" s="82"/>
      <c r="AJ54" s="82"/>
      <c r="AK54" s="82"/>
      <c r="AL54" s="82"/>
      <c r="AM54" s="82"/>
      <c r="AN54" s="82"/>
      <c r="AO54" s="82"/>
      <c r="AP54" s="82"/>
      <c r="AQ54" s="311" t="s">
        <v>572</v>
      </c>
      <c r="AR54" s="311" t="s">
        <v>574</v>
      </c>
      <c r="AS54" s="311" t="s">
        <v>576</v>
      </c>
      <c r="AT54" s="82"/>
      <c r="AU54" s="311" t="s">
        <v>572</v>
      </c>
      <c r="AV54" s="311" t="s">
        <v>574</v>
      </c>
      <c r="AW54" s="311" t="s">
        <v>576</v>
      </c>
      <c r="AX54" s="82"/>
      <c r="AY54" s="82"/>
      <c r="AZ54" s="82"/>
      <c r="BA54" s="82"/>
      <c r="BB54" s="82"/>
      <c r="BC54" s="82"/>
      <c r="BD54" s="82"/>
      <c r="BE54" s="82"/>
      <c r="BF54" s="306"/>
      <c r="BG54" s="82"/>
      <c r="BH54" s="82"/>
      <c r="BI54" s="82"/>
      <c r="BJ54" s="82"/>
      <c r="BK54" s="82"/>
      <c r="BL54" s="82"/>
      <c r="BM54" s="82"/>
      <c r="BN54" s="82"/>
      <c r="BO54" s="82"/>
      <c r="BP54" s="82"/>
      <c r="BQ54" s="82"/>
      <c r="BR54" s="82"/>
      <c r="BS54" s="82"/>
      <c r="BT54" s="82"/>
      <c r="BU54" s="82"/>
      <c r="BV54" s="82"/>
      <c r="BW54" s="82"/>
      <c r="BX54" s="82"/>
      <c r="BY54" s="82"/>
      <c r="BZ54" s="82"/>
      <c r="CA54" s="82"/>
      <c r="CB54" s="82"/>
      <c r="CC54" s="82"/>
      <c r="CD54" s="82"/>
      <c r="CE54" s="82"/>
      <c r="CF54" s="82"/>
      <c r="CG54" s="82"/>
      <c r="CH54" s="82"/>
      <c r="CI54" s="82"/>
      <c r="CJ54" s="82"/>
      <c r="CK54" s="82"/>
      <c r="CL54" s="82"/>
      <c r="CM54" s="82"/>
      <c r="CN54" s="82"/>
      <c r="CO54" s="82"/>
      <c r="CP54" s="82"/>
      <c r="CQ54" s="82"/>
      <c r="CR54" s="82"/>
      <c r="CS54" s="82"/>
      <c r="CT54" s="82"/>
      <c r="CU54" s="82"/>
      <c r="CV54" s="82"/>
      <c r="CW54" s="82"/>
      <c r="CX54" s="82"/>
      <c r="CY54" s="82"/>
      <c r="CZ54" s="82"/>
      <c r="DA54" s="82"/>
      <c r="DB54" s="82"/>
    </row>
    <row r="55" spans="1:106">
      <c r="A55" s="82"/>
      <c r="B55" s="82"/>
      <c r="C55" s="171"/>
      <c r="D55" s="171"/>
      <c r="E55" s="171"/>
      <c r="F55" s="171"/>
      <c r="G55" s="82"/>
      <c r="H55" s="82"/>
      <c r="I55" s="82"/>
      <c r="J55" s="82"/>
      <c r="K55" s="82"/>
      <c r="L55" s="82"/>
      <c r="M55" s="82"/>
      <c r="N55" s="82"/>
      <c r="O55" s="82"/>
      <c r="P55" s="82"/>
      <c r="Q55" s="791">
        <v>1</v>
      </c>
      <c r="R55" s="82"/>
      <c r="S55" s="314">
        <f>S3</f>
        <v>9.3979999999999997</v>
      </c>
      <c r="T55" s="314">
        <f>T3</f>
        <v>13.462</v>
      </c>
      <c r="U55" s="314">
        <f>U3</f>
        <v>17.526</v>
      </c>
      <c r="V55" s="82"/>
      <c r="W55" s="82"/>
      <c r="X55" s="82"/>
      <c r="Y55" s="326"/>
      <c r="Z55" s="82"/>
      <c r="AA55" s="226">
        <f>IF(AA3=0,0,-AA3-'GPS Anthro Tool'!$B$42)</f>
        <v>-10.121395999999999</v>
      </c>
      <c r="AB55" s="226">
        <f>IF(AB3=0,0,-AB3-'GPS Anthro Tool'!$B$42)</f>
        <v>-11.64184</v>
      </c>
      <c r="AC55" s="226">
        <f>IF(AC3=0,0,-AC3-'GPS Anthro Tool'!$B$42)</f>
        <v>-13.162284</v>
      </c>
      <c r="AD55" s="82"/>
      <c r="AE55" s="82"/>
      <c r="AF55" s="82"/>
      <c r="AG55" s="82"/>
      <c r="AH55" s="82"/>
      <c r="AI55" s="82"/>
      <c r="AJ55" s="82"/>
      <c r="AK55" s="82"/>
      <c r="AL55" s="82"/>
      <c r="AM55" s="82"/>
      <c r="AN55" s="82"/>
      <c r="AO55" s="82"/>
      <c r="AP55" s="82"/>
      <c r="AQ55" s="314">
        <f>AQ3</f>
        <v>3.0480000000000005</v>
      </c>
      <c r="AR55" s="314">
        <f>AR3</f>
        <v>5.3340000000000005</v>
      </c>
      <c r="AS55" s="314">
        <f>AS3</f>
        <v>7.620000000000001</v>
      </c>
      <c r="AT55" s="82"/>
      <c r="AU55" s="82"/>
      <c r="AV55" s="82"/>
      <c r="AW55" s="326"/>
      <c r="AX55" s="82"/>
      <c r="AY55" s="82"/>
      <c r="AZ55" s="82"/>
      <c r="BA55" s="82"/>
      <c r="BB55" s="82"/>
      <c r="BC55" s="82"/>
      <c r="BD55" s="82"/>
      <c r="BE55" s="82"/>
      <c r="BF55" s="306"/>
      <c r="BG55" s="82"/>
      <c r="BH55" s="82"/>
      <c r="BI55" s="82"/>
      <c r="BJ55" s="82"/>
      <c r="BK55" s="82"/>
      <c r="BL55" s="82"/>
      <c r="BM55" s="82"/>
      <c r="BN55" s="82"/>
      <c r="BO55" s="82"/>
      <c r="BP55" s="82"/>
      <c r="BQ55" s="82"/>
      <c r="BR55" s="82"/>
      <c r="BS55" s="82"/>
      <c r="BT55" s="82"/>
      <c r="BU55" s="82"/>
      <c r="BV55" s="82"/>
      <c r="BW55" s="82"/>
      <c r="BX55" s="82"/>
      <c r="BY55" s="82"/>
      <c r="BZ55" s="82"/>
      <c r="CA55" s="82"/>
      <c r="CB55" s="82"/>
      <c r="CC55" s="82"/>
      <c r="CD55" s="82"/>
      <c r="CE55" s="82"/>
      <c r="CF55" s="82"/>
      <c r="CG55" s="82"/>
      <c r="CH55" s="82"/>
      <c r="CI55" s="82"/>
      <c r="CJ55" s="82"/>
      <c r="CK55" s="82"/>
      <c r="CL55" s="82"/>
      <c r="CM55" s="82"/>
      <c r="CN55" s="82"/>
      <c r="CO55" s="82"/>
      <c r="CP55" s="82"/>
      <c r="CQ55" s="82"/>
      <c r="CR55" s="82"/>
      <c r="CS55" s="82"/>
      <c r="CT55" s="82"/>
      <c r="CU55" s="82"/>
      <c r="CV55" s="82"/>
      <c r="CW55" s="82"/>
      <c r="CX55" s="82"/>
      <c r="CY55" s="82"/>
      <c r="CZ55" s="82"/>
      <c r="DA55" s="82"/>
      <c r="DB55" s="82"/>
    </row>
    <row r="56" spans="1:106">
      <c r="A56" s="82"/>
      <c r="B56" s="82"/>
      <c r="C56" s="171"/>
      <c r="D56" s="171"/>
      <c r="E56" s="171"/>
      <c r="F56" s="171"/>
      <c r="G56" s="82"/>
      <c r="H56" s="82"/>
      <c r="I56" s="82"/>
      <c r="J56" s="82"/>
      <c r="K56" s="82"/>
      <c r="L56" s="82"/>
      <c r="M56" s="82"/>
      <c r="N56" s="82"/>
      <c r="O56" s="82"/>
      <c r="P56" s="82"/>
      <c r="Q56" s="792"/>
      <c r="R56" s="82"/>
      <c r="S56" s="315">
        <f>S18</f>
        <v>0</v>
      </c>
      <c r="T56" s="315">
        <f>T18</f>
        <v>0</v>
      </c>
      <c r="U56" s="315">
        <f>U18</f>
        <v>0</v>
      </c>
      <c r="V56" s="82"/>
      <c r="W56" s="327">
        <f>IFERROR((SMALL(S55:S57,COUNTIF(S55:S57,0)+1)+MAX(S55:S57))/2,0)</f>
        <v>9.3979999999999997</v>
      </c>
      <c r="X56" s="327">
        <f>IFERROR((SMALL(T55:T57,COUNTIF(T55:T57,0)+1)+MAX(T55:T57))/2,0)</f>
        <v>13.462</v>
      </c>
      <c r="Y56" s="328">
        <f>IFERROR((SMALL(U55:U57,COUNTIF(U55:U57,0)+1)+MAX(U55:U57))/2,0)</f>
        <v>17.526</v>
      </c>
      <c r="Z56" s="82"/>
      <c r="AA56" s="226">
        <f>IF(AA4=0,0,-AA4-'GPS Anthro Tool'!$B$42)</f>
        <v>-10.90016</v>
      </c>
      <c r="AB56" s="226">
        <f>IF(AB4=0,0,-AB4-'GPS Anthro Tool'!$B$42)</f>
        <v>-12.383520000000001</v>
      </c>
      <c r="AC56" s="226">
        <f>IF(AC4=0,0,-AC4-'GPS Anthro Tool'!$B$42)</f>
        <v>0</v>
      </c>
      <c r="AD56" s="82"/>
      <c r="AE56" s="82"/>
      <c r="AF56" s="82"/>
      <c r="AG56" s="82"/>
      <c r="AH56" s="82"/>
      <c r="AI56" s="82"/>
      <c r="AJ56" s="82"/>
      <c r="AK56" s="82"/>
      <c r="AL56" s="82"/>
      <c r="AM56" s="82"/>
      <c r="AN56" s="82"/>
      <c r="AO56" s="82"/>
      <c r="AP56" s="82"/>
      <c r="AQ56" s="315">
        <f>AQ18</f>
        <v>0</v>
      </c>
      <c r="AR56" s="315">
        <f>AR18</f>
        <v>0</v>
      </c>
      <c r="AS56" s="315">
        <f>AS18</f>
        <v>0</v>
      </c>
      <c r="AT56" s="82"/>
      <c r="AU56" s="327">
        <f>IFERROR((SMALL(AQ55:AQ57,COUNTIF(AQ55:AQ57,0)+1)+MAX(AQ55:AQ57))/2,0)</f>
        <v>3.0480000000000005</v>
      </c>
      <c r="AV56" s="327">
        <f>IFERROR((SMALL(AR55:AR57,COUNTIF(AR55:AR57,0)+1)+MAX(AR55:AR57))/2,0)</f>
        <v>5.3340000000000005</v>
      </c>
      <c r="AW56" s="328">
        <f>IFERROR((SMALL(AS55:AS57,COUNTIF(AS55:AS57,0)+1)+MAX(AS55:AS57))/2,0)</f>
        <v>7.620000000000001</v>
      </c>
      <c r="AX56" s="82"/>
      <c r="AY56" s="82"/>
      <c r="AZ56" s="82"/>
      <c r="BA56" s="82"/>
      <c r="BB56" s="82"/>
      <c r="BC56" s="82"/>
      <c r="BD56" s="82"/>
      <c r="BE56" s="82"/>
      <c r="BF56" s="306"/>
      <c r="BG56" s="82"/>
      <c r="BH56" s="82"/>
      <c r="BI56" s="82"/>
      <c r="BJ56" s="82"/>
      <c r="BK56" s="82"/>
      <c r="BL56" s="82"/>
      <c r="BM56" s="82"/>
      <c r="BN56" s="82"/>
      <c r="BO56" s="82"/>
      <c r="BP56" s="82"/>
      <c r="BQ56" s="82"/>
      <c r="BR56" s="82"/>
      <c r="BS56" s="82"/>
      <c r="BT56" s="82"/>
      <c r="BU56" s="82"/>
      <c r="BV56" s="82"/>
      <c r="BW56" s="82"/>
      <c r="BX56" s="82"/>
      <c r="BY56" s="82"/>
      <c r="BZ56" s="82"/>
      <c r="CA56" s="82"/>
      <c r="CB56" s="82"/>
      <c r="CC56" s="82"/>
      <c r="CD56" s="82"/>
      <c r="CE56" s="82"/>
      <c r="CF56" s="82"/>
      <c r="CG56" s="82"/>
      <c r="CH56" s="82"/>
      <c r="CI56" s="82"/>
      <c r="CJ56" s="82"/>
      <c r="CK56" s="82"/>
      <c r="CL56" s="82"/>
      <c r="CM56" s="82"/>
      <c r="CN56" s="82"/>
      <c r="CO56" s="82"/>
      <c r="CP56" s="82"/>
      <c r="CQ56" s="82"/>
      <c r="CR56" s="82"/>
      <c r="CS56" s="82"/>
      <c r="CT56" s="82"/>
      <c r="CU56" s="82"/>
      <c r="CV56" s="82"/>
      <c r="CW56" s="82"/>
      <c r="CX56" s="82"/>
      <c r="CY56" s="82"/>
      <c r="CZ56" s="82"/>
      <c r="DA56" s="82"/>
      <c r="DB56" s="82"/>
    </row>
    <row r="57" spans="1:106">
      <c r="A57" s="82"/>
      <c r="B57" s="82"/>
      <c r="C57" s="171"/>
      <c r="D57" s="171"/>
      <c r="E57" s="171"/>
      <c r="F57" s="171"/>
      <c r="G57" s="82"/>
      <c r="H57" s="82"/>
      <c r="I57" s="82"/>
      <c r="J57" s="82"/>
      <c r="K57" s="82"/>
      <c r="L57" s="82"/>
      <c r="M57" s="82"/>
      <c r="N57" s="82"/>
      <c r="O57" s="82"/>
      <c r="P57" s="82"/>
      <c r="Q57" s="793"/>
      <c r="R57" s="82"/>
      <c r="S57" s="316">
        <f>S32</f>
        <v>0</v>
      </c>
      <c r="T57" s="316">
        <f>T32</f>
        <v>0</v>
      </c>
      <c r="U57" s="316">
        <f>U32</f>
        <v>0</v>
      </c>
      <c r="V57" s="82"/>
      <c r="W57" s="86"/>
      <c r="X57" s="86"/>
      <c r="Y57" s="329"/>
      <c r="Z57" s="82"/>
      <c r="AA57" s="226">
        <f>IF(AA5=0,0,-AA5-'GPS Anthro Tool'!$B$42)</f>
        <v>-11.419335999999999</v>
      </c>
      <c r="AB57" s="226">
        <f>IF(AB5=0,0,-AB5-'GPS Anthro Tool'!$B$42)</f>
        <v>-12.939780000000001</v>
      </c>
      <c r="AC57" s="226">
        <f>IF(AC5=0,0,-AC5-'GPS Anthro Tool'!$B$42)</f>
        <v>0</v>
      </c>
      <c r="AD57" s="82"/>
      <c r="AE57" s="82"/>
      <c r="AF57" s="82"/>
      <c r="AG57" s="82"/>
      <c r="AH57" s="82"/>
      <c r="AI57" s="82"/>
      <c r="AJ57" s="82"/>
      <c r="AK57" s="82"/>
      <c r="AL57" s="82"/>
      <c r="AM57" s="82"/>
      <c r="AN57" s="82"/>
      <c r="AO57" s="82"/>
      <c r="AP57" s="82"/>
      <c r="AQ57" s="316">
        <f>AQ32</f>
        <v>0</v>
      </c>
      <c r="AR57" s="316">
        <f>AR32</f>
        <v>0</v>
      </c>
      <c r="AS57" s="316">
        <f>AS32</f>
        <v>0</v>
      </c>
      <c r="AT57" s="82"/>
      <c r="AU57" s="86"/>
      <c r="AV57" s="86"/>
      <c r="AW57" s="329"/>
      <c r="AX57" s="82"/>
      <c r="AY57" s="82"/>
      <c r="AZ57" s="82"/>
      <c r="BA57" s="82"/>
      <c r="BB57" s="82"/>
      <c r="BC57" s="82"/>
      <c r="BD57" s="82"/>
      <c r="BE57" s="82"/>
      <c r="BF57" s="306"/>
      <c r="BG57" s="82"/>
      <c r="BH57" s="82"/>
      <c r="BI57" s="82"/>
      <c r="BJ57" s="82"/>
      <c r="BK57" s="82"/>
      <c r="BL57" s="82"/>
      <c r="BM57" s="82"/>
      <c r="BN57" s="82"/>
      <c r="BO57" s="82"/>
      <c r="BP57" s="82"/>
      <c r="BQ57" s="82"/>
      <c r="BR57" s="82"/>
      <c r="BS57" s="82"/>
      <c r="BT57" s="82"/>
      <c r="BU57" s="82"/>
      <c r="BV57" s="82"/>
      <c r="BW57" s="82"/>
      <c r="BX57" s="82"/>
      <c r="BY57" s="82"/>
      <c r="BZ57" s="82"/>
      <c r="CA57" s="82"/>
      <c r="CB57" s="82"/>
      <c r="CC57" s="82"/>
      <c r="CD57" s="82"/>
      <c r="CE57" s="82"/>
      <c r="CF57" s="82"/>
      <c r="CG57" s="82"/>
      <c r="CH57" s="82"/>
      <c r="CI57" s="82"/>
      <c r="CJ57" s="82"/>
      <c r="CK57" s="82"/>
      <c r="CL57" s="82"/>
      <c r="CM57" s="82"/>
      <c r="CN57" s="82"/>
      <c r="CO57" s="82"/>
      <c r="CP57" s="82"/>
      <c r="CQ57" s="82"/>
      <c r="CR57" s="82"/>
      <c r="CS57" s="82"/>
      <c r="CT57" s="82"/>
      <c r="CU57" s="82"/>
      <c r="CV57" s="82"/>
      <c r="CW57" s="82"/>
      <c r="CX57" s="82"/>
      <c r="CY57" s="82"/>
      <c r="CZ57" s="82"/>
      <c r="DA57" s="82"/>
      <c r="DB57" s="82"/>
    </row>
    <row r="58" spans="1:106">
      <c r="A58" s="82"/>
      <c r="B58" s="82"/>
      <c r="C58" s="171"/>
      <c r="D58" s="171"/>
      <c r="E58" s="171"/>
      <c r="F58" s="171"/>
      <c r="G58" s="82"/>
      <c r="H58" s="82"/>
      <c r="I58" s="82"/>
      <c r="J58" s="82"/>
      <c r="K58" s="82"/>
      <c r="L58" s="82"/>
      <c r="M58" s="82"/>
      <c r="N58" s="82"/>
      <c r="O58" s="82"/>
      <c r="P58" s="82"/>
      <c r="Q58" s="791">
        <v>2</v>
      </c>
      <c r="R58" s="82"/>
      <c r="S58" s="314">
        <f>S4</f>
        <v>12.446</v>
      </c>
      <c r="T58" s="314">
        <f>T4</f>
        <v>15.494</v>
      </c>
      <c r="U58" s="314">
        <f>U4</f>
        <v>0</v>
      </c>
      <c r="V58" s="82"/>
      <c r="W58" s="86"/>
      <c r="X58" s="86"/>
      <c r="Y58" s="329"/>
      <c r="Z58" s="82"/>
      <c r="AA58" s="226">
        <f>IF(AA6=0,0,-AA6-'GPS Anthro Tool'!$B$42)</f>
        <v>-11.493504</v>
      </c>
      <c r="AB58" s="226">
        <f>IF(AB6=0,0,-AB6-'GPS Anthro Tool'!$B$42)</f>
        <v>0</v>
      </c>
      <c r="AC58" s="226">
        <f>IF(AC6=0,0,-AC6-'GPS Anthro Tool'!$B$42)</f>
        <v>0</v>
      </c>
      <c r="AD58" s="82"/>
      <c r="AE58" s="82"/>
      <c r="AF58" s="82"/>
      <c r="AG58" s="82"/>
      <c r="AH58" s="82"/>
      <c r="AI58" s="82"/>
      <c r="AJ58" s="82"/>
      <c r="AK58" s="82"/>
      <c r="AL58" s="82"/>
      <c r="AM58" s="82"/>
      <c r="AN58" s="82"/>
      <c r="AO58" s="82"/>
      <c r="AP58" s="82"/>
      <c r="AQ58" s="314">
        <f>AQ4</f>
        <v>3.3019999999999996</v>
      </c>
      <c r="AR58" s="314">
        <f>AR4</f>
        <v>6.35</v>
      </c>
      <c r="AS58" s="314">
        <f>AS4</f>
        <v>0</v>
      </c>
      <c r="AT58" s="82"/>
      <c r="AU58" s="86"/>
      <c r="AV58" s="86"/>
      <c r="AW58" s="329"/>
      <c r="AX58" s="82"/>
      <c r="AY58" s="82"/>
      <c r="AZ58" s="82"/>
      <c r="BA58" s="82"/>
      <c r="BB58" s="82"/>
      <c r="BC58" s="82"/>
      <c r="BD58" s="82"/>
      <c r="BE58" s="82"/>
      <c r="BF58" s="306"/>
      <c r="BG58" s="82"/>
      <c r="BH58" s="82"/>
      <c r="BI58" s="82"/>
      <c r="BJ58" s="82"/>
      <c r="BK58" s="82"/>
      <c r="BL58" s="82"/>
      <c r="BM58" s="82"/>
      <c r="BN58" s="82"/>
      <c r="BO58" s="82"/>
      <c r="BP58" s="82"/>
      <c r="BQ58" s="82"/>
      <c r="BR58" s="82"/>
      <c r="BS58" s="82"/>
      <c r="BT58" s="82"/>
      <c r="BU58" s="82"/>
      <c r="BV58" s="82"/>
      <c r="BW58" s="82"/>
      <c r="BX58" s="82"/>
      <c r="BY58" s="82"/>
      <c r="BZ58" s="82"/>
      <c r="CA58" s="82"/>
      <c r="CB58" s="82"/>
      <c r="CC58" s="82"/>
      <c r="CD58" s="82"/>
      <c r="CE58" s="82"/>
      <c r="CF58" s="82"/>
      <c r="CG58" s="82"/>
      <c r="CH58" s="82"/>
      <c r="CI58" s="82"/>
      <c r="CJ58" s="82"/>
      <c r="CK58" s="82"/>
      <c r="CL58" s="82"/>
      <c r="CM58" s="82"/>
      <c r="CN58" s="82"/>
      <c r="CO58" s="82"/>
      <c r="CP58" s="82"/>
      <c r="CQ58" s="82"/>
      <c r="CR58" s="82"/>
      <c r="CS58" s="82"/>
      <c r="CT58" s="82"/>
      <c r="CU58" s="82"/>
      <c r="CV58" s="82"/>
      <c r="CW58" s="82"/>
      <c r="CX58" s="82"/>
      <c r="CY58" s="82"/>
      <c r="CZ58" s="82"/>
      <c r="DA58" s="82"/>
      <c r="DB58" s="82"/>
    </row>
    <row r="59" spans="1:106">
      <c r="A59" s="82"/>
      <c r="B59" s="82"/>
      <c r="C59" s="171"/>
      <c r="D59" s="171"/>
      <c r="E59" s="171"/>
      <c r="F59" s="171"/>
      <c r="G59" s="82"/>
      <c r="H59" s="82"/>
      <c r="I59" s="82"/>
      <c r="J59" s="82"/>
      <c r="K59" s="82"/>
      <c r="L59" s="82"/>
      <c r="M59" s="82"/>
      <c r="N59" s="82"/>
      <c r="O59" s="82"/>
      <c r="P59" s="82"/>
      <c r="Q59" s="792"/>
      <c r="R59" s="82"/>
      <c r="S59" s="317">
        <f>S19</f>
        <v>0</v>
      </c>
      <c r="T59" s="317">
        <f>T19</f>
        <v>0</v>
      </c>
      <c r="U59" s="317">
        <f>U19</f>
        <v>0</v>
      </c>
      <c r="V59" s="82"/>
      <c r="W59" s="327">
        <f>IFERROR((SMALL(S58:S60,COUNTIF(S58:S60,0)+1)+MAX(S58:S60))/2,0)</f>
        <v>12.446</v>
      </c>
      <c r="X59" s="327">
        <f>IFERROR((SMALL(T58:T60,COUNTIF(T58:T60,0)+1)+MAX(T58:T60))/2,0)</f>
        <v>15.494</v>
      </c>
      <c r="Y59" s="328">
        <f>IFERROR((SMALL(U58:U60,COUNTIF(U58:U60,0)+1)+MAX(U58:U60))/2,0)</f>
        <v>0</v>
      </c>
      <c r="Z59" s="82"/>
      <c r="AA59" s="226">
        <f>IF(AA7=0,0,-AA7-'GPS Anthro Tool'!$B$42)</f>
        <v>0</v>
      </c>
      <c r="AB59" s="226">
        <f>IF(AB7=0,0,-AB7-'GPS Anthro Tool'!$B$42)</f>
        <v>0</v>
      </c>
      <c r="AC59" s="226">
        <f>IF(AC7=0,0,-AC7-'GPS Anthro Tool'!$B$42)</f>
        <v>0</v>
      </c>
      <c r="AD59" s="82"/>
      <c r="AE59" s="82"/>
      <c r="AF59" s="82"/>
      <c r="AG59" s="82"/>
      <c r="AH59" s="82"/>
      <c r="AI59" s="82"/>
      <c r="AJ59" s="82"/>
      <c r="AK59" s="82"/>
      <c r="AL59" s="82"/>
      <c r="AM59" s="82"/>
      <c r="AN59" s="82"/>
      <c r="AO59" s="82"/>
      <c r="AP59" s="82"/>
      <c r="AQ59" s="317">
        <f>AQ19</f>
        <v>0</v>
      </c>
      <c r="AR59" s="317">
        <f>AR19</f>
        <v>0</v>
      </c>
      <c r="AS59" s="317">
        <f>AS19</f>
        <v>0</v>
      </c>
      <c r="AT59" s="82"/>
      <c r="AU59" s="327">
        <f>IFERROR((SMALL(AQ58:AQ60,COUNTIF(AQ58:AQ60,0)+1)+MAX(AQ58:AQ60))/2,0)</f>
        <v>3.3019999999999996</v>
      </c>
      <c r="AV59" s="327">
        <f>IFERROR((SMALL(AR58:AR60,COUNTIF(AR58:AR60,0)+1)+MAX(AR58:AR60))/2,0)</f>
        <v>6.35</v>
      </c>
      <c r="AW59" s="328">
        <f>IFERROR((SMALL(AS58:AS60,COUNTIF(AS58:AS60,0)+1)+MAX(AS58:AS60))/2,0)</f>
        <v>0</v>
      </c>
      <c r="AX59" s="82"/>
      <c r="AY59" s="82"/>
      <c r="AZ59" s="82"/>
      <c r="BA59" s="82"/>
      <c r="BB59" s="82"/>
      <c r="BC59" s="82"/>
      <c r="BD59" s="82"/>
      <c r="BE59" s="82"/>
      <c r="BF59" s="306"/>
      <c r="BG59" s="82"/>
      <c r="BH59" s="82"/>
      <c r="BI59" s="82"/>
      <c r="BJ59" s="82"/>
      <c r="BK59" s="82"/>
      <c r="BL59" s="82"/>
      <c r="BM59" s="82"/>
      <c r="BN59" s="82"/>
      <c r="BO59" s="82"/>
      <c r="BP59" s="82"/>
      <c r="BQ59" s="82"/>
      <c r="BR59" s="82"/>
      <c r="BS59" s="82"/>
      <c r="BT59" s="82"/>
      <c r="BU59" s="82"/>
      <c r="BV59" s="82"/>
      <c r="BW59" s="82"/>
      <c r="BX59" s="82"/>
      <c r="BY59" s="82"/>
      <c r="BZ59" s="82"/>
      <c r="CA59" s="82"/>
      <c r="CB59" s="82"/>
      <c r="CC59" s="82"/>
      <c r="CD59" s="82"/>
      <c r="CE59" s="82"/>
      <c r="CF59" s="82"/>
      <c r="CG59" s="82"/>
      <c r="CH59" s="82"/>
      <c r="CI59" s="82"/>
      <c r="CJ59" s="82"/>
      <c r="CK59" s="82"/>
      <c r="CL59" s="82"/>
      <c r="CM59" s="82"/>
      <c r="CN59" s="82"/>
      <c r="CO59" s="82"/>
      <c r="CP59" s="82"/>
      <c r="CQ59" s="82"/>
      <c r="CR59" s="82"/>
      <c r="CS59" s="82"/>
      <c r="CT59" s="82"/>
      <c r="CU59" s="82"/>
      <c r="CV59" s="82"/>
      <c r="CW59" s="82"/>
      <c r="CX59" s="82"/>
      <c r="CY59" s="82"/>
      <c r="CZ59" s="82"/>
      <c r="DA59" s="82"/>
      <c r="DB59" s="82"/>
    </row>
    <row r="60" spans="1:106">
      <c r="A60" s="82"/>
      <c r="B60" s="82"/>
      <c r="C60" s="171"/>
      <c r="D60" s="171"/>
      <c r="E60" s="171"/>
      <c r="F60" s="171"/>
      <c r="G60" s="82"/>
      <c r="H60" s="82"/>
      <c r="I60" s="82"/>
      <c r="J60" s="82"/>
      <c r="K60" s="82"/>
      <c r="L60" s="82"/>
      <c r="M60" s="82"/>
      <c r="N60" s="82"/>
      <c r="O60" s="82"/>
      <c r="P60" s="82"/>
      <c r="Q60" s="793"/>
      <c r="R60" s="82"/>
      <c r="S60" s="316">
        <f>S33</f>
        <v>0</v>
      </c>
      <c r="T60" s="316">
        <f>T33</f>
        <v>0</v>
      </c>
      <c r="U60" s="316">
        <f>U33</f>
        <v>0</v>
      </c>
      <c r="V60" s="82"/>
      <c r="W60" s="86"/>
      <c r="X60" s="86"/>
      <c r="Y60" s="329"/>
      <c r="Z60" s="82"/>
      <c r="AA60" s="226">
        <f>IF(AA8=0,0,-AA8-'GPS Anthro Tool'!$B$42)</f>
        <v>0</v>
      </c>
      <c r="AB60" s="226">
        <f>IF(AB8=0,0,-AB8-'GPS Anthro Tool'!$B$42)</f>
        <v>0</v>
      </c>
      <c r="AC60" s="226">
        <f>IF(AC8=0,0,-AC8-'GPS Anthro Tool'!$B$42)</f>
        <v>0</v>
      </c>
      <c r="AD60" s="82"/>
      <c r="AE60" s="82"/>
      <c r="AF60" s="82"/>
      <c r="AG60" s="82"/>
      <c r="AH60" s="82"/>
      <c r="AI60" s="82"/>
      <c r="AJ60" s="82"/>
      <c r="AK60" s="82"/>
      <c r="AL60" s="82"/>
      <c r="AM60" s="82"/>
      <c r="AN60" s="82"/>
      <c r="AO60" s="82"/>
      <c r="AP60" s="82"/>
      <c r="AQ60" s="316">
        <f>AQ33</f>
        <v>0</v>
      </c>
      <c r="AR60" s="316">
        <f>AR33</f>
        <v>0</v>
      </c>
      <c r="AS60" s="316">
        <f>AS33</f>
        <v>0</v>
      </c>
      <c r="AT60" s="82"/>
      <c r="AU60" s="86"/>
      <c r="AV60" s="86"/>
      <c r="AW60" s="329"/>
      <c r="AX60" s="82"/>
      <c r="AY60" s="82"/>
      <c r="AZ60" s="82"/>
      <c r="BA60" s="82"/>
      <c r="BB60" s="82"/>
      <c r="BC60" s="82"/>
      <c r="BD60" s="82"/>
      <c r="BE60" s="82"/>
      <c r="BF60" s="306"/>
      <c r="BG60" s="82"/>
      <c r="BH60" s="82"/>
      <c r="BI60" s="82"/>
      <c r="BJ60" s="82"/>
      <c r="BK60" s="82"/>
      <c r="BL60" s="82"/>
      <c r="BM60" s="82"/>
      <c r="BN60" s="82"/>
      <c r="BO60" s="82"/>
      <c r="BP60" s="82"/>
      <c r="BQ60" s="82"/>
      <c r="BR60" s="82"/>
      <c r="BS60" s="82"/>
      <c r="BT60" s="82"/>
      <c r="BU60" s="82"/>
      <c r="BV60" s="82"/>
      <c r="BW60" s="82"/>
      <c r="BX60" s="82"/>
      <c r="BY60" s="82"/>
      <c r="BZ60" s="82"/>
      <c r="CA60" s="82"/>
      <c r="CB60" s="82"/>
      <c r="CC60" s="82"/>
      <c r="CD60" s="82"/>
      <c r="CE60" s="82"/>
      <c r="CF60" s="82"/>
      <c r="CG60" s="82"/>
      <c r="CH60" s="82"/>
      <c r="CI60" s="82"/>
      <c r="CJ60" s="82"/>
      <c r="CK60" s="82"/>
      <c r="CL60" s="82"/>
      <c r="CM60" s="82"/>
      <c r="CN60" s="82"/>
      <c r="CO60" s="82"/>
      <c r="CP60" s="82"/>
      <c r="CQ60" s="82"/>
      <c r="CR60" s="82"/>
      <c r="CS60" s="82"/>
      <c r="CT60" s="82"/>
      <c r="CU60" s="82"/>
      <c r="CV60" s="82"/>
      <c r="CW60" s="82"/>
      <c r="CX60" s="82"/>
      <c r="CY60" s="82"/>
      <c r="CZ60" s="82"/>
      <c r="DA60" s="82"/>
      <c r="DB60" s="82"/>
    </row>
    <row r="61" spans="1:106">
      <c r="A61" s="82"/>
      <c r="B61" s="82"/>
      <c r="C61" s="171"/>
      <c r="D61" s="171"/>
      <c r="E61" s="171"/>
      <c r="F61" s="171"/>
      <c r="G61" s="82"/>
      <c r="H61" s="82"/>
      <c r="I61" s="82"/>
      <c r="J61" s="82"/>
      <c r="K61" s="82"/>
      <c r="L61" s="82"/>
      <c r="M61" s="82"/>
      <c r="N61" s="82"/>
      <c r="O61" s="82"/>
      <c r="P61" s="82"/>
      <c r="Q61" s="791">
        <v>3</v>
      </c>
      <c r="R61" s="82"/>
      <c r="S61" s="314">
        <f>S5</f>
        <v>14.986000000000001</v>
      </c>
      <c r="T61" s="314">
        <f>T5</f>
        <v>17.018000000000001</v>
      </c>
      <c r="U61" s="314">
        <f>U5</f>
        <v>0</v>
      </c>
      <c r="V61" s="82"/>
      <c r="W61" s="86"/>
      <c r="X61" s="86"/>
      <c r="Y61" s="329"/>
      <c r="Z61" s="82"/>
      <c r="AA61" s="226">
        <f>IF(AA9=0,0,-AA9-'GPS Anthro Tool'!$B$42)</f>
        <v>0</v>
      </c>
      <c r="AB61" s="226">
        <f>IF(AB9=0,0,-AB9-'GPS Anthro Tool'!$B$42)</f>
        <v>0</v>
      </c>
      <c r="AC61" s="226">
        <f>IF(AC9=0,0,-AC9-'GPS Anthro Tool'!$B$42)</f>
        <v>0</v>
      </c>
      <c r="AD61" s="82"/>
      <c r="AE61" s="82"/>
      <c r="AF61" s="82"/>
      <c r="AG61" s="82"/>
      <c r="AH61" s="82"/>
      <c r="AI61" s="82"/>
      <c r="AJ61" s="82"/>
      <c r="AK61" s="82"/>
      <c r="AL61" s="82"/>
      <c r="AM61" s="82"/>
      <c r="AN61" s="82"/>
      <c r="AO61" s="82"/>
      <c r="AP61" s="82"/>
      <c r="AQ61" s="314">
        <f>AQ5</f>
        <v>3.8100000000000005</v>
      </c>
      <c r="AR61" s="314">
        <f>AR5</f>
        <v>6.8580000000000005</v>
      </c>
      <c r="AS61" s="314">
        <f>AS5</f>
        <v>0</v>
      </c>
      <c r="AT61" s="82"/>
      <c r="AU61" s="86"/>
      <c r="AV61" s="86"/>
      <c r="AW61" s="329"/>
      <c r="AX61" s="82"/>
      <c r="AY61" s="82"/>
      <c r="AZ61" s="82"/>
      <c r="BA61" s="82"/>
      <c r="BB61" s="82"/>
      <c r="BC61" s="82"/>
      <c r="BD61" s="82"/>
      <c r="BE61" s="82"/>
      <c r="BF61" s="306"/>
      <c r="BG61" s="82"/>
      <c r="BH61" s="82"/>
      <c r="BI61" s="82"/>
      <c r="BJ61" s="82"/>
      <c r="BK61" s="82"/>
      <c r="BL61" s="82"/>
      <c r="BM61" s="82"/>
      <c r="BN61" s="82"/>
      <c r="BO61" s="82"/>
      <c r="BP61" s="82"/>
      <c r="BQ61" s="82"/>
      <c r="BR61" s="82"/>
      <c r="BS61" s="82"/>
      <c r="BT61" s="82"/>
      <c r="BU61" s="82"/>
      <c r="BV61" s="82"/>
      <c r="BW61" s="82"/>
      <c r="BX61" s="82"/>
      <c r="BY61" s="82"/>
      <c r="BZ61" s="82"/>
      <c r="CA61" s="82"/>
      <c r="CB61" s="82"/>
      <c r="CC61" s="82"/>
      <c r="CD61" s="82"/>
      <c r="CE61" s="82"/>
      <c r="CF61" s="82"/>
      <c r="CG61" s="82"/>
      <c r="CH61" s="82"/>
      <c r="CI61" s="82"/>
      <c r="CJ61" s="82"/>
      <c r="CK61" s="82"/>
      <c r="CL61" s="82"/>
      <c r="CM61" s="82"/>
      <c r="CN61" s="82"/>
      <c r="CO61" s="82"/>
      <c r="CP61" s="82"/>
      <c r="CQ61" s="82"/>
      <c r="CR61" s="82"/>
      <c r="CS61" s="82"/>
      <c r="CT61" s="82"/>
      <c r="CU61" s="82"/>
      <c r="CV61" s="82"/>
      <c r="CW61" s="82"/>
      <c r="CX61" s="82"/>
      <c r="CY61" s="82"/>
      <c r="CZ61" s="82"/>
      <c r="DA61" s="82"/>
      <c r="DB61" s="82"/>
    </row>
    <row r="62" spans="1:106">
      <c r="A62" s="82"/>
      <c r="B62" s="82"/>
      <c r="C62" s="171"/>
      <c r="D62" s="171"/>
      <c r="E62" s="171"/>
      <c r="F62" s="171"/>
      <c r="G62" s="82"/>
      <c r="H62" s="82"/>
      <c r="I62" s="82"/>
      <c r="J62" s="82"/>
      <c r="K62" s="82"/>
      <c r="L62" s="82"/>
      <c r="M62" s="82"/>
      <c r="N62" s="82"/>
      <c r="O62" s="82"/>
      <c r="P62" s="82"/>
      <c r="Q62" s="792"/>
      <c r="R62" s="82"/>
      <c r="S62" s="317">
        <f>S20</f>
        <v>0</v>
      </c>
      <c r="T62" s="317">
        <f>T20</f>
        <v>0</v>
      </c>
      <c r="U62" s="317">
        <f>U20</f>
        <v>0</v>
      </c>
      <c r="V62" s="82"/>
      <c r="W62" s="327">
        <f>IFERROR((SMALL(S61:S63,COUNTIF(S61:S63,0)+1)+MAX(S61:S63))/2,0)</f>
        <v>14.986000000000001</v>
      </c>
      <c r="X62" s="327">
        <f>IFERROR((SMALL(T61:T63,COUNTIF(T61:T63,0)+1)+MAX(T61:T63))/2,0)</f>
        <v>17.018000000000001</v>
      </c>
      <c r="Y62" s="328">
        <f>IFERROR((SMALL(U61:U63,COUNTIF(U61:U63,0)+1)+MAX(U61:U63))/2,0)</f>
        <v>0</v>
      </c>
      <c r="Z62" s="82"/>
      <c r="AA62" s="226">
        <f>IF(AA10=0,0,-AA10-'GPS Anthro Tool'!$B$42)</f>
        <v>0</v>
      </c>
      <c r="AB62" s="226">
        <f>IF(AB10=0,0,-AB10-'GPS Anthro Tool'!$B$42)</f>
        <v>0</v>
      </c>
      <c r="AC62" s="226">
        <f>IF(AC10=0,0,-AC10-'GPS Anthro Tool'!$B$42)</f>
        <v>0</v>
      </c>
      <c r="AD62" s="82"/>
      <c r="AE62" s="82"/>
      <c r="AF62" s="82"/>
      <c r="AG62" s="82"/>
      <c r="AH62" s="82"/>
      <c r="AI62" s="82"/>
      <c r="AJ62" s="82"/>
      <c r="AK62" s="82"/>
      <c r="AL62" s="82"/>
      <c r="AM62" s="82"/>
      <c r="AN62" s="82"/>
      <c r="AO62" s="82"/>
      <c r="AP62" s="82"/>
      <c r="AQ62" s="317">
        <f>AQ20</f>
        <v>0</v>
      </c>
      <c r="AR62" s="317">
        <f>AR20</f>
        <v>0</v>
      </c>
      <c r="AS62" s="317">
        <f>AS20</f>
        <v>0</v>
      </c>
      <c r="AT62" s="82"/>
      <c r="AU62" s="327">
        <f>IFERROR((SMALL(AQ61:AQ63,COUNTIF(AQ61:AQ63,0)+1)+MAX(AQ61:AQ63))/2,0)</f>
        <v>3.8100000000000005</v>
      </c>
      <c r="AV62" s="327">
        <f>IFERROR((SMALL(AR61:AR63,COUNTIF(AR61:AR63,0)+1)+MAX(AR61:AR63))/2,0)</f>
        <v>6.8580000000000005</v>
      </c>
      <c r="AW62" s="328">
        <f>IFERROR((SMALL(AS61:AS63,COUNTIF(AS61:AS63,0)+1)+MAX(AS61:AS63))/2,0)</f>
        <v>0</v>
      </c>
      <c r="AX62" s="82"/>
      <c r="AY62" s="82"/>
      <c r="AZ62" s="82"/>
      <c r="BA62" s="82"/>
      <c r="BB62" s="82"/>
      <c r="BC62" s="82"/>
      <c r="BD62" s="82"/>
      <c r="BE62" s="82"/>
      <c r="BF62" s="306"/>
      <c r="BG62" s="82"/>
      <c r="BH62" s="82"/>
      <c r="BI62" s="82"/>
      <c r="BJ62" s="82"/>
      <c r="BK62" s="82"/>
      <c r="BL62" s="82"/>
      <c r="BM62" s="82"/>
      <c r="BN62" s="82"/>
      <c r="BO62" s="82"/>
      <c r="BP62" s="82"/>
      <c r="BQ62" s="82"/>
      <c r="BR62" s="82"/>
      <c r="BS62" s="82"/>
      <c r="BT62" s="82"/>
      <c r="BU62" s="82"/>
      <c r="BV62" s="82"/>
      <c r="BW62" s="82"/>
      <c r="BX62" s="82"/>
      <c r="BY62" s="82"/>
      <c r="BZ62" s="82"/>
      <c r="CA62" s="82"/>
      <c r="CB62" s="82"/>
      <c r="CC62" s="82"/>
      <c r="CD62" s="82"/>
      <c r="CE62" s="82"/>
      <c r="CF62" s="82"/>
      <c r="CG62" s="82"/>
      <c r="CH62" s="82"/>
      <c r="CI62" s="82"/>
      <c r="CJ62" s="82"/>
      <c r="CK62" s="82"/>
      <c r="CL62" s="82"/>
      <c r="CM62" s="82"/>
      <c r="CN62" s="82"/>
      <c r="CO62" s="82"/>
      <c r="CP62" s="82"/>
      <c r="CQ62" s="82"/>
      <c r="CR62" s="82"/>
      <c r="CS62" s="82"/>
      <c r="CT62" s="82"/>
      <c r="CU62" s="82"/>
      <c r="CV62" s="82"/>
      <c r="CW62" s="82"/>
      <c r="CX62" s="82"/>
      <c r="CY62" s="82"/>
      <c r="CZ62" s="82"/>
      <c r="DA62" s="82"/>
      <c r="DB62" s="82"/>
    </row>
    <row r="63" spans="1:106">
      <c r="A63" s="82"/>
      <c r="B63" s="82"/>
      <c r="C63" s="171"/>
      <c r="D63" s="171"/>
      <c r="E63" s="171"/>
      <c r="F63" s="171"/>
      <c r="G63" s="82"/>
      <c r="H63" s="82"/>
      <c r="I63" s="82"/>
      <c r="J63" s="82"/>
      <c r="K63" s="82"/>
      <c r="L63" s="82"/>
      <c r="M63" s="82"/>
      <c r="N63" s="82"/>
      <c r="O63" s="82"/>
      <c r="P63" s="82"/>
      <c r="Q63" s="793"/>
      <c r="R63" s="82"/>
      <c r="S63" s="316">
        <f>S34</f>
        <v>0</v>
      </c>
      <c r="T63" s="316">
        <f>T34</f>
        <v>0</v>
      </c>
      <c r="U63" s="316">
        <f>U34</f>
        <v>0</v>
      </c>
      <c r="V63" s="82"/>
      <c r="W63" s="86"/>
      <c r="X63" s="86"/>
      <c r="Y63" s="329"/>
      <c r="Z63" s="82"/>
      <c r="AA63" s="226">
        <f>IF(AA11=0,0,-AA11-'GPS Anthro Tool'!$B$42)</f>
        <v>0</v>
      </c>
      <c r="AB63" s="226">
        <f>IF(AB11=0,0,-AB11-'GPS Anthro Tool'!$B$42)</f>
        <v>0</v>
      </c>
      <c r="AC63" s="226">
        <f>IF(AC11=0,0,-AC11-'GPS Anthro Tool'!$B$42)</f>
        <v>0</v>
      </c>
      <c r="AD63" s="82"/>
      <c r="AE63" s="82"/>
      <c r="AF63" s="82"/>
      <c r="AG63" s="82"/>
      <c r="AH63" s="82"/>
      <c r="AI63" s="82"/>
      <c r="AJ63" s="82"/>
      <c r="AK63" s="82"/>
      <c r="AL63" s="82"/>
      <c r="AM63" s="82"/>
      <c r="AN63" s="82"/>
      <c r="AO63" s="82"/>
      <c r="AP63" s="82"/>
      <c r="AQ63" s="316">
        <f>AQ34</f>
        <v>0</v>
      </c>
      <c r="AR63" s="316">
        <f>AR34</f>
        <v>0</v>
      </c>
      <c r="AS63" s="316">
        <f>AS34</f>
        <v>0</v>
      </c>
      <c r="AT63" s="82"/>
      <c r="AU63" s="86"/>
      <c r="AV63" s="86"/>
      <c r="AW63" s="329"/>
      <c r="AX63" s="82"/>
      <c r="AY63" s="82"/>
      <c r="AZ63" s="82"/>
      <c r="BA63" s="82"/>
      <c r="BB63" s="82"/>
      <c r="BC63" s="82"/>
      <c r="BD63" s="82"/>
      <c r="BE63" s="82"/>
      <c r="BF63" s="306"/>
      <c r="BG63" s="82"/>
      <c r="BH63" s="82"/>
      <c r="BI63" s="82"/>
      <c r="BJ63" s="82"/>
      <c r="BK63" s="82"/>
      <c r="BL63" s="82"/>
      <c r="BM63" s="82"/>
      <c r="BN63" s="82"/>
      <c r="BO63" s="82"/>
      <c r="BP63" s="82"/>
      <c r="BQ63" s="82"/>
      <c r="BR63" s="82"/>
      <c r="BS63" s="82"/>
      <c r="BT63" s="82"/>
      <c r="BU63" s="82"/>
      <c r="BV63" s="82"/>
      <c r="BW63" s="82"/>
      <c r="BX63" s="82"/>
      <c r="BY63" s="82"/>
      <c r="BZ63" s="82"/>
      <c r="CA63" s="82"/>
      <c r="CB63" s="82"/>
      <c r="CC63" s="82"/>
      <c r="CD63" s="82"/>
      <c r="CE63" s="82"/>
      <c r="CF63" s="82"/>
      <c r="CG63" s="82"/>
      <c r="CH63" s="82"/>
      <c r="CI63" s="82"/>
      <c r="CJ63" s="82"/>
      <c r="CK63" s="82"/>
      <c r="CL63" s="82"/>
      <c r="CM63" s="82"/>
      <c r="CN63" s="82"/>
      <c r="CO63" s="82"/>
      <c r="CP63" s="82"/>
      <c r="CQ63" s="82"/>
      <c r="CR63" s="82"/>
      <c r="CS63" s="82"/>
      <c r="CT63" s="82"/>
      <c r="CU63" s="82"/>
      <c r="CV63" s="82"/>
      <c r="CW63" s="82"/>
      <c r="CX63" s="82"/>
      <c r="CY63" s="82"/>
      <c r="CZ63" s="82"/>
      <c r="DA63" s="82"/>
      <c r="DB63" s="82"/>
    </row>
    <row r="64" spans="1:106">
      <c r="A64" s="82"/>
      <c r="B64" s="82"/>
      <c r="C64" s="171"/>
      <c r="D64" s="171"/>
      <c r="E64" s="171"/>
      <c r="F64" s="171"/>
      <c r="G64" s="82"/>
      <c r="H64" s="82"/>
      <c r="I64" s="82"/>
      <c r="J64" s="82"/>
      <c r="K64" s="82"/>
      <c r="L64" s="82"/>
      <c r="M64" s="82"/>
      <c r="N64" s="82"/>
      <c r="O64" s="82"/>
      <c r="P64" s="82"/>
      <c r="Q64" s="791">
        <v>4</v>
      </c>
      <c r="R64" s="82"/>
      <c r="S64" s="314">
        <f>S6</f>
        <v>13.97</v>
      </c>
      <c r="T64" s="314">
        <f>T6</f>
        <v>0</v>
      </c>
      <c r="U64" s="314">
        <f>U6</f>
        <v>0</v>
      </c>
      <c r="V64" s="82"/>
      <c r="W64" s="86"/>
      <c r="X64" s="86"/>
      <c r="Y64" s="329"/>
      <c r="Z64" s="82"/>
      <c r="AA64" s="226">
        <f>IF(AA12=0,0,-AA12-'GPS Anthro Tool'!$B$42)</f>
        <v>0</v>
      </c>
      <c r="AB64" s="226">
        <f>IF(AB12=0,0,-AB12-'GPS Anthro Tool'!$B$42)</f>
        <v>0</v>
      </c>
      <c r="AC64" s="226">
        <f>IF(AC12=0,0,-AC12-'GPS Anthro Tool'!$B$42)</f>
        <v>0</v>
      </c>
      <c r="AD64" s="82"/>
      <c r="AE64" s="82"/>
      <c r="AF64" s="82"/>
      <c r="AG64" s="82"/>
      <c r="AH64" s="82"/>
      <c r="AI64" s="82"/>
      <c r="AJ64" s="82"/>
      <c r="AK64" s="82"/>
      <c r="AL64" s="82"/>
      <c r="AM64" s="82"/>
      <c r="AN64" s="82"/>
      <c r="AO64" s="82"/>
      <c r="AP64" s="82"/>
      <c r="AQ64" s="314">
        <f>AQ6</f>
        <v>4.8259999999999987</v>
      </c>
      <c r="AR64" s="314">
        <f>AR6</f>
        <v>0</v>
      </c>
      <c r="AS64" s="314">
        <f>AS6</f>
        <v>0</v>
      </c>
      <c r="AT64" s="82"/>
      <c r="AU64" s="86"/>
      <c r="AV64" s="86"/>
      <c r="AW64" s="329"/>
      <c r="AX64" s="82"/>
      <c r="AY64" s="82"/>
      <c r="AZ64" s="82"/>
      <c r="BA64" s="82"/>
      <c r="BB64" s="82"/>
      <c r="BC64" s="82"/>
      <c r="BD64" s="82"/>
      <c r="BE64" s="82"/>
      <c r="BF64" s="306"/>
      <c r="BG64" s="82"/>
      <c r="BH64" s="82"/>
      <c r="BI64" s="82"/>
      <c r="BJ64" s="82"/>
      <c r="BK64" s="82"/>
      <c r="BL64" s="82"/>
      <c r="BM64" s="82"/>
      <c r="BN64" s="82"/>
      <c r="BO64" s="82"/>
      <c r="BP64" s="82"/>
      <c r="BQ64" s="82"/>
      <c r="BR64" s="82"/>
      <c r="BS64" s="82"/>
      <c r="BT64" s="82"/>
      <c r="BU64" s="82"/>
      <c r="BV64" s="82"/>
      <c r="BW64" s="82"/>
      <c r="BX64" s="82"/>
      <c r="BY64" s="82"/>
      <c r="BZ64" s="82"/>
      <c r="CA64" s="82"/>
      <c r="CB64" s="82"/>
      <c r="CC64" s="82"/>
      <c r="CD64" s="82"/>
      <c r="CE64" s="82"/>
      <c r="CF64" s="82"/>
      <c r="CG64" s="82"/>
      <c r="CH64" s="82"/>
      <c r="CI64" s="82"/>
      <c r="CJ64" s="82"/>
      <c r="CK64" s="82"/>
      <c r="CL64" s="82"/>
      <c r="CM64" s="82"/>
      <c r="CN64" s="82"/>
      <c r="CO64" s="82"/>
      <c r="CP64" s="82"/>
      <c r="CQ64" s="82"/>
      <c r="CR64" s="82"/>
      <c r="CS64" s="82"/>
      <c r="CT64" s="82"/>
      <c r="CU64" s="82"/>
      <c r="CV64" s="82"/>
      <c r="CW64" s="82"/>
      <c r="CX64" s="82"/>
      <c r="CY64" s="82"/>
      <c r="CZ64" s="82"/>
      <c r="DA64" s="82"/>
      <c r="DB64" s="82"/>
    </row>
    <row r="65" spans="1:106">
      <c r="A65" s="82"/>
      <c r="B65" s="82"/>
      <c r="C65" s="171"/>
      <c r="D65" s="171"/>
      <c r="E65" s="171"/>
      <c r="F65" s="171"/>
      <c r="G65" s="82"/>
      <c r="H65" s="82"/>
      <c r="I65" s="82"/>
      <c r="J65" s="82"/>
      <c r="K65" s="82"/>
      <c r="L65" s="82"/>
      <c r="M65" s="82"/>
      <c r="N65" s="82"/>
      <c r="O65" s="82"/>
      <c r="P65" s="82"/>
      <c r="Q65" s="792"/>
      <c r="R65" s="82"/>
      <c r="S65" s="317">
        <f>S21</f>
        <v>0</v>
      </c>
      <c r="T65" s="317">
        <f>T21</f>
        <v>0</v>
      </c>
      <c r="U65" s="317">
        <f>U21</f>
        <v>0</v>
      </c>
      <c r="V65" s="82"/>
      <c r="W65" s="327">
        <f>IFERROR((SMALL(S64:S66,COUNTIF(S64:S66,0)+1)+MAX(S64:S66))/2,0)</f>
        <v>13.97</v>
      </c>
      <c r="X65" s="327">
        <f>IFERROR((SMALL(T64:T66,COUNTIF(T64:T66,0)+1)+MAX(T64:T66))/2,0)</f>
        <v>0</v>
      </c>
      <c r="Y65" s="328">
        <f>IFERROR((SMALL(U64:U66,COUNTIF(U64:U66,0)+1)+MAX(U64:U66))/2,0)</f>
        <v>0</v>
      </c>
      <c r="Z65" s="82"/>
      <c r="AA65" s="226">
        <f>IF(AA13=0,0,-AA13-'GPS Anthro Tool'!$B$42)</f>
        <v>0</v>
      </c>
      <c r="AB65" s="226">
        <f>IF(AB13=0,0,-AB13-'GPS Anthro Tool'!$B$42)</f>
        <v>0</v>
      </c>
      <c r="AC65" s="226">
        <f>IF(AC13=0,0,-AC13-'GPS Anthro Tool'!$B$42)</f>
        <v>0</v>
      </c>
      <c r="AD65" s="82"/>
      <c r="AE65" s="82"/>
      <c r="AF65" s="82"/>
      <c r="AG65" s="82"/>
      <c r="AH65" s="82"/>
      <c r="AI65" s="82"/>
      <c r="AJ65" s="82"/>
      <c r="AK65" s="82"/>
      <c r="AL65" s="82"/>
      <c r="AM65" s="82"/>
      <c r="AN65" s="82"/>
      <c r="AO65" s="82"/>
      <c r="AP65" s="82"/>
      <c r="AQ65" s="317">
        <f>AQ21</f>
        <v>0</v>
      </c>
      <c r="AR65" s="317">
        <f>AR21</f>
        <v>0</v>
      </c>
      <c r="AS65" s="317">
        <f>AS21</f>
        <v>0</v>
      </c>
      <c r="AT65" s="82"/>
      <c r="AU65" s="327">
        <f>IFERROR((SMALL(AQ64:AQ66,COUNTIF(AQ64:AQ66,0)+1)+MAX(AQ64:AQ66))/2,0)</f>
        <v>4.8259999999999987</v>
      </c>
      <c r="AV65" s="327">
        <f>IFERROR((SMALL(AR64:AR66,COUNTIF(AR64:AR66,0)+1)+MAX(AR64:AR66))/2,0)</f>
        <v>0</v>
      </c>
      <c r="AW65" s="328">
        <f>IFERROR((SMALL(AS64:AS66,COUNTIF(AS64:AS66,0)+1)+MAX(AS64:AS66))/2,0)</f>
        <v>0</v>
      </c>
      <c r="AX65" s="82"/>
      <c r="AY65" s="82"/>
      <c r="AZ65" s="82"/>
      <c r="BA65" s="82"/>
      <c r="BB65" s="82"/>
      <c r="BC65" s="82"/>
      <c r="BD65" s="82"/>
      <c r="BE65" s="82"/>
      <c r="BF65" s="306"/>
      <c r="BG65" s="82"/>
      <c r="BH65" s="82"/>
      <c r="BI65" s="82"/>
      <c r="BJ65" s="82"/>
      <c r="BK65" s="82"/>
      <c r="BL65" s="82"/>
      <c r="BM65" s="82"/>
      <c r="BN65" s="82"/>
      <c r="BO65" s="82"/>
      <c r="BP65" s="82"/>
      <c r="BQ65" s="82"/>
      <c r="BR65" s="82"/>
      <c r="BS65" s="82"/>
      <c r="BT65" s="82"/>
      <c r="BU65" s="82"/>
      <c r="BV65" s="82"/>
      <c r="BW65" s="82"/>
      <c r="BX65" s="82"/>
      <c r="BY65" s="82"/>
      <c r="BZ65" s="82"/>
      <c r="CA65" s="82"/>
      <c r="CB65" s="82"/>
      <c r="CC65" s="82"/>
      <c r="CD65" s="82"/>
      <c r="CE65" s="82"/>
      <c r="CF65" s="82"/>
      <c r="CG65" s="82"/>
      <c r="CH65" s="82"/>
      <c r="CI65" s="82"/>
      <c r="CJ65" s="82"/>
      <c r="CK65" s="82"/>
      <c r="CL65" s="82"/>
      <c r="CM65" s="82"/>
      <c r="CN65" s="82"/>
      <c r="CO65" s="82"/>
      <c r="CP65" s="82"/>
      <c r="CQ65" s="82"/>
      <c r="CR65" s="82"/>
      <c r="CS65" s="82"/>
      <c r="CT65" s="82"/>
      <c r="CU65" s="82"/>
      <c r="CV65" s="82"/>
      <c r="CW65" s="82"/>
      <c r="CX65" s="82"/>
      <c r="CY65" s="82"/>
      <c r="CZ65" s="82"/>
      <c r="DA65" s="82"/>
      <c r="DB65" s="82"/>
    </row>
    <row r="66" spans="1:106">
      <c r="A66" s="82"/>
      <c r="B66" s="82"/>
      <c r="C66" s="171"/>
      <c r="D66" s="171"/>
      <c r="E66" s="171"/>
      <c r="F66" s="171"/>
      <c r="G66" s="82"/>
      <c r="H66" s="82"/>
      <c r="I66" s="82"/>
      <c r="J66" s="82"/>
      <c r="K66" s="82"/>
      <c r="L66" s="82"/>
      <c r="M66" s="82"/>
      <c r="N66" s="82"/>
      <c r="O66" s="82"/>
      <c r="P66" s="82"/>
      <c r="Q66" s="793"/>
      <c r="R66" s="82"/>
      <c r="S66" s="316">
        <f>S35</f>
        <v>0</v>
      </c>
      <c r="T66" s="316">
        <f>T35</f>
        <v>0</v>
      </c>
      <c r="U66" s="316">
        <f>U35</f>
        <v>0</v>
      </c>
      <c r="V66" s="82"/>
      <c r="W66" s="86"/>
      <c r="X66" s="86"/>
      <c r="Y66" s="329"/>
      <c r="Z66" s="82"/>
      <c r="AA66" s="226">
        <f>IF(AA14=0,0,-AA14-'GPS Anthro Tool'!$B$42)</f>
        <v>0</v>
      </c>
      <c r="AB66" s="226">
        <f>IF(AB14=0,0,-AB14-'GPS Anthro Tool'!$B$42)</f>
        <v>0</v>
      </c>
      <c r="AC66" s="226">
        <f>IF(AC14=0,0,-AC14-'GPS Anthro Tool'!$B$42)</f>
        <v>0</v>
      </c>
      <c r="AD66" s="82"/>
      <c r="AE66" s="82"/>
      <c r="AF66" s="82"/>
      <c r="AG66" s="82"/>
      <c r="AH66" s="82"/>
      <c r="AI66" s="82"/>
      <c r="AJ66" s="82"/>
      <c r="AK66" s="82"/>
      <c r="AL66" s="82"/>
      <c r="AM66" s="82"/>
      <c r="AN66" s="82"/>
      <c r="AO66" s="82"/>
      <c r="AP66" s="82"/>
      <c r="AQ66" s="316">
        <f>AQ35</f>
        <v>0</v>
      </c>
      <c r="AR66" s="316">
        <f>AR35</f>
        <v>0</v>
      </c>
      <c r="AS66" s="316">
        <f>AS35</f>
        <v>0</v>
      </c>
      <c r="AT66" s="82"/>
      <c r="AU66" s="86"/>
      <c r="AV66" s="86"/>
      <c r="AW66" s="329"/>
      <c r="AX66" s="82"/>
      <c r="AY66" s="82"/>
      <c r="AZ66" s="82"/>
      <c r="BA66" s="82"/>
      <c r="BB66" s="82"/>
      <c r="BC66" s="82"/>
      <c r="BD66" s="82"/>
      <c r="BE66" s="82"/>
      <c r="BF66" s="306"/>
      <c r="BG66" s="82"/>
      <c r="BH66" s="82"/>
      <c r="BI66" s="82"/>
      <c r="BJ66" s="82"/>
      <c r="BK66" s="82"/>
      <c r="BL66" s="82"/>
      <c r="BM66" s="82"/>
      <c r="BN66" s="82"/>
      <c r="BO66" s="82"/>
      <c r="BP66" s="82"/>
      <c r="BQ66" s="82"/>
      <c r="BR66" s="82"/>
      <c r="BS66" s="82"/>
      <c r="BT66" s="82"/>
      <c r="BU66" s="82"/>
      <c r="BV66" s="82"/>
      <c r="BW66" s="82"/>
      <c r="BX66" s="82"/>
      <c r="BY66" s="82"/>
      <c r="BZ66" s="82"/>
      <c r="CA66" s="82"/>
      <c r="CB66" s="82"/>
      <c r="CC66" s="82"/>
      <c r="CD66" s="82"/>
      <c r="CE66" s="82"/>
      <c r="CF66" s="82"/>
      <c r="CG66" s="82"/>
      <c r="CH66" s="82"/>
      <c r="CI66" s="82"/>
      <c r="CJ66" s="82"/>
      <c r="CK66" s="82"/>
      <c r="CL66" s="82"/>
      <c r="CM66" s="82"/>
      <c r="CN66" s="82"/>
      <c r="CO66" s="82"/>
      <c r="CP66" s="82"/>
      <c r="CQ66" s="82"/>
      <c r="CR66" s="82"/>
      <c r="CS66" s="82"/>
      <c r="CT66" s="82"/>
      <c r="CU66" s="82"/>
      <c r="CV66" s="82"/>
      <c r="CW66" s="82"/>
      <c r="CX66" s="82"/>
      <c r="CY66" s="82"/>
      <c r="CZ66" s="82"/>
      <c r="DA66" s="82"/>
      <c r="DB66" s="82"/>
    </row>
    <row r="67" spans="1:106">
      <c r="A67" s="82"/>
      <c r="B67" s="82"/>
      <c r="C67" s="171"/>
      <c r="D67" s="171"/>
      <c r="E67" s="171"/>
      <c r="F67" s="171"/>
      <c r="G67" s="82"/>
      <c r="H67" s="82"/>
      <c r="I67" s="82"/>
      <c r="J67" s="82"/>
      <c r="K67" s="82"/>
      <c r="L67" s="82"/>
      <c r="M67" s="82"/>
      <c r="N67" s="82"/>
      <c r="O67" s="82"/>
      <c r="P67" s="82"/>
      <c r="Q67" s="791">
        <v>5</v>
      </c>
      <c r="R67" s="82"/>
      <c r="S67" s="314">
        <f>S7</f>
        <v>0</v>
      </c>
      <c r="T67" s="314">
        <f>T7</f>
        <v>0</v>
      </c>
      <c r="U67" s="314">
        <f>U7</f>
        <v>0</v>
      </c>
      <c r="V67" s="82"/>
      <c r="W67" s="86"/>
      <c r="X67" s="86"/>
      <c r="Y67" s="329"/>
      <c r="Z67" s="82"/>
      <c r="AA67" s="226">
        <f>IF(AA15=0,0,-AA15-'GPS Anthro Tool'!$B$42)</f>
        <v>0</v>
      </c>
      <c r="AB67" s="226">
        <f>IF(AB15=0,0,-AB15-'GPS Anthro Tool'!$B$42)</f>
        <v>0</v>
      </c>
      <c r="AC67" s="226">
        <f>IF(AC15=0,0,-AC15-'GPS Anthro Tool'!$B$42)</f>
        <v>0</v>
      </c>
      <c r="AD67" s="82"/>
      <c r="AE67" s="82"/>
      <c r="AF67" s="82"/>
      <c r="AG67" s="82"/>
      <c r="AH67" s="82"/>
      <c r="AI67" s="82"/>
      <c r="AJ67" s="82"/>
      <c r="AK67" s="82"/>
      <c r="AL67" s="82"/>
      <c r="AM67" s="82"/>
      <c r="AN67" s="82"/>
      <c r="AO67" s="82"/>
      <c r="AP67" s="82"/>
      <c r="AQ67" s="314">
        <f>AQ7</f>
        <v>0</v>
      </c>
      <c r="AR67" s="314">
        <f>AR7</f>
        <v>0</v>
      </c>
      <c r="AS67" s="314">
        <f>AS7</f>
        <v>0</v>
      </c>
      <c r="AT67" s="82"/>
      <c r="AU67" s="86"/>
      <c r="AV67" s="86"/>
      <c r="AW67" s="329"/>
      <c r="AX67" s="82"/>
      <c r="AY67" s="82"/>
      <c r="AZ67" s="82"/>
      <c r="BA67" s="82"/>
      <c r="BB67" s="82"/>
      <c r="BC67" s="82"/>
      <c r="BD67" s="82"/>
      <c r="BE67" s="82"/>
      <c r="BF67" s="306"/>
      <c r="BG67" s="82"/>
      <c r="BH67" s="82"/>
      <c r="BI67" s="82"/>
      <c r="BJ67" s="82"/>
      <c r="BK67" s="82"/>
      <c r="BL67" s="82"/>
      <c r="BM67" s="82"/>
      <c r="BN67" s="82"/>
      <c r="BO67" s="82"/>
      <c r="BP67" s="82"/>
      <c r="BQ67" s="82"/>
      <c r="BR67" s="82"/>
      <c r="BS67" s="82"/>
      <c r="BT67" s="82"/>
      <c r="BU67" s="82"/>
      <c r="BV67" s="82"/>
      <c r="BW67" s="82"/>
      <c r="BX67" s="82"/>
      <c r="BY67" s="82"/>
      <c r="BZ67" s="82"/>
      <c r="CA67" s="82"/>
      <c r="CB67" s="82"/>
      <c r="CC67" s="82"/>
      <c r="CD67" s="82"/>
      <c r="CE67" s="82"/>
      <c r="CF67" s="82"/>
      <c r="CG67" s="82"/>
      <c r="CH67" s="82"/>
      <c r="CI67" s="82"/>
      <c r="CJ67" s="82"/>
      <c r="CK67" s="82"/>
      <c r="CL67" s="82"/>
      <c r="CM67" s="82"/>
      <c r="CN67" s="82"/>
      <c r="CO67" s="82"/>
      <c r="CP67" s="82"/>
      <c r="CQ67" s="82"/>
      <c r="CR67" s="82"/>
      <c r="CS67" s="82"/>
      <c r="CT67" s="82"/>
      <c r="CU67" s="82"/>
      <c r="CV67" s="82"/>
      <c r="CW67" s="82"/>
      <c r="CX67" s="82"/>
      <c r="CY67" s="82"/>
      <c r="CZ67" s="82"/>
      <c r="DA67" s="82"/>
      <c r="DB67" s="82"/>
    </row>
    <row r="68" spans="1:106">
      <c r="A68" s="82"/>
      <c r="B68" s="82"/>
      <c r="C68" s="171"/>
      <c r="D68" s="171"/>
      <c r="E68" s="171"/>
      <c r="F68" s="171"/>
      <c r="G68" s="82"/>
      <c r="H68" s="82"/>
      <c r="I68" s="82"/>
      <c r="J68" s="82"/>
      <c r="K68" s="82"/>
      <c r="L68" s="82"/>
      <c r="M68" s="82"/>
      <c r="N68" s="82"/>
      <c r="O68" s="82"/>
      <c r="P68" s="82"/>
      <c r="Q68" s="792"/>
      <c r="R68" s="82"/>
      <c r="S68" s="317">
        <f>S22</f>
        <v>0</v>
      </c>
      <c r="T68" s="317">
        <f>T22</f>
        <v>0</v>
      </c>
      <c r="U68" s="317">
        <f>U22</f>
        <v>0</v>
      </c>
      <c r="V68" s="82"/>
      <c r="W68" s="327">
        <f>IFERROR((SMALL(S67:S69,COUNTIF(S67:S69,0)+1)+MAX(S67:S69))/2,0)</f>
        <v>0</v>
      </c>
      <c r="X68" s="327">
        <f>IFERROR((SMALL(T67:T69,COUNTIF(T67:T69,0)+1)+MAX(T67:T69))/2,0)</f>
        <v>0</v>
      </c>
      <c r="Y68" s="328">
        <f>IFERROR((SMALL(U67:U69,COUNTIF(U67:U69,0)+1)+MAX(U67:U69))/2,0)</f>
        <v>0</v>
      </c>
      <c r="Z68" s="82"/>
      <c r="AA68" s="226">
        <f>IF(AA16=0,0,-AA16-'GPS Anthro Tool'!$B$42)</f>
        <v>0</v>
      </c>
      <c r="AB68" s="226">
        <f>IF(AB16=0,0,-AB16-'GPS Anthro Tool'!$B$42)</f>
        <v>0</v>
      </c>
      <c r="AC68" s="226">
        <f>IF(AC16=0,0,-AC16-'GPS Anthro Tool'!$B$42)</f>
        <v>0</v>
      </c>
      <c r="AD68" s="82"/>
      <c r="AE68" s="82"/>
      <c r="AF68" s="82"/>
      <c r="AG68" s="82"/>
      <c r="AH68" s="82"/>
      <c r="AI68" s="82"/>
      <c r="AJ68" s="82"/>
      <c r="AK68" s="82"/>
      <c r="AL68" s="82"/>
      <c r="AM68" s="82"/>
      <c r="AN68" s="82"/>
      <c r="AO68" s="82"/>
      <c r="AP68" s="82"/>
      <c r="AQ68" s="317">
        <f>AQ22</f>
        <v>0</v>
      </c>
      <c r="AR68" s="317">
        <f>AR22</f>
        <v>0</v>
      </c>
      <c r="AS68" s="317">
        <f>AS22</f>
        <v>0</v>
      </c>
      <c r="AT68" s="82"/>
      <c r="AU68" s="327">
        <f>IFERROR((SMALL(AQ67:AQ69,COUNTIF(AQ67:AQ69,0)+1)+MAX(AQ67:AQ69))/2,0)</f>
        <v>0</v>
      </c>
      <c r="AV68" s="327">
        <f>IFERROR((SMALL(AR67:AR69,COUNTIF(AR67:AR69,0)+1)+MAX(AR67:AR69))/2,0)</f>
        <v>0</v>
      </c>
      <c r="AW68" s="328">
        <f>IFERROR((SMALL(AS67:AS69,COUNTIF(AS67:AS69,0)+1)+MAX(AS67:AS69))/2,0)</f>
        <v>0</v>
      </c>
      <c r="AX68" s="82"/>
      <c r="AY68" s="82"/>
      <c r="AZ68" s="82"/>
      <c r="BA68" s="82"/>
      <c r="BB68" s="82"/>
      <c r="BC68" s="82"/>
      <c r="BD68" s="82"/>
      <c r="BE68" s="82"/>
      <c r="BF68" s="306"/>
      <c r="BG68" s="82"/>
      <c r="BH68" s="82"/>
      <c r="BI68" s="82"/>
      <c r="BJ68" s="82"/>
      <c r="BK68" s="82"/>
      <c r="BL68" s="82"/>
      <c r="BM68" s="82"/>
      <c r="BN68" s="82"/>
      <c r="BO68" s="82"/>
      <c r="BP68" s="82"/>
      <c r="BQ68" s="82"/>
      <c r="BR68" s="82"/>
      <c r="BS68" s="82"/>
      <c r="BT68" s="82"/>
      <c r="BU68" s="82"/>
      <c r="BV68" s="82"/>
      <c r="BW68" s="82"/>
      <c r="BX68" s="82"/>
      <c r="BY68" s="82"/>
      <c r="BZ68" s="82"/>
      <c r="CA68" s="82"/>
      <c r="CB68" s="82"/>
      <c r="CC68" s="82"/>
      <c r="CD68" s="82"/>
      <c r="CE68" s="82"/>
      <c r="CF68" s="82"/>
      <c r="CG68" s="82"/>
      <c r="CH68" s="82"/>
      <c r="CI68" s="82"/>
      <c r="CJ68" s="82"/>
      <c r="CK68" s="82"/>
      <c r="CL68" s="82"/>
      <c r="CM68" s="82"/>
      <c r="CN68" s="82"/>
      <c r="CO68" s="82"/>
      <c r="CP68" s="82"/>
      <c r="CQ68" s="82"/>
      <c r="CR68" s="82"/>
      <c r="CS68" s="82"/>
      <c r="CT68" s="82"/>
      <c r="CU68" s="82"/>
      <c r="CV68" s="82"/>
      <c r="CW68" s="82"/>
      <c r="CX68" s="82"/>
      <c r="CY68" s="82"/>
      <c r="CZ68" s="82"/>
      <c r="DA68" s="82"/>
      <c r="DB68" s="82"/>
    </row>
    <row r="69" spans="1:106">
      <c r="A69" s="82"/>
      <c r="B69" s="82"/>
      <c r="C69" s="171"/>
      <c r="D69" s="171"/>
      <c r="E69" s="171"/>
      <c r="F69" s="171"/>
      <c r="G69" s="82"/>
      <c r="H69" s="82"/>
      <c r="I69" s="82"/>
      <c r="J69" s="82"/>
      <c r="K69" s="82"/>
      <c r="L69" s="82"/>
      <c r="M69" s="82"/>
      <c r="N69" s="82"/>
      <c r="O69" s="82"/>
      <c r="P69" s="82"/>
      <c r="Q69" s="793"/>
      <c r="R69" s="82"/>
      <c r="S69" s="316">
        <f>S36</f>
        <v>0</v>
      </c>
      <c r="T69" s="316">
        <f>T36</f>
        <v>0</v>
      </c>
      <c r="U69" s="316">
        <f>U36</f>
        <v>0</v>
      </c>
      <c r="V69" s="82"/>
      <c r="W69" s="86"/>
      <c r="X69" s="86"/>
      <c r="Y69" s="329"/>
      <c r="Z69" s="82"/>
      <c r="AA69" s="226">
        <f>IF(AA17=0,0,-AA17-'GPS Anthro Tool'!$B$42)</f>
        <v>0</v>
      </c>
      <c r="AB69" s="226">
        <f>IF(AB17=0,0,-AB17-'GPS Anthro Tool'!$B$42)</f>
        <v>0</v>
      </c>
      <c r="AC69" s="226">
        <f>IF(AC17=0,0,-AC17-'GPS Anthro Tool'!$B$42)</f>
        <v>0</v>
      </c>
      <c r="AD69" s="82"/>
      <c r="AE69" s="82"/>
      <c r="AF69" s="82"/>
      <c r="AG69" s="82"/>
      <c r="AH69" s="82"/>
      <c r="AI69" s="82"/>
      <c r="AJ69" s="82"/>
      <c r="AK69" s="82"/>
      <c r="AL69" s="82"/>
      <c r="AM69" s="82"/>
      <c r="AN69" s="82"/>
      <c r="AO69" s="82"/>
      <c r="AP69" s="82"/>
      <c r="AQ69" s="316">
        <f>AQ36</f>
        <v>0</v>
      </c>
      <c r="AR69" s="316">
        <f>AR36</f>
        <v>0</v>
      </c>
      <c r="AS69" s="316">
        <f>AS36</f>
        <v>0</v>
      </c>
      <c r="AT69" s="82"/>
      <c r="AU69" s="86"/>
      <c r="AV69" s="86"/>
      <c r="AW69" s="329"/>
      <c r="AX69" s="82"/>
      <c r="AY69" s="82"/>
      <c r="AZ69" s="82"/>
      <c r="BA69" s="82"/>
      <c r="BB69" s="82"/>
      <c r="BC69" s="82"/>
      <c r="BD69" s="82"/>
      <c r="BE69" s="82"/>
      <c r="BF69" s="306"/>
      <c r="BG69" s="82"/>
      <c r="BH69" s="82"/>
      <c r="BI69" s="82"/>
      <c r="BJ69" s="82"/>
      <c r="BK69" s="82"/>
      <c r="BL69" s="82"/>
      <c r="BM69" s="82"/>
      <c r="BN69" s="82"/>
      <c r="BO69" s="82"/>
      <c r="BP69" s="82"/>
      <c r="BQ69" s="82"/>
      <c r="BR69" s="82"/>
      <c r="BS69" s="82"/>
      <c r="BT69" s="82"/>
      <c r="BU69" s="82"/>
      <c r="BV69" s="82"/>
      <c r="BW69" s="82"/>
      <c r="BX69" s="82"/>
      <c r="BY69" s="82"/>
      <c r="BZ69" s="82"/>
      <c r="CA69" s="82"/>
      <c r="CB69" s="82"/>
      <c r="CC69" s="82"/>
      <c r="CD69" s="82"/>
      <c r="CE69" s="82"/>
      <c r="CF69" s="82"/>
      <c r="CG69" s="82"/>
      <c r="CH69" s="82"/>
      <c r="CI69" s="82"/>
      <c r="CJ69" s="82"/>
      <c r="CK69" s="82"/>
      <c r="CL69" s="82"/>
      <c r="CM69" s="82"/>
      <c r="CN69" s="82"/>
      <c r="CO69" s="82"/>
      <c r="CP69" s="82"/>
      <c r="CQ69" s="82"/>
      <c r="CR69" s="82"/>
      <c r="CS69" s="82"/>
      <c r="CT69" s="82"/>
      <c r="CU69" s="82"/>
      <c r="CV69" s="82"/>
      <c r="CW69" s="82"/>
      <c r="CX69" s="82"/>
      <c r="CY69" s="82"/>
      <c r="CZ69" s="82"/>
      <c r="DA69" s="82"/>
      <c r="DB69" s="82"/>
    </row>
    <row r="70" spans="1:106">
      <c r="A70" s="82"/>
      <c r="B70" s="82"/>
      <c r="C70" s="171"/>
      <c r="D70" s="171"/>
      <c r="E70" s="171"/>
      <c r="F70" s="171"/>
      <c r="G70" s="82"/>
      <c r="H70" s="82"/>
      <c r="I70" s="82"/>
      <c r="J70" s="82"/>
      <c r="K70" s="82"/>
      <c r="L70" s="82"/>
      <c r="M70" s="82"/>
      <c r="N70" s="82"/>
      <c r="O70" s="82"/>
      <c r="P70" s="82"/>
      <c r="Q70" s="791">
        <v>6</v>
      </c>
      <c r="R70" s="82"/>
      <c r="S70" s="314">
        <f>S8</f>
        <v>0</v>
      </c>
      <c r="T70" s="314">
        <f>T8</f>
        <v>0</v>
      </c>
      <c r="U70" s="314">
        <f>U8</f>
        <v>0</v>
      </c>
      <c r="V70" s="82"/>
      <c r="W70" s="86"/>
      <c r="X70" s="86"/>
      <c r="Y70" s="329"/>
      <c r="Z70" s="82"/>
      <c r="AA70" s="226">
        <f>IF(AA18=0,0,-AA18-'GPS Anthro Tool'!$B$42)</f>
        <v>0</v>
      </c>
      <c r="AB70" s="226">
        <f>IF(AB18=0,0,-AB18-'GPS Anthro Tool'!$B$42)</f>
        <v>0</v>
      </c>
      <c r="AC70" s="226">
        <f>IF(AC18=0,0,-AC18-'GPS Anthro Tool'!$B$42)</f>
        <v>0</v>
      </c>
      <c r="AD70" s="82"/>
      <c r="AE70" s="82"/>
      <c r="AF70" s="82"/>
      <c r="AG70" s="82"/>
      <c r="AH70" s="82"/>
      <c r="AI70" s="82"/>
      <c r="AJ70" s="82"/>
      <c r="AK70" s="82"/>
      <c r="AL70" s="82"/>
      <c r="AM70" s="82"/>
      <c r="AN70" s="82"/>
      <c r="AO70" s="82"/>
      <c r="AP70" s="82"/>
      <c r="AQ70" s="314">
        <f>AQ8</f>
        <v>0</v>
      </c>
      <c r="AR70" s="314">
        <f>AR8</f>
        <v>0</v>
      </c>
      <c r="AS70" s="314">
        <f>AS8</f>
        <v>0</v>
      </c>
      <c r="AT70" s="82"/>
      <c r="AU70" s="86"/>
      <c r="AV70" s="86"/>
      <c r="AW70" s="329"/>
      <c r="AX70" s="82"/>
      <c r="AY70" s="82"/>
      <c r="AZ70" s="82"/>
      <c r="BA70" s="82"/>
      <c r="BB70" s="82"/>
      <c r="BC70" s="82"/>
      <c r="BD70" s="82"/>
      <c r="BE70" s="82"/>
      <c r="BF70" s="306"/>
      <c r="BG70" s="82"/>
      <c r="BH70" s="82"/>
      <c r="BI70" s="82"/>
      <c r="BJ70" s="82"/>
      <c r="BK70" s="82"/>
      <c r="BL70" s="82"/>
      <c r="BM70" s="82"/>
      <c r="BN70" s="82"/>
      <c r="BO70" s="82"/>
      <c r="BP70" s="82"/>
      <c r="BQ70" s="82"/>
      <c r="BR70" s="82"/>
      <c r="BS70" s="82"/>
      <c r="BT70" s="82"/>
      <c r="BU70" s="82"/>
      <c r="BV70" s="82"/>
      <c r="BW70" s="82"/>
      <c r="BX70" s="82"/>
      <c r="BY70" s="82"/>
      <c r="BZ70" s="82"/>
      <c r="CA70" s="82"/>
      <c r="CB70" s="82"/>
      <c r="CC70" s="82"/>
      <c r="CD70" s="82"/>
      <c r="CE70" s="82"/>
      <c r="CF70" s="82"/>
      <c r="CG70" s="82"/>
      <c r="CH70" s="82"/>
      <c r="CI70" s="82"/>
      <c r="CJ70" s="82"/>
      <c r="CK70" s="82"/>
      <c r="CL70" s="82"/>
      <c r="CM70" s="82"/>
      <c r="CN70" s="82"/>
      <c r="CO70" s="82"/>
      <c r="CP70" s="82"/>
      <c r="CQ70" s="82"/>
      <c r="CR70" s="82"/>
      <c r="CS70" s="82"/>
      <c r="CT70" s="82"/>
      <c r="CU70" s="82"/>
      <c r="CV70" s="82"/>
      <c r="CW70" s="82"/>
      <c r="CX70" s="82"/>
      <c r="CY70" s="82"/>
      <c r="CZ70" s="82"/>
      <c r="DA70" s="82"/>
      <c r="DB70" s="82"/>
    </row>
    <row r="71" spans="1:106">
      <c r="A71" s="82"/>
      <c r="B71" s="82"/>
      <c r="C71" s="171"/>
      <c r="D71" s="171"/>
      <c r="E71" s="171"/>
      <c r="F71" s="171"/>
      <c r="G71" s="82"/>
      <c r="H71" s="82"/>
      <c r="I71" s="82"/>
      <c r="J71" s="82"/>
      <c r="K71" s="82"/>
      <c r="L71" s="82"/>
      <c r="M71" s="82"/>
      <c r="N71" s="82"/>
      <c r="O71" s="82"/>
      <c r="P71" s="82"/>
      <c r="Q71" s="792"/>
      <c r="R71" s="82"/>
      <c r="S71" s="317">
        <f>S23</f>
        <v>0</v>
      </c>
      <c r="T71" s="317">
        <f>T23</f>
        <v>0</v>
      </c>
      <c r="U71" s="317">
        <f>U23</f>
        <v>0</v>
      </c>
      <c r="V71" s="82"/>
      <c r="W71" s="327">
        <f>IFERROR((SMALL(S70:S72,COUNTIF(S70:S72,0)+1)+MAX(S70:S72))/2,0)</f>
        <v>0</v>
      </c>
      <c r="X71" s="327">
        <f>IFERROR((SMALL(T70:T72,COUNTIF(T70:T72,0)+1)+MAX(T70:T72))/2,0)</f>
        <v>0</v>
      </c>
      <c r="Y71" s="328">
        <f>IFERROR((SMALL(U70:U72,COUNTIF(U70:U72,0)+1)+MAX(U70:U72))/2,0)</f>
        <v>0</v>
      </c>
      <c r="Z71" s="82"/>
      <c r="AA71" s="226">
        <f>IF(AA19=0,0,-AA19-'GPS Anthro Tool'!$B$42)</f>
        <v>0</v>
      </c>
      <c r="AB71" s="226">
        <f>IF(AB19=0,0,-AB19-'GPS Anthro Tool'!$B$42)</f>
        <v>0</v>
      </c>
      <c r="AC71" s="226">
        <f>IF(AC19=0,0,-AC19-'GPS Anthro Tool'!$B$42)</f>
        <v>0</v>
      </c>
      <c r="AD71" s="82"/>
      <c r="AE71" s="82"/>
      <c r="AF71" s="82"/>
      <c r="AG71" s="82"/>
      <c r="AH71" s="82"/>
      <c r="AI71" s="82"/>
      <c r="AJ71" s="82"/>
      <c r="AK71" s="82"/>
      <c r="AL71" s="82"/>
      <c r="AM71" s="82"/>
      <c r="AN71" s="82"/>
      <c r="AO71" s="82"/>
      <c r="AP71" s="82"/>
      <c r="AQ71" s="317">
        <f>AQ23</f>
        <v>0</v>
      </c>
      <c r="AR71" s="317">
        <f>AR23</f>
        <v>0</v>
      </c>
      <c r="AS71" s="317">
        <f>AS23</f>
        <v>0</v>
      </c>
      <c r="AT71" s="82"/>
      <c r="AU71" s="327">
        <f>IFERROR((SMALL(AQ70:AQ72,COUNTIF(AQ70:AQ72,0)+1)+MAX(AQ70:AQ72))/2,0)</f>
        <v>0</v>
      </c>
      <c r="AV71" s="327">
        <f>IFERROR((SMALL(AR70:AR72,COUNTIF(AR70:AR72,0)+1)+MAX(AR70:AR72))/2,0)</f>
        <v>0</v>
      </c>
      <c r="AW71" s="328">
        <f>IFERROR((SMALL(AS70:AS72,COUNTIF(AS70:AS72,0)+1)+MAX(AS70:AS72))/2,0)</f>
        <v>0</v>
      </c>
      <c r="AX71" s="82"/>
      <c r="AY71" s="82"/>
      <c r="AZ71" s="82"/>
      <c r="BA71" s="82"/>
      <c r="BB71" s="82"/>
      <c r="BC71" s="82"/>
      <c r="BD71" s="82"/>
      <c r="BE71" s="82"/>
      <c r="BF71" s="306"/>
      <c r="BG71" s="82"/>
      <c r="BH71" s="82"/>
      <c r="BI71" s="82"/>
      <c r="BJ71" s="82"/>
      <c r="BK71" s="82"/>
      <c r="BL71" s="82"/>
      <c r="BM71" s="82"/>
      <c r="BN71" s="82"/>
      <c r="BO71" s="82"/>
      <c r="BP71" s="82"/>
      <c r="BQ71" s="82"/>
      <c r="BR71" s="82"/>
      <c r="BS71" s="82"/>
      <c r="BT71" s="82"/>
      <c r="BU71" s="82"/>
      <c r="BV71" s="82"/>
      <c r="BW71" s="82"/>
      <c r="BX71" s="82"/>
      <c r="BY71" s="82"/>
      <c r="BZ71" s="82"/>
      <c r="CA71" s="82"/>
      <c r="CB71" s="82"/>
      <c r="CC71" s="82"/>
      <c r="CD71" s="82"/>
      <c r="CE71" s="82"/>
      <c r="CF71" s="82"/>
      <c r="CG71" s="82"/>
      <c r="CH71" s="82"/>
      <c r="CI71" s="82"/>
      <c r="CJ71" s="82"/>
      <c r="CK71" s="82"/>
      <c r="CL71" s="82"/>
      <c r="CM71" s="82"/>
      <c r="CN71" s="82"/>
      <c r="CO71" s="82"/>
      <c r="CP71" s="82"/>
      <c r="CQ71" s="82"/>
      <c r="CR71" s="82"/>
      <c r="CS71" s="82"/>
      <c r="CT71" s="82"/>
      <c r="CU71" s="82"/>
      <c r="CV71" s="82"/>
      <c r="CW71" s="82"/>
      <c r="CX71" s="82"/>
      <c r="CY71" s="82"/>
      <c r="CZ71" s="82"/>
      <c r="DA71" s="82"/>
      <c r="DB71" s="82"/>
    </row>
    <row r="72" spans="1:106">
      <c r="A72" s="82"/>
      <c r="B72" s="82"/>
      <c r="C72" s="171"/>
      <c r="D72" s="171"/>
      <c r="E72" s="171"/>
      <c r="F72" s="171"/>
      <c r="G72" s="82"/>
      <c r="H72" s="82"/>
      <c r="I72" s="82"/>
      <c r="J72" s="82"/>
      <c r="K72" s="82"/>
      <c r="L72" s="82"/>
      <c r="M72" s="82"/>
      <c r="N72" s="82"/>
      <c r="O72" s="82"/>
      <c r="P72" s="82"/>
      <c r="Q72" s="793"/>
      <c r="R72" s="82"/>
      <c r="S72" s="316">
        <f>S37</f>
        <v>0</v>
      </c>
      <c r="T72" s="316">
        <f>T37</f>
        <v>0</v>
      </c>
      <c r="U72" s="316">
        <f>U37</f>
        <v>0</v>
      </c>
      <c r="V72" s="82"/>
      <c r="W72" s="86"/>
      <c r="X72" s="86"/>
      <c r="Y72" s="329"/>
      <c r="Z72" s="82"/>
      <c r="AA72" s="226">
        <f>IF(AA20=0,0,-AA20-'GPS Anthro Tool'!$B$42)</f>
        <v>0</v>
      </c>
      <c r="AB72" s="226">
        <f>IF(AB20=0,0,-AB20-'GPS Anthro Tool'!$B$42)</f>
        <v>0</v>
      </c>
      <c r="AC72" s="226">
        <f>IF(AC20=0,0,-AC20-'GPS Anthro Tool'!$B$42)</f>
        <v>0</v>
      </c>
      <c r="AD72" s="82"/>
      <c r="AE72" s="82"/>
      <c r="AF72" s="82"/>
      <c r="AG72" s="82"/>
      <c r="AH72" s="82"/>
      <c r="AI72" s="82"/>
      <c r="AJ72" s="82"/>
      <c r="AK72" s="82"/>
      <c r="AL72" s="82"/>
      <c r="AM72" s="82"/>
      <c r="AN72" s="82"/>
      <c r="AO72" s="82"/>
      <c r="AP72" s="82"/>
      <c r="AQ72" s="316">
        <f>AQ37</f>
        <v>0</v>
      </c>
      <c r="AR72" s="316">
        <f>AR37</f>
        <v>0</v>
      </c>
      <c r="AS72" s="316">
        <f>AS37</f>
        <v>0</v>
      </c>
      <c r="AT72" s="82"/>
      <c r="AU72" s="86"/>
      <c r="AV72" s="86"/>
      <c r="AW72" s="329"/>
      <c r="AX72" s="82"/>
      <c r="AY72" s="82"/>
      <c r="AZ72" s="82"/>
      <c r="BA72" s="82"/>
      <c r="BB72" s="82"/>
      <c r="BC72" s="82"/>
      <c r="BD72" s="82"/>
      <c r="BE72" s="82"/>
      <c r="BF72" s="306"/>
      <c r="BG72" s="82"/>
      <c r="BH72" s="82"/>
      <c r="BI72" s="82"/>
      <c r="BJ72" s="82"/>
      <c r="BK72" s="82"/>
      <c r="BL72" s="82"/>
      <c r="BM72" s="82"/>
      <c r="BN72" s="82"/>
      <c r="BO72" s="82"/>
      <c r="BP72" s="82"/>
      <c r="BQ72" s="82"/>
      <c r="BR72" s="82"/>
      <c r="BS72" s="82"/>
      <c r="BT72" s="82"/>
      <c r="BU72" s="82"/>
      <c r="BV72" s="82"/>
      <c r="BW72" s="82"/>
      <c r="BX72" s="82"/>
      <c r="BY72" s="82"/>
      <c r="BZ72" s="82"/>
      <c r="CA72" s="82"/>
      <c r="CB72" s="82"/>
      <c r="CC72" s="82"/>
      <c r="CD72" s="82"/>
      <c r="CE72" s="82"/>
      <c r="CF72" s="82"/>
      <c r="CG72" s="82"/>
      <c r="CH72" s="82"/>
      <c r="CI72" s="82"/>
      <c r="CJ72" s="82"/>
      <c r="CK72" s="82"/>
      <c r="CL72" s="82"/>
      <c r="CM72" s="82"/>
      <c r="CN72" s="82"/>
      <c r="CO72" s="82"/>
      <c r="CP72" s="82"/>
      <c r="CQ72" s="82"/>
      <c r="CR72" s="82"/>
      <c r="CS72" s="82"/>
      <c r="CT72" s="82"/>
      <c r="CU72" s="82"/>
      <c r="CV72" s="82"/>
      <c r="CW72" s="82"/>
      <c r="CX72" s="82"/>
      <c r="CY72" s="82"/>
      <c r="CZ72" s="82"/>
      <c r="DA72" s="82"/>
      <c r="DB72" s="82"/>
    </row>
    <row r="73" spans="1:106">
      <c r="A73" s="82"/>
      <c r="B73" s="82"/>
      <c r="C73" s="171"/>
      <c r="D73" s="171"/>
      <c r="E73" s="171"/>
      <c r="F73" s="171"/>
      <c r="G73" s="82"/>
      <c r="H73" s="82"/>
      <c r="I73" s="82"/>
      <c r="J73" s="82"/>
      <c r="K73" s="82"/>
      <c r="L73" s="82"/>
      <c r="M73" s="82"/>
      <c r="N73" s="82"/>
      <c r="O73" s="82"/>
      <c r="P73" s="82"/>
      <c r="Q73" s="791">
        <v>7</v>
      </c>
      <c r="R73" s="82"/>
      <c r="S73" s="314">
        <f>S9</f>
        <v>0</v>
      </c>
      <c r="T73" s="314">
        <f>T9</f>
        <v>0</v>
      </c>
      <c r="U73" s="314">
        <f>U9</f>
        <v>0</v>
      </c>
      <c r="V73" s="82"/>
      <c r="W73" s="86"/>
      <c r="X73" s="86"/>
      <c r="Y73" s="329"/>
      <c r="Z73" s="82"/>
      <c r="AA73" s="226">
        <f>IF(AA21=0,0,-AA21-'GPS Anthro Tool'!$B$42)</f>
        <v>0</v>
      </c>
      <c r="AB73" s="226">
        <f>IF(AB21=0,0,-AB21-'GPS Anthro Tool'!$B$42)</f>
        <v>0</v>
      </c>
      <c r="AC73" s="226">
        <f>IF(AC21=0,0,-AC21-'GPS Anthro Tool'!$B$42)</f>
        <v>0</v>
      </c>
      <c r="AD73" s="82"/>
      <c r="AE73" s="82"/>
      <c r="AF73" s="82"/>
      <c r="AG73" s="82"/>
      <c r="AH73" s="82"/>
      <c r="AI73" s="82"/>
      <c r="AJ73" s="82"/>
      <c r="AK73" s="82"/>
      <c r="AL73" s="82"/>
      <c r="AM73" s="82"/>
      <c r="AN73" s="82"/>
      <c r="AO73" s="82"/>
      <c r="AP73" s="82"/>
      <c r="AQ73" s="314">
        <f>AQ9</f>
        <v>0</v>
      </c>
      <c r="AR73" s="314">
        <f>AR9</f>
        <v>0</v>
      </c>
      <c r="AS73" s="314">
        <f>AS9</f>
        <v>0</v>
      </c>
      <c r="AT73" s="82"/>
      <c r="AU73" s="86"/>
      <c r="AV73" s="86"/>
      <c r="AW73" s="329"/>
      <c r="AX73" s="82"/>
      <c r="AY73" s="82"/>
      <c r="AZ73" s="82"/>
      <c r="BA73" s="82"/>
      <c r="BB73" s="82"/>
      <c r="BC73" s="82"/>
      <c r="BD73" s="82"/>
      <c r="BE73" s="82"/>
      <c r="BF73" s="306"/>
      <c r="BG73" s="82"/>
      <c r="BH73" s="82"/>
      <c r="BI73" s="82"/>
      <c r="BJ73" s="82"/>
      <c r="BK73" s="82"/>
      <c r="BL73" s="82"/>
      <c r="BM73" s="82"/>
      <c r="BN73" s="82"/>
      <c r="BO73" s="82"/>
      <c r="BP73" s="82"/>
      <c r="BQ73" s="82"/>
      <c r="BR73" s="82"/>
      <c r="BS73" s="82"/>
      <c r="BT73" s="82"/>
      <c r="BU73" s="82"/>
      <c r="BV73" s="82"/>
      <c r="BW73" s="82"/>
      <c r="BX73" s="82"/>
      <c r="BY73" s="82"/>
      <c r="BZ73" s="82"/>
      <c r="CA73" s="82"/>
      <c r="CB73" s="82"/>
      <c r="CC73" s="82"/>
      <c r="CD73" s="82"/>
      <c r="CE73" s="82"/>
      <c r="CF73" s="82"/>
      <c r="CG73" s="82"/>
      <c r="CH73" s="82"/>
      <c r="CI73" s="82"/>
      <c r="CJ73" s="82"/>
      <c r="CK73" s="82"/>
      <c r="CL73" s="82"/>
      <c r="CM73" s="82"/>
      <c r="CN73" s="82"/>
      <c r="CO73" s="82"/>
      <c r="CP73" s="82"/>
      <c r="CQ73" s="82"/>
      <c r="CR73" s="82"/>
      <c r="CS73" s="82"/>
      <c r="CT73" s="82"/>
      <c r="CU73" s="82"/>
      <c r="CV73" s="82"/>
      <c r="CW73" s="82"/>
      <c r="CX73" s="82"/>
      <c r="CY73" s="82"/>
      <c r="CZ73" s="82"/>
      <c r="DA73" s="82"/>
      <c r="DB73" s="82"/>
    </row>
    <row r="74" spans="1:106">
      <c r="A74" s="82"/>
      <c r="B74" s="82"/>
      <c r="C74" s="171"/>
      <c r="D74" s="171"/>
      <c r="E74" s="171"/>
      <c r="F74" s="171"/>
      <c r="G74" s="82"/>
      <c r="H74" s="82"/>
      <c r="I74" s="82"/>
      <c r="J74" s="82"/>
      <c r="K74" s="82"/>
      <c r="L74" s="82"/>
      <c r="M74" s="82"/>
      <c r="N74" s="82"/>
      <c r="O74" s="82"/>
      <c r="P74" s="82"/>
      <c r="Q74" s="792"/>
      <c r="R74" s="82"/>
      <c r="S74" s="317">
        <f>S24</f>
        <v>0</v>
      </c>
      <c r="T74" s="317">
        <f>T24</f>
        <v>0</v>
      </c>
      <c r="U74" s="317">
        <f>U24</f>
        <v>0</v>
      </c>
      <c r="V74" s="82"/>
      <c r="W74" s="327">
        <f>IFERROR((SMALL(S73:S75,COUNTIF(S73:S75,0)+1)+MAX(S73:S75))/2,0)</f>
        <v>0</v>
      </c>
      <c r="X74" s="327">
        <f>IFERROR((SMALL(T73:T75,COUNTIF(T73:T75,0)+1)+MAX(T73:T75))/2,0)</f>
        <v>0</v>
      </c>
      <c r="Y74" s="328">
        <f>IFERROR((SMALL(U73:U75,COUNTIF(U73:U75,0)+1)+MAX(U73:U75))/2,0)</f>
        <v>0</v>
      </c>
      <c r="Z74" s="82"/>
      <c r="AA74" s="226">
        <f>IF(AA22=0,0,-AA22-'GPS Anthro Tool'!$B$42)</f>
        <v>0</v>
      </c>
      <c r="AB74" s="226">
        <f>IF(AB22=0,0,-AB22-'GPS Anthro Tool'!$B$42)</f>
        <v>0</v>
      </c>
      <c r="AC74" s="226">
        <f>IF(AC22=0,0,-AC22-'GPS Anthro Tool'!$B$42)</f>
        <v>0</v>
      </c>
      <c r="AD74" s="82"/>
      <c r="AE74" s="82"/>
      <c r="AF74" s="82"/>
      <c r="AG74" s="82"/>
      <c r="AH74" s="82"/>
      <c r="AI74" s="82"/>
      <c r="AJ74" s="82"/>
      <c r="AK74" s="82"/>
      <c r="AL74" s="82"/>
      <c r="AM74" s="82"/>
      <c r="AN74" s="82"/>
      <c r="AO74" s="82"/>
      <c r="AP74" s="82"/>
      <c r="AQ74" s="317">
        <f>AQ24</f>
        <v>0</v>
      </c>
      <c r="AR74" s="317">
        <f>AR24</f>
        <v>0</v>
      </c>
      <c r="AS74" s="317">
        <f>AS24</f>
        <v>0</v>
      </c>
      <c r="AT74" s="82"/>
      <c r="AU74" s="327">
        <f>IFERROR((SMALL(AQ73:AQ75,COUNTIF(AQ73:AQ75,0)+1)+MAX(AQ73:AQ75))/2,0)</f>
        <v>0</v>
      </c>
      <c r="AV74" s="327">
        <f>IFERROR((SMALL(AR73:AR75,COUNTIF(AR73:AR75,0)+1)+MAX(AR73:AR75))/2,0)</f>
        <v>0</v>
      </c>
      <c r="AW74" s="328">
        <f>IFERROR((SMALL(AS73:AS75,COUNTIF(AS73:AS75,0)+1)+MAX(AS73:AS75))/2,0)</f>
        <v>0</v>
      </c>
      <c r="AX74" s="82"/>
      <c r="AY74" s="82"/>
      <c r="AZ74" s="82"/>
      <c r="BA74" s="82"/>
      <c r="BB74" s="82"/>
      <c r="BC74" s="82"/>
      <c r="BD74" s="82"/>
      <c r="BE74" s="82"/>
      <c r="BF74" s="306"/>
      <c r="BG74" s="82"/>
      <c r="BH74" s="82"/>
      <c r="BI74" s="82"/>
      <c r="BJ74" s="82"/>
      <c r="BK74" s="82"/>
      <c r="BL74" s="82"/>
      <c r="BM74" s="82"/>
      <c r="BN74" s="82"/>
      <c r="BO74" s="82"/>
      <c r="BP74" s="82"/>
      <c r="BQ74" s="82"/>
      <c r="BR74" s="82"/>
      <c r="BS74" s="82"/>
      <c r="BT74" s="82"/>
      <c r="BU74" s="82"/>
      <c r="BV74" s="82"/>
      <c r="BW74" s="82"/>
      <c r="BX74" s="82"/>
      <c r="BY74" s="82"/>
      <c r="BZ74" s="82"/>
      <c r="CA74" s="82"/>
      <c r="CB74" s="82"/>
      <c r="CC74" s="82"/>
      <c r="CD74" s="82"/>
      <c r="CE74" s="82"/>
      <c r="CF74" s="82"/>
      <c r="CG74" s="82"/>
      <c r="CH74" s="82"/>
      <c r="CI74" s="82"/>
      <c r="CJ74" s="82"/>
      <c r="CK74" s="82"/>
      <c r="CL74" s="82"/>
      <c r="CM74" s="82"/>
      <c r="CN74" s="82"/>
      <c r="CO74" s="82"/>
      <c r="CP74" s="82"/>
      <c r="CQ74" s="82"/>
      <c r="CR74" s="82"/>
      <c r="CS74" s="82"/>
      <c r="CT74" s="82"/>
      <c r="CU74" s="82"/>
      <c r="CV74" s="82"/>
      <c r="CW74" s="82"/>
      <c r="CX74" s="82"/>
      <c r="CY74" s="82"/>
      <c r="CZ74" s="82"/>
      <c r="DA74" s="82"/>
      <c r="DB74" s="82"/>
    </row>
    <row r="75" spans="1:106">
      <c r="A75" s="82"/>
      <c r="B75" s="82"/>
      <c r="C75" s="171"/>
      <c r="D75" s="171"/>
      <c r="E75" s="171"/>
      <c r="F75" s="171"/>
      <c r="G75" s="82"/>
      <c r="H75" s="82"/>
      <c r="I75" s="82"/>
      <c r="J75" s="82"/>
      <c r="K75" s="82"/>
      <c r="L75" s="82"/>
      <c r="M75" s="82"/>
      <c r="N75" s="82"/>
      <c r="O75" s="82"/>
      <c r="P75" s="82"/>
      <c r="Q75" s="793"/>
      <c r="R75" s="82"/>
      <c r="S75" s="316">
        <f>S38</f>
        <v>0</v>
      </c>
      <c r="T75" s="316">
        <f>T38</f>
        <v>0</v>
      </c>
      <c r="U75" s="316">
        <f>U38</f>
        <v>0</v>
      </c>
      <c r="V75" s="82"/>
      <c r="W75" s="86"/>
      <c r="X75" s="86"/>
      <c r="Y75" s="329"/>
      <c r="Z75" s="82"/>
      <c r="AA75" s="226">
        <f>IF(AA23=0,0,-AA23-'GPS Anthro Tool'!$B$42)</f>
        <v>0</v>
      </c>
      <c r="AB75" s="226">
        <f>IF(AB23=0,0,-AB23-'GPS Anthro Tool'!$B$42)</f>
        <v>0</v>
      </c>
      <c r="AC75" s="226">
        <f>IF(AC23=0,0,-AC23-'GPS Anthro Tool'!$B$42)</f>
        <v>0</v>
      </c>
      <c r="AD75" s="82"/>
      <c r="AE75" s="82"/>
      <c r="AF75" s="82"/>
      <c r="AG75" s="82"/>
      <c r="AH75" s="82"/>
      <c r="AI75" s="82"/>
      <c r="AJ75" s="82"/>
      <c r="AK75" s="82"/>
      <c r="AL75" s="82"/>
      <c r="AM75" s="82"/>
      <c r="AN75" s="82"/>
      <c r="AO75" s="82"/>
      <c r="AP75" s="82"/>
      <c r="AQ75" s="316">
        <f>AQ38</f>
        <v>0</v>
      </c>
      <c r="AR75" s="316">
        <f>AR38</f>
        <v>0</v>
      </c>
      <c r="AS75" s="316">
        <f>AS38</f>
        <v>0</v>
      </c>
      <c r="AT75" s="82"/>
      <c r="AU75" s="86"/>
      <c r="AV75" s="86"/>
      <c r="AW75" s="329"/>
      <c r="AX75" s="82"/>
      <c r="AY75" s="82"/>
      <c r="AZ75" s="82"/>
      <c r="BA75" s="82"/>
      <c r="BB75" s="82"/>
      <c r="BC75" s="82"/>
      <c r="BD75" s="82"/>
      <c r="BE75" s="82"/>
      <c r="BF75" s="306"/>
      <c r="BG75" s="82"/>
      <c r="BH75" s="82"/>
      <c r="BI75" s="82"/>
      <c r="BJ75" s="82"/>
      <c r="BK75" s="82"/>
      <c r="BL75" s="82"/>
      <c r="BM75" s="82"/>
      <c r="BN75" s="82"/>
      <c r="BO75" s="82"/>
      <c r="BP75" s="82"/>
      <c r="BQ75" s="82"/>
      <c r="BR75" s="82"/>
      <c r="BS75" s="82"/>
      <c r="BT75" s="82"/>
      <c r="BU75" s="82"/>
      <c r="BV75" s="82"/>
      <c r="BW75" s="82"/>
      <c r="BX75" s="82"/>
      <c r="BY75" s="82"/>
      <c r="BZ75" s="82"/>
      <c r="CA75" s="82"/>
      <c r="CB75" s="82"/>
      <c r="CC75" s="82"/>
      <c r="CD75" s="82"/>
      <c r="CE75" s="82"/>
      <c r="CF75" s="82"/>
      <c r="CG75" s="82"/>
      <c r="CH75" s="82"/>
      <c r="CI75" s="82"/>
      <c r="CJ75" s="82"/>
      <c r="CK75" s="82"/>
      <c r="CL75" s="82"/>
      <c r="CM75" s="82"/>
      <c r="CN75" s="82"/>
      <c r="CO75" s="82"/>
      <c r="CP75" s="82"/>
      <c r="CQ75" s="82"/>
      <c r="CR75" s="82"/>
      <c r="CS75" s="82"/>
      <c r="CT75" s="82"/>
      <c r="CU75" s="82"/>
      <c r="CV75" s="82"/>
      <c r="CW75" s="82"/>
      <c r="CX75" s="82"/>
      <c r="CY75" s="82"/>
      <c r="CZ75" s="82"/>
      <c r="DA75" s="82"/>
      <c r="DB75" s="82"/>
    </row>
    <row r="76" spans="1:106">
      <c r="Q76" s="791">
        <v>8</v>
      </c>
      <c r="S76" s="314">
        <f>S10</f>
        <v>0</v>
      </c>
      <c r="T76" s="314">
        <f>T10</f>
        <v>0</v>
      </c>
      <c r="U76" s="314">
        <f>U10</f>
        <v>0</v>
      </c>
      <c r="W76" s="50"/>
      <c r="X76" s="50"/>
      <c r="Y76" s="241"/>
      <c r="AA76" s="226">
        <f>IF(AA24=0,0,-AA24-'GPS Anthro Tool'!$B$42)</f>
        <v>0</v>
      </c>
      <c r="AB76" s="226">
        <f>IF(AB24=0,0,-AB24-'GPS Anthro Tool'!$B$42)</f>
        <v>0</v>
      </c>
      <c r="AC76" s="226">
        <f>IF(AC24=0,0,-AC24-'GPS Anthro Tool'!$B$42)</f>
        <v>0</v>
      </c>
      <c r="AQ76" s="314">
        <f>AQ10</f>
        <v>0</v>
      </c>
      <c r="AR76" s="314">
        <f>AR10</f>
        <v>0</v>
      </c>
      <c r="AS76" s="314">
        <f>AS10</f>
        <v>0</v>
      </c>
      <c r="AU76" s="50"/>
      <c r="AV76" s="50"/>
      <c r="AW76" s="241"/>
    </row>
    <row r="77" spans="1:106">
      <c r="Q77" s="792"/>
      <c r="S77" s="317">
        <f>S25</f>
        <v>0</v>
      </c>
      <c r="T77" s="317">
        <f>T25</f>
        <v>0</v>
      </c>
      <c r="U77" s="317">
        <f>U25</f>
        <v>0</v>
      </c>
      <c r="W77" s="327">
        <f>IFERROR((SMALL(S76:S78,COUNTIF(S76:S78,0)+1)+MAX(S76:S78))/2,0)</f>
        <v>0</v>
      </c>
      <c r="X77" s="327">
        <f>IFERROR((SMALL(T76:T78,COUNTIF(T76:T78,0)+1)+MAX(T76:T78))/2,0)</f>
        <v>0</v>
      </c>
      <c r="Y77" s="328">
        <f>IFERROR((SMALL(U76:U78,COUNTIF(U76:U78,0)+1)+MAX(U76:U78))/2,0)</f>
        <v>0</v>
      </c>
      <c r="AA77" s="226">
        <f>IF(AA25=0,0,-AA25-'GPS Anthro Tool'!$B$42)</f>
        <v>0</v>
      </c>
      <c r="AB77" s="226">
        <f>IF(AB25=0,0,-AB25-'GPS Anthro Tool'!$B$42)</f>
        <v>0</v>
      </c>
      <c r="AC77" s="226">
        <f>IF(AC25=0,0,-AC25-'GPS Anthro Tool'!$B$42)</f>
        <v>0</v>
      </c>
      <c r="AQ77" s="317">
        <f>AQ25</f>
        <v>0</v>
      </c>
      <c r="AR77" s="317">
        <f>AR25</f>
        <v>0</v>
      </c>
      <c r="AS77" s="317">
        <f>AS25</f>
        <v>0</v>
      </c>
      <c r="AU77" s="327">
        <f>IFERROR((SMALL(AQ76:AQ78,COUNTIF(AQ76:AQ78,0)+1)+MAX(AQ76:AQ78))/2,0)</f>
        <v>0</v>
      </c>
      <c r="AV77" s="327">
        <f>IFERROR((SMALL(AR76:AR78,COUNTIF(AR76:AR78,0)+1)+MAX(AR76:AR78))/2,0)</f>
        <v>0</v>
      </c>
      <c r="AW77" s="328">
        <f>IFERROR((SMALL(AS76:AS78,COUNTIF(AS76:AS78,0)+1)+MAX(AS76:AS78))/2,0)</f>
        <v>0</v>
      </c>
    </row>
    <row r="78" spans="1:106">
      <c r="Q78" s="793"/>
      <c r="S78" s="316">
        <f>S39</f>
        <v>0</v>
      </c>
      <c r="T78" s="316">
        <f>T39</f>
        <v>0</v>
      </c>
      <c r="U78" s="316">
        <f>U39</f>
        <v>0</v>
      </c>
      <c r="W78" s="50"/>
      <c r="X78" s="50"/>
      <c r="Y78" s="241"/>
      <c r="AA78" s="226">
        <f>IF(AA26=0,0,-AA26-'GPS Anthro Tool'!$B$42)</f>
        <v>0</v>
      </c>
      <c r="AB78" s="226">
        <f>IF(AB26=0,0,-AB26-'GPS Anthro Tool'!$B$42)</f>
        <v>0</v>
      </c>
      <c r="AC78" s="226">
        <f>IF(AC26=0,0,-AC26-'GPS Anthro Tool'!$B$42)</f>
        <v>0</v>
      </c>
      <c r="AQ78" s="316">
        <f>AQ39</f>
        <v>0</v>
      </c>
      <c r="AR78" s="316">
        <f>AR39</f>
        <v>0</v>
      </c>
      <c r="AS78" s="316">
        <f>AS39</f>
        <v>0</v>
      </c>
      <c r="AU78" s="50"/>
      <c r="AV78" s="50"/>
      <c r="AW78" s="241"/>
    </row>
    <row r="79" spans="1:106">
      <c r="Q79" s="791">
        <v>9</v>
      </c>
      <c r="S79" s="314">
        <f>S11</f>
        <v>0</v>
      </c>
      <c r="T79" s="314">
        <f>T11</f>
        <v>0</v>
      </c>
      <c r="U79" s="314">
        <f>U11</f>
        <v>0</v>
      </c>
      <c r="W79" s="50"/>
      <c r="X79" s="50"/>
      <c r="Y79" s="241"/>
      <c r="AA79" s="226">
        <f>IF(AA27=0,0,-AA27-'GPS Anthro Tool'!$B$42)</f>
        <v>0</v>
      </c>
      <c r="AB79" s="226">
        <f>IF(AB27=0,0,-AB27-'GPS Anthro Tool'!$B$42)</f>
        <v>0</v>
      </c>
      <c r="AC79" s="226">
        <f>IF(AC27=0,0,-AC27-'GPS Anthro Tool'!$B$42)</f>
        <v>0</v>
      </c>
      <c r="AQ79" s="314">
        <f>AQ11</f>
        <v>0</v>
      </c>
      <c r="AR79" s="314">
        <f>AR11</f>
        <v>0</v>
      </c>
      <c r="AS79" s="314">
        <f>AS11</f>
        <v>0</v>
      </c>
      <c r="AU79" s="50"/>
      <c r="AV79" s="50"/>
      <c r="AW79" s="241"/>
    </row>
    <row r="80" spans="1:106">
      <c r="Q80" s="792"/>
      <c r="S80" s="317">
        <f>S26</f>
        <v>0</v>
      </c>
      <c r="T80" s="317">
        <f>T26</f>
        <v>0</v>
      </c>
      <c r="U80" s="317">
        <f>U26</f>
        <v>0</v>
      </c>
      <c r="W80" s="327">
        <f>IFERROR((SMALL(S79:S81,COUNTIF(S79:S81,0)+1)+MAX(S79:S81))/2,0)</f>
        <v>0</v>
      </c>
      <c r="X80" s="327">
        <f>IFERROR((SMALL(T79:T81,COUNTIF(T79:T81,0)+1)+MAX(T79:T81))/2,0)</f>
        <v>0</v>
      </c>
      <c r="Y80" s="328">
        <f>IFERROR((SMALL(U79:U81,COUNTIF(U79:U81,0)+1)+MAX(U79:U81))/2,0)</f>
        <v>0</v>
      </c>
      <c r="AA80" s="226">
        <f>IF(AA28=0,0,-AA28-'GPS Anthro Tool'!$B$42)</f>
        <v>0</v>
      </c>
      <c r="AB80" s="226">
        <f>IF(AB28=0,0,-AB28-'GPS Anthro Tool'!$B$42)</f>
        <v>0</v>
      </c>
      <c r="AC80" s="226">
        <f>IF(AC28=0,0,-AC28-'GPS Anthro Tool'!$B$42)</f>
        <v>0</v>
      </c>
      <c r="AQ80" s="317">
        <f>AQ26</f>
        <v>0</v>
      </c>
      <c r="AR80" s="317">
        <f>AR26</f>
        <v>0</v>
      </c>
      <c r="AS80" s="317">
        <f>AS26</f>
        <v>0</v>
      </c>
      <c r="AU80" s="327">
        <f>IFERROR((SMALL(AQ79:AQ81,COUNTIF(AQ79:AQ81,0)+1)+MAX(AQ79:AQ81))/2,0)</f>
        <v>0</v>
      </c>
      <c r="AV80" s="327">
        <f>IFERROR((SMALL(AR79:AR81,COUNTIF(AR79:AR81,0)+1)+MAX(AR79:AR81))/2,0)</f>
        <v>0</v>
      </c>
      <c r="AW80" s="328">
        <f>IFERROR((SMALL(AS79:AS81,COUNTIF(AS79:AS81,0)+1)+MAX(AS79:AS81))/2,0)</f>
        <v>0</v>
      </c>
    </row>
    <row r="81" spans="17:49">
      <c r="Q81" s="793"/>
      <c r="S81" s="316">
        <f>S40</f>
        <v>0</v>
      </c>
      <c r="T81" s="316">
        <f>T40</f>
        <v>0</v>
      </c>
      <c r="U81" s="316">
        <f>U40</f>
        <v>0</v>
      </c>
      <c r="W81" s="50"/>
      <c r="X81" s="50"/>
      <c r="Y81" s="241"/>
      <c r="AA81" s="226">
        <f>IF(AA29=0,0,-AA29-'GPS Anthro Tool'!$B$42)</f>
        <v>0</v>
      </c>
      <c r="AB81" s="226">
        <f>IF(AB29=0,0,-AB29-'GPS Anthro Tool'!$B$42)</f>
        <v>0</v>
      </c>
      <c r="AC81" s="226">
        <f>IF(AC29=0,0,-AC29-'GPS Anthro Tool'!$B$42)</f>
        <v>0</v>
      </c>
      <c r="AQ81" s="316">
        <f>AQ40</f>
        <v>0</v>
      </c>
      <c r="AR81" s="316">
        <f>AR40</f>
        <v>0</v>
      </c>
      <c r="AS81" s="316">
        <f>AS40</f>
        <v>0</v>
      </c>
      <c r="AU81" s="50"/>
      <c r="AV81" s="50"/>
      <c r="AW81" s="241"/>
    </row>
    <row r="82" spans="17:49">
      <c r="Q82" s="791">
        <v>10</v>
      </c>
      <c r="S82" s="314">
        <f>S12</f>
        <v>0</v>
      </c>
      <c r="T82" s="314">
        <f>T12</f>
        <v>0</v>
      </c>
      <c r="U82" s="314">
        <f>U12</f>
        <v>0</v>
      </c>
      <c r="W82" s="50"/>
      <c r="X82" s="50"/>
      <c r="Y82" s="241"/>
      <c r="AA82" s="226">
        <f>IF(AA30=0,0,-AA30-'GPS Anthro Tool'!$B$42)</f>
        <v>0</v>
      </c>
      <c r="AB82" s="226">
        <f>IF(AB30=0,0,-AB30-'GPS Anthro Tool'!$B$42)</f>
        <v>0</v>
      </c>
      <c r="AC82" s="226">
        <f>IF(AC30=0,0,-AC30-'GPS Anthro Tool'!$B$42)</f>
        <v>0</v>
      </c>
      <c r="AQ82" s="314">
        <f>AQ12</f>
        <v>0</v>
      </c>
      <c r="AR82" s="314">
        <f>AR12</f>
        <v>0</v>
      </c>
      <c r="AS82" s="314">
        <f>AS12</f>
        <v>0</v>
      </c>
      <c r="AU82" s="50"/>
      <c r="AV82" s="50"/>
      <c r="AW82" s="241"/>
    </row>
    <row r="83" spans="17:49">
      <c r="Q83" s="792"/>
      <c r="S83" s="317">
        <f>S27</f>
        <v>0</v>
      </c>
      <c r="T83" s="317">
        <f>T27</f>
        <v>0</v>
      </c>
      <c r="U83" s="317">
        <f>U27</f>
        <v>0</v>
      </c>
      <c r="W83" s="327">
        <f>IFERROR((SMALL(S82:S84,COUNTIF(S82:S84,0)+1)+MAX(S82:S84))/2,0)</f>
        <v>0</v>
      </c>
      <c r="X83" s="327">
        <f>IFERROR((SMALL(T82:T84,COUNTIF(T82:T84,0)+1)+MAX(T82:T84))/2,0)</f>
        <v>0</v>
      </c>
      <c r="Y83" s="328">
        <f>IFERROR((SMALL(U82:U84,COUNTIF(U82:U84,0)+1)+MAX(U82:U84))/2,0)</f>
        <v>0</v>
      </c>
      <c r="AA83" s="226">
        <f>IF(AA31=0,0,-AA31-'GPS Anthro Tool'!$B$42)</f>
        <v>0</v>
      </c>
      <c r="AB83" s="226">
        <f>IF(AB31=0,0,-AB31-'GPS Anthro Tool'!$B$42)</f>
        <v>0</v>
      </c>
      <c r="AC83" s="226">
        <f>IF(AC31=0,0,-AC31-'GPS Anthro Tool'!$B$42)</f>
        <v>0</v>
      </c>
      <c r="AQ83" s="317">
        <f>AQ27</f>
        <v>0</v>
      </c>
      <c r="AR83" s="317">
        <f>AR27</f>
        <v>0</v>
      </c>
      <c r="AS83" s="317">
        <f>AS27</f>
        <v>0</v>
      </c>
      <c r="AU83" s="327">
        <f>IFERROR((SMALL(AQ82:AQ84,COUNTIF(AQ82:AQ84,0)+1)+MAX(AQ82:AQ84))/2,0)</f>
        <v>0</v>
      </c>
      <c r="AV83" s="327">
        <f>IFERROR((SMALL(AR82:AR84,COUNTIF(AR82:AR84,0)+1)+MAX(AR82:AR84))/2,0)</f>
        <v>0</v>
      </c>
      <c r="AW83" s="328">
        <f>IFERROR((SMALL(AS82:AS84,COUNTIF(AS82:AS84,0)+1)+MAX(AS82:AS84))/2,0)</f>
        <v>0</v>
      </c>
    </row>
    <row r="84" spans="17:49">
      <c r="Q84" s="793"/>
      <c r="S84" s="316">
        <f>S41</f>
        <v>0</v>
      </c>
      <c r="T84" s="316">
        <f>T41</f>
        <v>0</v>
      </c>
      <c r="U84" s="316">
        <f>U41</f>
        <v>0</v>
      </c>
      <c r="W84" s="50"/>
      <c r="X84" s="50"/>
      <c r="Y84" s="241"/>
      <c r="AA84" s="226">
        <f>IF(AA32=0,0,-AA32-'GPS Anthro Tool'!$B$42)</f>
        <v>0</v>
      </c>
      <c r="AB84" s="226">
        <f>IF(AB32=0,0,-AB32-'GPS Anthro Tool'!$B$42)</f>
        <v>0</v>
      </c>
      <c r="AC84" s="226">
        <f>IF(AC32=0,0,-AC32-'GPS Anthro Tool'!$B$42)</f>
        <v>0</v>
      </c>
      <c r="AQ84" s="316">
        <f>AQ41</f>
        <v>0</v>
      </c>
      <c r="AR84" s="316">
        <f>AR41</f>
        <v>0</v>
      </c>
      <c r="AS84" s="316">
        <f>AS41</f>
        <v>0</v>
      </c>
      <c r="AU84" s="50"/>
      <c r="AV84" s="50"/>
      <c r="AW84" s="241"/>
    </row>
    <row r="85" spans="17:49">
      <c r="Q85" s="791">
        <v>11</v>
      </c>
      <c r="S85" s="314">
        <f>S13</f>
        <v>0</v>
      </c>
      <c r="T85" s="314">
        <f>T13</f>
        <v>0</v>
      </c>
      <c r="U85" s="314">
        <f>U13</f>
        <v>0</v>
      </c>
      <c r="W85" s="50"/>
      <c r="X85" s="50"/>
      <c r="Y85" s="241"/>
      <c r="AA85" s="226">
        <f>IF(AA33=0,0,-AA33-'GPS Anthro Tool'!$B$42)</f>
        <v>0</v>
      </c>
      <c r="AB85" s="226">
        <f>IF(AB33=0,0,-AB33-'GPS Anthro Tool'!$B$42)</f>
        <v>0</v>
      </c>
      <c r="AC85" s="226">
        <f>IF(AC33=0,0,-AC33-'GPS Anthro Tool'!$B$42)</f>
        <v>0</v>
      </c>
      <c r="AQ85" s="314">
        <f>AQ13</f>
        <v>0</v>
      </c>
      <c r="AR85" s="314">
        <f>AR13</f>
        <v>0</v>
      </c>
      <c r="AS85" s="314">
        <f>AS13</f>
        <v>0</v>
      </c>
      <c r="AU85" s="50"/>
      <c r="AV85" s="50"/>
      <c r="AW85" s="241"/>
    </row>
    <row r="86" spans="17:49">
      <c r="Q86" s="792"/>
      <c r="S86" s="317">
        <f>S28</f>
        <v>0</v>
      </c>
      <c r="T86" s="317">
        <f>T28</f>
        <v>0</v>
      </c>
      <c r="U86" s="317">
        <f>U28</f>
        <v>0</v>
      </c>
      <c r="W86" s="327">
        <f>IFERROR((SMALL(S85:S87,COUNTIF(S85:S87,0)+1)+MAX(S85:S87))/2,0)</f>
        <v>0</v>
      </c>
      <c r="X86" s="327">
        <f>IFERROR((SMALL(T85:T87,COUNTIF(T85:T87,0)+1)+MAX(T85:T87))/2,0)</f>
        <v>0</v>
      </c>
      <c r="Y86" s="328">
        <f>IFERROR((SMALL(U85:U87,COUNTIF(U85:U87,0)+1)+MAX(U85:U87))/2,0)</f>
        <v>0</v>
      </c>
      <c r="AA86" s="226">
        <f>IF(AA34=0,0,-AA34-'GPS Anthro Tool'!$B$42)</f>
        <v>0</v>
      </c>
      <c r="AB86" s="226">
        <f>IF(AB34=0,0,-AB34-'GPS Anthro Tool'!$B$42)</f>
        <v>0</v>
      </c>
      <c r="AC86" s="226">
        <f>IF(AC34=0,0,-AC34-'GPS Anthro Tool'!$B$42)</f>
        <v>0</v>
      </c>
      <c r="AQ86" s="317">
        <f>AQ28</f>
        <v>0</v>
      </c>
      <c r="AR86" s="317">
        <f>AR28</f>
        <v>0</v>
      </c>
      <c r="AS86" s="317">
        <f>AS28</f>
        <v>0</v>
      </c>
      <c r="AU86" s="327">
        <f>IFERROR((SMALL(AQ85:AQ87,COUNTIF(AQ85:AQ87,0)+1)+MAX(AQ85:AQ87))/2,0)</f>
        <v>0</v>
      </c>
      <c r="AV86" s="327">
        <f>IFERROR((SMALL(AR85:AR87,COUNTIF(AR85:AR87,0)+1)+MAX(AR85:AR87))/2,0)</f>
        <v>0</v>
      </c>
      <c r="AW86" s="328">
        <f>IFERROR((SMALL(AS85:AS87,COUNTIF(AS85:AS87,0)+1)+MAX(AS85:AS87))/2,0)</f>
        <v>0</v>
      </c>
    </row>
    <row r="87" spans="17:49">
      <c r="Q87" s="793"/>
      <c r="S87" s="316">
        <f>S42</f>
        <v>0</v>
      </c>
      <c r="T87" s="316">
        <f>T42</f>
        <v>0</v>
      </c>
      <c r="U87" s="316">
        <f>U42</f>
        <v>0</v>
      </c>
      <c r="W87" s="50"/>
      <c r="X87" s="50"/>
      <c r="Y87" s="241"/>
      <c r="AA87" s="226">
        <f>IF(AA35=0,0,-AA35-'GPS Anthro Tool'!$B$42)</f>
        <v>0</v>
      </c>
      <c r="AB87" s="226">
        <f>IF(AB35=0,0,-AB35-'GPS Anthro Tool'!$B$42)</f>
        <v>0</v>
      </c>
      <c r="AC87" s="226">
        <f>IF(AC35=0,0,-AC35-'GPS Anthro Tool'!$B$42)</f>
        <v>0</v>
      </c>
      <c r="AQ87" s="316">
        <f>AQ42</f>
        <v>0</v>
      </c>
      <c r="AR87" s="316">
        <f>AR42</f>
        <v>0</v>
      </c>
      <c r="AS87" s="316">
        <f>AS42</f>
        <v>0</v>
      </c>
      <c r="AU87" s="50"/>
      <c r="AV87" s="50"/>
      <c r="AW87" s="241"/>
    </row>
    <row r="88" spans="17:49">
      <c r="Q88" s="791">
        <v>12</v>
      </c>
      <c r="S88" s="314">
        <f>S14</f>
        <v>0</v>
      </c>
      <c r="T88" s="314">
        <f>T14</f>
        <v>0</v>
      </c>
      <c r="U88" s="314">
        <f>U14</f>
        <v>0</v>
      </c>
      <c r="W88" s="50"/>
      <c r="X88" s="50"/>
      <c r="Y88" s="241"/>
      <c r="AA88" s="226">
        <f>IF(AA36=0,0,-AA36-'GPS Anthro Tool'!$B$42)</f>
        <v>0</v>
      </c>
      <c r="AB88" s="226">
        <f>IF(AB36=0,0,-AB36-'GPS Anthro Tool'!$B$42)</f>
        <v>0</v>
      </c>
      <c r="AC88" s="226">
        <f>IF(AC36=0,0,-AC36-'GPS Anthro Tool'!$B$42)</f>
        <v>0</v>
      </c>
      <c r="AQ88" s="314">
        <f>AQ14</f>
        <v>0</v>
      </c>
      <c r="AR88" s="314">
        <f>AR14</f>
        <v>0</v>
      </c>
      <c r="AS88" s="314">
        <f>AS14</f>
        <v>0</v>
      </c>
      <c r="AU88" s="50"/>
      <c r="AV88" s="50"/>
      <c r="AW88" s="241"/>
    </row>
    <row r="89" spans="17:49">
      <c r="Q89" s="792"/>
      <c r="S89" s="317">
        <f>S28</f>
        <v>0</v>
      </c>
      <c r="T89" s="317">
        <f>T28</f>
        <v>0</v>
      </c>
      <c r="U89" s="317">
        <f>U28</f>
        <v>0</v>
      </c>
      <c r="W89" s="327">
        <f>IFERROR((SMALL(S88:S90,COUNTIF(S88:S90,0)+1)+MAX(S88:S90))/2,0)</f>
        <v>0</v>
      </c>
      <c r="X89" s="327">
        <f>IFERROR((SMALL(T88:T90,COUNTIF(T88:T90,0)+1)+MAX(T88:T90))/2,0)</f>
        <v>0</v>
      </c>
      <c r="Y89" s="328">
        <f>IFERROR((SMALL(U88:U90,COUNTIF(U88:U90,0)+1)+MAX(U88:U90))/2,0)</f>
        <v>0</v>
      </c>
      <c r="AA89" s="226">
        <f>IF(AA37=0,0,-AA37-'GPS Anthro Tool'!$B$42)</f>
        <v>0</v>
      </c>
      <c r="AB89" s="226">
        <f>IF(AB37=0,0,-AB37-'GPS Anthro Tool'!$B$42)</f>
        <v>0</v>
      </c>
      <c r="AC89" s="226">
        <f>IF(AC37=0,0,-AC37-'GPS Anthro Tool'!$B$42)</f>
        <v>0</v>
      </c>
      <c r="AQ89" s="317">
        <f>AQ28</f>
        <v>0</v>
      </c>
      <c r="AR89" s="317">
        <f>AR28</f>
        <v>0</v>
      </c>
      <c r="AS89" s="317">
        <f>AS28</f>
        <v>0</v>
      </c>
      <c r="AU89" s="327">
        <f>IFERROR((SMALL(AQ88:AQ90,COUNTIF(AQ88:AQ90,0)+1)+MAX(AQ88:AQ90))/2,0)</f>
        <v>0</v>
      </c>
      <c r="AV89" s="327">
        <f>IFERROR((SMALL(AR88:AR90,COUNTIF(AR88:AR90,0)+1)+MAX(AR88:AR90))/2,0)</f>
        <v>0</v>
      </c>
      <c r="AW89" s="328">
        <f>IFERROR((SMALL(AS88:AS90,COUNTIF(AS88:AS90,0)+1)+MAX(AS88:AS90))/2,0)</f>
        <v>0</v>
      </c>
    </row>
    <row r="90" spans="17:49">
      <c r="Q90" s="793"/>
      <c r="S90" s="316">
        <f>S42</f>
        <v>0</v>
      </c>
      <c r="T90" s="316">
        <f>T42</f>
        <v>0</v>
      </c>
      <c r="U90" s="316">
        <f>U42</f>
        <v>0</v>
      </c>
      <c r="W90" s="50"/>
      <c r="X90" s="50"/>
      <c r="Y90" s="241"/>
      <c r="AA90" s="226">
        <f>IF(AA38=0,0,-AA38-'GPS Anthro Tool'!$B$42)</f>
        <v>0</v>
      </c>
      <c r="AB90" s="226">
        <f>IF(AB38=0,0,-AB38-'GPS Anthro Tool'!$B$42)</f>
        <v>0</v>
      </c>
      <c r="AC90" s="226">
        <f>IF(AC38=0,0,-AC38-'GPS Anthro Tool'!$B$42)</f>
        <v>0</v>
      </c>
      <c r="AQ90" s="316">
        <f>AQ42</f>
        <v>0</v>
      </c>
      <c r="AR90" s="316">
        <f>AR42</f>
        <v>0</v>
      </c>
      <c r="AS90" s="316">
        <f>AS42</f>
        <v>0</v>
      </c>
      <c r="AU90" s="50"/>
      <c r="AV90" s="50"/>
      <c r="AW90" s="241"/>
    </row>
    <row r="91" spans="17:49">
      <c r="Q91" s="791">
        <v>13</v>
      </c>
      <c r="S91" s="314">
        <f>S15</f>
        <v>0</v>
      </c>
      <c r="T91" s="314">
        <f>T15</f>
        <v>0</v>
      </c>
      <c r="U91" s="314">
        <f>U15</f>
        <v>0</v>
      </c>
      <c r="W91" s="50"/>
      <c r="X91" s="50"/>
      <c r="Y91" s="241"/>
      <c r="AA91" s="226">
        <f>IF(AA39=0,0,-AA39-'GPS Anthro Tool'!$B$42)</f>
        <v>0</v>
      </c>
      <c r="AB91" s="226">
        <f>IF(AB39=0,0,-AB39-'GPS Anthro Tool'!$B$42)</f>
        <v>0</v>
      </c>
      <c r="AC91" s="226">
        <f>IF(AC39=0,0,-AC39-'GPS Anthro Tool'!$B$42)</f>
        <v>0</v>
      </c>
      <c r="AQ91" s="314">
        <f>AQ15</f>
        <v>0</v>
      </c>
      <c r="AR91" s="314">
        <f>AR15</f>
        <v>0</v>
      </c>
      <c r="AS91" s="314">
        <f>AS15</f>
        <v>0</v>
      </c>
      <c r="AU91" s="50"/>
      <c r="AV91" s="50"/>
      <c r="AW91" s="241"/>
    </row>
    <row r="92" spans="17:49">
      <c r="Q92" s="792"/>
      <c r="S92" s="317">
        <f>S30</f>
        <v>0</v>
      </c>
      <c r="T92" s="317">
        <f>T30</f>
        <v>0</v>
      </c>
      <c r="U92" s="317">
        <f>U30</f>
        <v>0</v>
      </c>
      <c r="W92" s="327">
        <f>IFERROR((SMALL(S91:S93,COUNTIF(S91:S93,0)+1)+MAX(S91:S93))/2,0)</f>
        <v>0</v>
      </c>
      <c r="X92" s="327">
        <f>IFERROR((SMALL(T91:T93,COUNTIF(T91:T93,0)+1)+MAX(T91:T93))/2,0)</f>
        <v>0</v>
      </c>
      <c r="Y92" s="328">
        <f>IFERROR((SMALL(U91:U93,COUNTIF(U91:U93,0)+1)+MAX(U91:U93))/2,0)</f>
        <v>0</v>
      </c>
      <c r="AA92" s="226">
        <f>IF(AA40=0,0,-AA40-'GPS Anthro Tool'!$B$42)</f>
        <v>0</v>
      </c>
      <c r="AB92" s="226">
        <f>IF(AB40=0,0,-AB40-'GPS Anthro Tool'!$B$42)</f>
        <v>0</v>
      </c>
      <c r="AC92" s="226">
        <f>IF(AC40=0,0,-AC40-'GPS Anthro Tool'!$B$42)</f>
        <v>0</v>
      </c>
      <c r="AQ92" s="317">
        <f>AQ30</f>
        <v>0</v>
      </c>
      <c r="AR92" s="317">
        <f>AR30</f>
        <v>0</v>
      </c>
      <c r="AS92" s="317">
        <f>AS30</f>
        <v>0</v>
      </c>
      <c r="AU92" s="327">
        <f>IFERROR((SMALL(AQ91:AQ93,COUNTIF(AQ91:AQ93,0)+1)+MAX(AQ91:AQ93))/2,0)</f>
        <v>0</v>
      </c>
      <c r="AV92" s="327">
        <f>IFERROR((SMALL(AR91:AR93,COUNTIF(AR91:AR93,0)+1)+MAX(AR91:AR93))/2,0)</f>
        <v>0</v>
      </c>
      <c r="AW92" s="328">
        <f>IFERROR((SMALL(AS91:AS93,COUNTIF(AS91:AS93,0)+1)+MAX(AS91:AS93))/2,0)</f>
        <v>0</v>
      </c>
    </row>
    <row r="93" spans="17:49">
      <c r="Q93" s="793"/>
      <c r="S93" s="316">
        <f>S44</f>
        <v>0</v>
      </c>
      <c r="T93" s="316">
        <f>T44</f>
        <v>0</v>
      </c>
      <c r="U93" s="316">
        <f>U44</f>
        <v>0</v>
      </c>
      <c r="W93" s="50"/>
      <c r="X93" s="50"/>
      <c r="Y93" s="241"/>
      <c r="AA93" s="226">
        <f>IF(AA41=0,0,-AA41-'GPS Anthro Tool'!$B$42)</f>
        <v>0</v>
      </c>
      <c r="AB93" s="226">
        <f>IF(AB41=0,0,-AB41-'GPS Anthro Tool'!$B$42)</f>
        <v>0</v>
      </c>
      <c r="AC93" s="226">
        <f>IF(AC41=0,0,-AC41-'GPS Anthro Tool'!$B$42)</f>
        <v>0</v>
      </c>
      <c r="AQ93" s="316">
        <f>AQ44</f>
        <v>0</v>
      </c>
      <c r="AR93" s="316">
        <f>AR44</f>
        <v>0</v>
      </c>
      <c r="AS93" s="316">
        <f>AS44</f>
        <v>0</v>
      </c>
      <c r="AU93" s="50"/>
      <c r="AV93" s="50"/>
      <c r="AW93" s="241"/>
    </row>
    <row r="94" spans="17:49">
      <c r="Q94" s="791">
        <v>14</v>
      </c>
      <c r="S94" s="314">
        <f>S16</f>
        <v>0</v>
      </c>
      <c r="T94" s="314">
        <f>T16</f>
        <v>0</v>
      </c>
      <c r="U94" s="314">
        <f>U16</f>
        <v>0</v>
      </c>
      <c r="W94" s="50"/>
      <c r="X94" s="50"/>
      <c r="Y94" s="241"/>
      <c r="AA94" s="226">
        <f>IF(AA42=0,0,-AA42-'GPS Anthro Tool'!$B$42)</f>
        <v>0</v>
      </c>
      <c r="AB94" s="226">
        <f>IF(AB42=0,0,-AB42-'GPS Anthro Tool'!$B$42)</f>
        <v>0</v>
      </c>
      <c r="AC94" s="226">
        <f>IF(AC42=0,0,-AC42-'GPS Anthro Tool'!$B$42)</f>
        <v>0</v>
      </c>
      <c r="AQ94" s="314">
        <f>AQ16</f>
        <v>0</v>
      </c>
      <c r="AR94" s="314">
        <f>AR16</f>
        <v>0</v>
      </c>
      <c r="AS94" s="314">
        <f>AS16</f>
        <v>0</v>
      </c>
      <c r="AU94" s="50"/>
      <c r="AV94" s="50"/>
      <c r="AW94" s="241"/>
    </row>
    <row r="95" spans="17:49">
      <c r="Q95" s="792"/>
      <c r="S95" s="317">
        <f>S29</f>
        <v>0</v>
      </c>
      <c r="T95" s="317">
        <f>T29</f>
        <v>0</v>
      </c>
      <c r="U95" s="317">
        <f>U29</f>
        <v>0</v>
      </c>
      <c r="W95" s="327">
        <f>IFERROR((SMALL(S94:S96,COUNTIF(S94:S96,0)+1)+MAX(S94:S96))/2,0)</f>
        <v>0</v>
      </c>
      <c r="X95" s="327">
        <f>IFERROR((SMALL(T94:T96,COUNTIF(T94:T96,0)+1)+MAX(T94:T96))/2,0)</f>
        <v>0</v>
      </c>
      <c r="Y95" s="328">
        <f>IFERROR((SMALL(U94:U96,COUNTIF(U94:U96,0)+1)+MAX(U94:U96))/2,0)</f>
        <v>0</v>
      </c>
      <c r="AA95" s="226">
        <f>IF(AA43=0,0,-AA43-'GPS Anthro Tool'!$B$42)</f>
        <v>0</v>
      </c>
      <c r="AB95" s="226">
        <f>IF(AB43=0,0,-AB43-'GPS Anthro Tool'!$B$42)</f>
        <v>0</v>
      </c>
      <c r="AC95" s="226">
        <f>IF(AC43=0,0,-AC43-'GPS Anthro Tool'!$B$42)</f>
        <v>0</v>
      </c>
      <c r="AQ95" s="317">
        <f>AQ29</f>
        <v>0</v>
      </c>
      <c r="AR95" s="317">
        <f>AR29</f>
        <v>0</v>
      </c>
      <c r="AS95" s="317">
        <f>AS29</f>
        <v>0</v>
      </c>
      <c r="AU95" s="327">
        <f>IFERROR((SMALL(AQ94:AQ96,COUNTIF(AQ94:AQ96,0)+1)+MAX(AQ94:AQ96))/2,0)</f>
        <v>0</v>
      </c>
      <c r="AV95" s="327">
        <f>IFERROR((SMALL(AR94:AR96,COUNTIF(AR94:AR96,0)+1)+MAX(AR94:AR96))/2,0)</f>
        <v>0</v>
      </c>
      <c r="AW95" s="328">
        <f>IFERROR((SMALL(AS94:AS96,COUNTIF(AS94:AS96,0)+1)+MAX(AS94:AS96))/2,0)</f>
        <v>0</v>
      </c>
    </row>
    <row r="96" spans="17:49">
      <c r="Q96" s="793"/>
      <c r="S96" s="318">
        <f>S45</f>
        <v>0</v>
      </c>
      <c r="T96" s="318">
        <f>T45</f>
        <v>0</v>
      </c>
      <c r="U96" s="318">
        <f>U45</f>
        <v>0</v>
      </c>
      <c r="W96" s="50"/>
      <c r="X96" s="50"/>
      <c r="Y96" s="241"/>
      <c r="AA96" s="226">
        <f>IF(AA44=0,0,-AA44-'GPS Anthro Tool'!$B$42)</f>
        <v>0</v>
      </c>
      <c r="AB96" s="226">
        <f>IF(AB44=0,0,-AB44-'GPS Anthro Tool'!$B$42)</f>
        <v>0</v>
      </c>
      <c r="AC96" s="226">
        <f>IF(AC44=0,0,-AC44-'GPS Anthro Tool'!$B$42)</f>
        <v>0</v>
      </c>
      <c r="AQ96" s="318">
        <f>AQ45</f>
        <v>0</v>
      </c>
      <c r="AR96" s="318">
        <f>AR45</f>
        <v>0</v>
      </c>
      <c r="AS96" s="318">
        <f>AS45</f>
        <v>0</v>
      </c>
      <c r="AU96" s="50"/>
      <c r="AV96" s="50"/>
      <c r="AW96" s="241"/>
    </row>
    <row r="97" spans="17:49">
      <c r="Q97" s="791">
        <v>15</v>
      </c>
      <c r="S97" s="314">
        <f>S17</f>
        <v>0</v>
      </c>
      <c r="T97" s="314">
        <f>T17</f>
        <v>0</v>
      </c>
      <c r="U97" s="314">
        <f>U17</f>
        <v>0</v>
      </c>
      <c r="W97" s="50"/>
      <c r="X97" s="50"/>
      <c r="Y97" s="241"/>
      <c r="AA97" s="226">
        <f>IF(AA45=0,0,-AA45-'GPS Anthro Tool'!$B$42)</f>
        <v>0</v>
      </c>
      <c r="AB97" s="226">
        <f>IF(AB45=0,0,-AB45-'GPS Anthro Tool'!$B$42)</f>
        <v>0</v>
      </c>
      <c r="AC97" s="226">
        <f>IF(AC45=0,0,-AC45-'GPS Anthro Tool'!$B$42)</f>
        <v>0</v>
      </c>
      <c r="AQ97" s="314">
        <f>AQ17</f>
        <v>0</v>
      </c>
      <c r="AR97" s="314">
        <f>AR17</f>
        <v>0</v>
      </c>
      <c r="AS97" s="314">
        <f>AS17</f>
        <v>0</v>
      </c>
      <c r="AU97" s="50"/>
      <c r="AV97" s="50"/>
      <c r="AW97" s="241"/>
    </row>
    <row r="98" spans="17:49">
      <c r="Q98" s="792"/>
      <c r="S98" s="317">
        <f>S31</f>
        <v>0</v>
      </c>
      <c r="T98" s="317">
        <f>T31</f>
        <v>0</v>
      </c>
      <c r="U98" s="317">
        <f>U31</f>
        <v>0</v>
      </c>
      <c r="W98" s="327">
        <f>IFERROR((SMALL(S97:S99,COUNTIF(S97:S99,0)+1)+MAX(S97:S99))/2,0)</f>
        <v>0</v>
      </c>
      <c r="X98" s="327">
        <f>IFERROR((SMALL(T97:T99,COUNTIF(T97:T99,0)+1)+MAX(T97:T99))/2,0)</f>
        <v>0</v>
      </c>
      <c r="Y98" s="328">
        <f>IFERROR((SMALL(U97:U99,COUNTIF(U97:U99,0)+1)+MAX(U97:U99))/2,0)</f>
        <v>0</v>
      </c>
      <c r="AQ98" s="317">
        <f>AQ31</f>
        <v>0</v>
      </c>
      <c r="AR98" s="317">
        <f>AR31</f>
        <v>0</v>
      </c>
      <c r="AS98" s="317">
        <f>AS31</f>
        <v>0</v>
      </c>
      <c r="AU98" s="327">
        <f>IFERROR((SMALL(AQ97:AQ99,COUNTIF(AQ97:AQ99,0)+1)+MAX(AQ97:AQ99))/2,0)</f>
        <v>0</v>
      </c>
      <c r="AV98" s="327">
        <f>IFERROR((SMALL(AR97:AR99,COUNTIF(AR97:AR99,0)+1)+MAX(AR97:AR99))/2,0)</f>
        <v>0</v>
      </c>
      <c r="AW98" s="328">
        <f>IFERROR((SMALL(AS97:AS99,COUNTIF(AS97:AS99,0)+1)+MAX(AS97:AS99))/2,0)</f>
        <v>0</v>
      </c>
    </row>
    <row r="99" spans="17:49">
      <c r="Q99" s="793"/>
      <c r="R99" s="244"/>
      <c r="S99" s="316">
        <f>S45</f>
        <v>0</v>
      </c>
      <c r="T99" s="316">
        <f>T45</f>
        <v>0</v>
      </c>
      <c r="U99" s="316">
        <f>U45</f>
        <v>0</v>
      </c>
      <c r="V99" s="244"/>
      <c r="W99" s="245"/>
      <c r="X99" s="245"/>
      <c r="Y99" s="103"/>
      <c r="AQ99" s="316">
        <f>AQ45</f>
        <v>0</v>
      </c>
      <c r="AR99" s="316">
        <f>AR45</f>
        <v>0</v>
      </c>
      <c r="AS99" s="316">
        <f>AS45</f>
        <v>0</v>
      </c>
      <c r="AT99" s="244"/>
      <c r="AU99" s="245"/>
      <c r="AV99" s="245"/>
      <c r="AW99" s="103"/>
    </row>
  </sheetData>
  <mergeCells count="15">
    <mergeCell ref="Q91:Q93"/>
    <mergeCell ref="Q94:Q96"/>
    <mergeCell ref="Q97:Q99"/>
    <mergeCell ref="Q73:Q75"/>
    <mergeCell ref="Q76:Q78"/>
    <mergeCell ref="Q79:Q81"/>
    <mergeCell ref="Q82:Q84"/>
    <mergeCell ref="Q85:Q87"/>
    <mergeCell ref="Q88:Q90"/>
    <mergeCell ref="Q70:Q72"/>
    <mergeCell ref="Q55:Q57"/>
    <mergeCell ref="Q58:Q60"/>
    <mergeCell ref="Q61:Q63"/>
    <mergeCell ref="Q64:Q66"/>
    <mergeCell ref="Q67:Q69"/>
  </mergeCells>
  <phoneticPr fontId="104" type="noConversion"/>
  <conditionalFormatting sqref="J3:J45">
    <cfRule type="colorScale" priority="40">
      <colorScale>
        <cfvo type="min"/>
        <cfvo type="max"/>
        <color rgb="FFFCFCFF"/>
        <color rgb="FF63BE7B"/>
      </colorScale>
    </cfRule>
  </conditionalFormatting>
  <conditionalFormatting sqref="C3:E45">
    <cfRule type="colorScale" priority="39">
      <colorScale>
        <cfvo type="min"/>
        <cfvo type="max"/>
        <color rgb="FFFCFCFF"/>
        <color rgb="FF63BE7B"/>
      </colorScale>
    </cfRule>
  </conditionalFormatting>
  <conditionalFormatting sqref="AX3:AX11">
    <cfRule type="colorScale" priority="38">
      <colorScale>
        <cfvo type="min"/>
        <cfvo type="max"/>
        <color rgb="FFFCFCFF"/>
        <color rgb="FF63BE7B"/>
      </colorScale>
    </cfRule>
  </conditionalFormatting>
  <conditionalFormatting sqref="AT3:AT11">
    <cfRule type="colorScale" priority="37">
      <colorScale>
        <cfvo type="min"/>
        <cfvo type="max"/>
        <color rgb="FFFCFCFF"/>
        <color rgb="FF63BE7B"/>
      </colorScale>
    </cfRule>
  </conditionalFormatting>
  <conditionalFormatting sqref="AH3:AH11">
    <cfRule type="colorScale" priority="36">
      <colorScale>
        <cfvo type="min"/>
        <cfvo type="max"/>
        <color rgb="FFFCFCFF"/>
        <color rgb="FF63BE7B"/>
      </colorScale>
    </cfRule>
  </conditionalFormatting>
  <conditionalFormatting sqref="BB3:BB11">
    <cfRule type="colorScale" priority="35">
      <colorScale>
        <cfvo type="min"/>
        <cfvo type="max"/>
        <color rgb="FFFCFCFF"/>
        <color rgb="FF63BE7B"/>
      </colorScale>
    </cfRule>
  </conditionalFormatting>
  <conditionalFormatting sqref="AL3:AL11">
    <cfRule type="colorScale" priority="34">
      <colorScale>
        <cfvo type="min"/>
        <cfvo type="max"/>
        <color rgb="FFFCFCFF"/>
        <color rgb="FF63BE7B"/>
      </colorScale>
    </cfRule>
  </conditionalFormatting>
  <conditionalFormatting sqref="AP3:AP11">
    <cfRule type="colorScale" priority="33">
      <colorScale>
        <cfvo type="min"/>
        <cfvo type="max"/>
        <color rgb="FFFCFCFF"/>
        <color rgb="FF63BE7B"/>
      </colorScale>
    </cfRule>
  </conditionalFormatting>
  <conditionalFormatting sqref="S52">
    <cfRule type="cellIs" dxfId="6" priority="32" operator="greaterThan">
      <formula>1</formula>
    </cfRule>
  </conditionalFormatting>
  <conditionalFormatting sqref="G3:I45">
    <cfRule type="colorScale" priority="20">
      <colorScale>
        <cfvo type="min"/>
        <cfvo type="max"/>
        <color rgb="FFFCFCFF"/>
        <color rgb="FF63BE7B"/>
      </colorScale>
    </cfRule>
  </conditionalFormatting>
  <conditionalFormatting sqref="K3:M45">
    <cfRule type="colorScale" priority="19">
      <colorScale>
        <cfvo type="min"/>
        <cfvo type="max"/>
        <color rgb="FFFCFCFF"/>
        <color rgb="FF63BE7B"/>
      </colorScale>
    </cfRule>
  </conditionalFormatting>
  <conditionalFormatting sqref="O3:Q45">
    <cfRule type="colorScale" priority="18">
      <colorScale>
        <cfvo type="min"/>
        <cfvo type="max"/>
        <color rgb="FFFCFCFF"/>
        <color rgb="FF63BE7B"/>
      </colorScale>
    </cfRule>
  </conditionalFormatting>
  <conditionalFormatting sqref="S3:U45">
    <cfRule type="colorScale" priority="17">
      <colorScale>
        <cfvo type="min"/>
        <cfvo type="max"/>
        <color rgb="FFFCFCFF"/>
        <color rgb="FF63BE7B"/>
      </colorScale>
    </cfRule>
  </conditionalFormatting>
  <conditionalFormatting sqref="W3:Y45">
    <cfRule type="colorScale" priority="16">
      <colorScale>
        <cfvo type="min"/>
        <cfvo type="max"/>
        <color rgb="FFFCFCFF"/>
        <color rgb="FF63BE7B"/>
      </colorScale>
    </cfRule>
  </conditionalFormatting>
  <conditionalFormatting sqref="AA3:AC45">
    <cfRule type="colorScale" priority="15">
      <colorScale>
        <cfvo type="min"/>
        <cfvo type="max"/>
        <color rgb="FFFCFCFF"/>
        <color rgb="FF63BE7B"/>
      </colorScale>
    </cfRule>
  </conditionalFormatting>
  <conditionalFormatting sqref="AE3:AG45">
    <cfRule type="colorScale" priority="14">
      <colorScale>
        <cfvo type="min"/>
        <cfvo type="max"/>
        <color rgb="FFFCFCFF"/>
        <color rgb="FF63BE7B"/>
      </colorScale>
    </cfRule>
  </conditionalFormatting>
  <conditionalFormatting sqref="AI3:AK45">
    <cfRule type="colorScale" priority="13">
      <colorScale>
        <cfvo type="min"/>
        <cfvo type="max"/>
        <color rgb="FFFCFCFF"/>
        <color rgb="FF63BE7B"/>
      </colorScale>
    </cfRule>
  </conditionalFormatting>
  <conditionalFormatting sqref="AM3:AO45">
    <cfRule type="colorScale" priority="12">
      <colorScale>
        <cfvo type="min"/>
        <cfvo type="max"/>
        <color rgb="FFFCFCFF"/>
        <color rgb="FF63BE7B"/>
      </colorScale>
    </cfRule>
  </conditionalFormatting>
  <conditionalFormatting sqref="AQ3:AS45">
    <cfRule type="colorScale" priority="11">
      <colorScale>
        <cfvo type="min"/>
        <cfvo type="max"/>
        <color rgb="FFFCFCFF"/>
        <color rgb="FF63BE7B"/>
      </colorScale>
    </cfRule>
  </conditionalFormatting>
  <conditionalFormatting sqref="AU3:AW45">
    <cfRule type="colorScale" priority="10">
      <colorScale>
        <cfvo type="min"/>
        <cfvo type="max"/>
        <color rgb="FFFCFCFF"/>
        <color rgb="FF63BE7B"/>
      </colorScale>
    </cfRule>
  </conditionalFormatting>
  <conditionalFormatting sqref="AY3:BA45">
    <cfRule type="colorScale" priority="9">
      <colorScale>
        <cfvo type="min"/>
        <cfvo type="max"/>
        <color rgb="FFFCFCFF"/>
        <color rgb="FF63BE7B"/>
      </colorScale>
    </cfRule>
  </conditionalFormatting>
  <conditionalFormatting sqref="BC3:BE45">
    <cfRule type="colorScale" priority="8">
      <colorScale>
        <cfvo type="min"/>
        <cfvo type="max"/>
        <color rgb="FFFCFCFF"/>
        <color rgb="FF63BE7B"/>
      </colorScale>
    </cfRule>
  </conditionalFormatting>
  <conditionalFormatting sqref="BG3:BI45">
    <cfRule type="colorScale" priority="7">
      <colorScale>
        <cfvo type="min"/>
        <cfvo type="max"/>
        <color rgb="FFFCFCFF"/>
        <color rgb="FF63BE7B"/>
      </colorScale>
    </cfRule>
  </conditionalFormatting>
  <conditionalFormatting sqref="BK3:BM45">
    <cfRule type="colorScale" priority="6">
      <colorScale>
        <cfvo type="min"/>
        <cfvo type="max"/>
        <color rgb="FFFCFCFF"/>
        <color rgb="FF63BE7B"/>
      </colorScale>
    </cfRule>
  </conditionalFormatting>
  <conditionalFormatting sqref="BO3:BQ45">
    <cfRule type="colorScale" priority="5">
      <colorScale>
        <cfvo type="min"/>
        <cfvo type="max"/>
        <color rgb="FFFCFCFF"/>
        <color rgb="FF63BE7B"/>
      </colorScale>
    </cfRule>
  </conditionalFormatting>
  <conditionalFormatting sqref="BS3:BU45">
    <cfRule type="colorScale" priority="4">
      <colorScale>
        <cfvo type="min"/>
        <cfvo type="max"/>
        <color rgb="FFFCFCFF"/>
        <color rgb="FF63BE7B"/>
      </colorScale>
    </cfRule>
  </conditionalFormatting>
  <conditionalFormatting sqref="BW3:BY45">
    <cfRule type="colorScale" priority="3">
      <colorScale>
        <cfvo type="min"/>
        <cfvo type="max"/>
        <color rgb="FFFCFCFF"/>
        <color rgb="FF63BE7B"/>
      </colorScale>
    </cfRule>
  </conditionalFormatting>
  <conditionalFormatting sqref="CA3:CC45">
    <cfRule type="colorScale" priority="2">
      <colorScale>
        <cfvo type="min"/>
        <cfvo type="max"/>
        <color rgb="FFFCFCFF"/>
        <color rgb="FF63BE7B"/>
      </colorScale>
    </cfRule>
  </conditionalFormatting>
  <conditionalFormatting sqref="CE3:CG45">
    <cfRule type="colorScale" priority="1">
      <colorScale>
        <cfvo type="min"/>
        <cfvo type="max"/>
        <color rgb="FFFCFCFF"/>
        <color rgb="FF63BE7B"/>
      </colorScale>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1:K107"/>
  <sheetViews>
    <sheetView zoomScale="75" zoomScaleNormal="75" workbookViewId="0">
      <pane ySplit="3" topLeftCell="A4" activePane="bottomLeft" state="frozen"/>
      <selection pane="bottomLeft" activeCell="K14" sqref="K14"/>
    </sheetView>
  </sheetViews>
  <sheetFormatPr defaultColWidth="8.85546875" defaultRowHeight="15"/>
  <cols>
    <col min="1" max="16384" width="8.85546875" style="2"/>
  </cols>
  <sheetData>
    <row r="1" spans="1:8" ht="17.45" customHeight="1">
      <c r="A1" s="794" t="s">
        <v>5</v>
      </c>
      <c r="B1" s="794"/>
      <c r="C1" s="794"/>
      <c r="D1" s="794"/>
      <c r="E1" s="794"/>
      <c r="F1" s="794"/>
      <c r="G1" s="794"/>
      <c r="H1" s="794"/>
    </row>
    <row r="2" spans="1:8" ht="18.75" thickBot="1">
      <c r="A2" s="3"/>
      <c r="B2" s="4"/>
      <c r="C2" s="5"/>
      <c r="D2" s="5"/>
      <c r="E2" s="5"/>
      <c r="F2" s="5"/>
      <c r="G2" s="5"/>
    </row>
    <row r="3" spans="1:8">
      <c r="A3" s="3"/>
      <c r="B3" s="6"/>
      <c r="C3" s="795" t="s">
        <v>6</v>
      </c>
      <c r="D3" s="796"/>
      <c r="E3" s="797" t="s">
        <v>7</v>
      </c>
      <c r="F3" s="796"/>
    </row>
    <row r="4" spans="1:8" ht="39">
      <c r="A4" s="7" t="s">
        <v>8</v>
      </c>
      <c r="B4" s="8" t="s">
        <v>9</v>
      </c>
      <c r="C4" s="9" t="s">
        <v>10</v>
      </c>
      <c r="D4" s="9" t="s">
        <v>11</v>
      </c>
      <c r="E4" s="9" t="s">
        <v>10</v>
      </c>
      <c r="F4" s="9" t="s">
        <v>11</v>
      </c>
    </row>
    <row r="5" spans="1:8" ht="26.25">
      <c r="A5" s="10" t="s">
        <v>12</v>
      </c>
      <c r="B5" s="11" t="s">
        <v>13</v>
      </c>
      <c r="C5" s="12"/>
      <c r="D5" s="13" t="s">
        <v>14</v>
      </c>
      <c r="E5" s="12"/>
      <c r="F5" s="13"/>
    </row>
    <row r="6" spans="1:8" ht="30">
      <c r="A6" s="14" t="s">
        <v>15</v>
      </c>
      <c r="B6" s="15" t="s">
        <v>16</v>
      </c>
      <c r="C6" s="16"/>
      <c r="D6" s="16" t="s">
        <v>17</v>
      </c>
      <c r="E6" s="16"/>
      <c r="F6" s="16" t="s">
        <v>18</v>
      </c>
    </row>
    <row r="7" spans="1:8" ht="60">
      <c r="A7" s="14" t="s">
        <v>19</v>
      </c>
      <c r="B7" s="15" t="s">
        <v>20</v>
      </c>
      <c r="C7" s="16" t="s">
        <v>21</v>
      </c>
      <c r="D7" s="16" t="s">
        <v>22</v>
      </c>
      <c r="E7" s="16" t="s">
        <v>23</v>
      </c>
      <c r="F7" s="16" t="s">
        <v>24</v>
      </c>
    </row>
    <row r="8" spans="1:8" ht="45">
      <c r="A8" s="14" t="s">
        <v>25</v>
      </c>
      <c r="B8" s="15" t="s">
        <v>26</v>
      </c>
      <c r="C8" s="16" t="s">
        <v>27</v>
      </c>
      <c r="D8" s="16" t="s">
        <v>28</v>
      </c>
      <c r="E8" s="16" t="s">
        <v>29</v>
      </c>
      <c r="F8" s="16" t="s">
        <v>30</v>
      </c>
    </row>
    <row r="9" spans="1:8" ht="45">
      <c r="A9" s="17" t="s">
        <v>31</v>
      </c>
      <c r="B9" s="18" t="s">
        <v>32</v>
      </c>
      <c r="C9" s="19" t="s">
        <v>33</v>
      </c>
      <c r="D9" s="19" t="s">
        <v>34</v>
      </c>
      <c r="E9" s="19" t="s">
        <v>35</v>
      </c>
      <c r="F9" s="19" t="s">
        <v>36</v>
      </c>
    </row>
    <row r="10" spans="1:8" ht="45">
      <c r="A10" s="17" t="s">
        <v>37</v>
      </c>
      <c r="B10" s="18" t="s">
        <v>38</v>
      </c>
      <c r="C10" s="19" t="s">
        <v>34</v>
      </c>
      <c r="D10" s="19" t="s">
        <v>39</v>
      </c>
      <c r="E10" s="19" t="s">
        <v>35</v>
      </c>
      <c r="F10" s="19" t="s">
        <v>36</v>
      </c>
    </row>
    <row r="11" spans="1:8" ht="26.25">
      <c r="A11" s="17" t="s">
        <v>40</v>
      </c>
      <c r="B11" s="18" t="s">
        <v>41</v>
      </c>
      <c r="C11" s="19" t="s">
        <v>39</v>
      </c>
      <c r="D11" s="19"/>
      <c r="E11" s="19" t="s">
        <v>42</v>
      </c>
      <c r="F11" s="19"/>
    </row>
    <row r="12" spans="1:8" ht="30">
      <c r="A12" s="10" t="s">
        <v>12</v>
      </c>
      <c r="B12" s="20" t="s">
        <v>43</v>
      </c>
      <c r="C12" s="12"/>
      <c r="D12" s="13" t="s">
        <v>44</v>
      </c>
      <c r="E12" s="12"/>
      <c r="F12" s="13" t="s">
        <v>45</v>
      </c>
    </row>
    <row r="13" spans="1:8">
      <c r="A13" s="3"/>
      <c r="B13" s="6"/>
      <c r="D13" s="3"/>
    </row>
    <row r="14" spans="1:8">
      <c r="A14" s="3"/>
      <c r="B14" s="6" t="s">
        <v>46</v>
      </c>
      <c r="C14" s="14">
        <v>2005</v>
      </c>
      <c r="D14" s="3"/>
    </row>
    <row r="15" spans="1:8">
      <c r="A15" s="3"/>
      <c r="B15" s="6" t="s">
        <v>46</v>
      </c>
      <c r="C15" s="17">
        <v>2014</v>
      </c>
      <c r="D15" s="3"/>
    </row>
    <row r="16" spans="1:8">
      <c r="A16" s="3"/>
      <c r="B16" s="6" t="s">
        <v>47</v>
      </c>
      <c r="C16" s="21"/>
      <c r="D16" s="3"/>
    </row>
    <row r="17" spans="1:11">
      <c r="A17" s="3"/>
      <c r="B17" s="6"/>
      <c r="D17" s="3"/>
    </row>
    <row r="18" spans="1:11">
      <c r="A18" s="3"/>
      <c r="B18" s="6"/>
      <c r="D18" s="3"/>
    </row>
    <row r="19" spans="1:11">
      <c r="A19" s="22"/>
      <c r="B19" s="23" t="s">
        <v>48</v>
      </c>
      <c r="C19" s="24"/>
      <c r="D19" s="22"/>
      <c r="E19" s="24"/>
      <c r="F19" s="24"/>
      <c r="G19" s="24"/>
      <c r="H19" s="24"/>
      <c r="I19" s="24"/>
      <c r="J19" s="24"/>
      <c r="K19" s="24"/>
    </row>
    <row r="20" spans="1:11">
      <c r="A20" s="25" t="s">
        <v>49</v>
      </c>
      <c r="B20" s="26" t="s">
        <v>50</v>
      </c>
      <c r="C20" s="25"/>
      <c r="D20" s="25"/>
      <c r="E20" s="25"/>
      <c r="F20" s="25"/>
      <c r="G20" s="25"/>
      <c r="H20" s="25"/>
      <c r="I20" s="25"/>
      <c r="J20" s="25"/>
      <c r="K20" s="25"/>
    </row>
    <row r="22" spans="1:11">
      <c r="A22" s="24"/>
      <c r="B22" s="24"/>
      <c r="C22" s="24" t="s">
        <v>51</v>
      </c>
      <c r="D22" s="24"/>
      <c r="E22" s="24"/>
      <c r="F22" s="24"/>
      <c r="G22" s="24"/>
      <c r="H22" s="24"/>
      <c r="I22" s="24"/>
      <c r="J22" s="24"/>
      <c r="K22" s="24"/>
    </row>
    <row r="23" spans="1:11">
      <c r="A23" s="24"/>
      <c r="B23" s="24"/>
      <c r="C23" s="24" t="s">
        <v>52</v>
      </c>
      <c r="D23" s="24"/>
      <c r="E23" s="24"/>
      <c r="F23" s="24"/>
      <c r="G23" s="24"/>
      <c r="H23" s="24"/>
      <c r="I23" s="24"/>
      <c r="J23" s="24"/>
      <c r="K23" s="24"/>
    </row>
    <row r="24" spans="1:11">
      <c r="A24" s="24"/>
      <c r="B24" s="24"/>
      <c r="C24" s="24" t="s">
        <v>53</v>
      </c>
      <c r="D24" s="24"/>
      <c r="E24" s="24"/>
      <c r="F24" s="24"/>
      <c r="G24" s="24"/>
      <c r="H24" s="24"/>
      <c r="I24" s="24"/>
      <c r="J24" s="24"/>
      <c r="K24" s="24"/>
    </row>
    <row r="25" spans="1:11">
      <c r="A25" s="24"/>
      <c r="B25" s="24"/>
      <c r="C25" s="24" t="s">
        <v>54</v>
      </c>
      <c r="D25" s="24"/>
      <c r="E25" s="24"/>
      <c r="F25" s="24"/>
      <c r="G25" s="24"/>
      <c r="H25" s="24"/>
      <c r="I25" s="24"/>
      <c r="J25" s="24"/>
      <c r="K25" s="24"/>
    </row>
    <row r="26" spans="1:11">
      <c r="A26" s="24"/>
      <c r="B26" s="24"/>
      <c r="C26" s="24" t="s">
        <v>55</v>
      </c>
      <c r="D26" s="24"/>
      <c r="E26" s="24"/>
      <c r="F26" s="24"/>
      <c r="G26" s="24"/>
      <c r="H26" s="24"/>
      <c r="I26" s="24"/>
      <c r="J26" s="24"/>
      <c r="K26" s="24"/>
    </row>
    <row r="27" spans="1:11">
      <c r="A27" s="24"/>
      <c r="B27" s="24"/>
      <c r="C27" s="24" t="s">
        <v>56</v>
      </c>
      <c r="D27" s="24"/>
      <c r="E27" s="24"/>
      <c r="F27" s="24"/>
      <c r="G27" s="24"/>
      <c r="H27" s="24"/>
      <c r="I27" s="24"/>
      <c r="J27" s="24"/>
      <c r="K27" s="24"/>
    </row>
    <row r="28" spans="1:11">
      <c r="A28" s="24"/>
      <c r="B28" s="24"/>
      <c r="C28" s="24" t="s">
        <v>57</v>
      </c>
      <c r="D28" s="24"/>
      <c r="E28" s="24"/>
      <c r="F28" s="24"/>
      <c r="G28" s="24"/>
      <c r="H28" s="24"/>
      <c r="I28" s="24"/>
      <c r="J28" s="24"/>
      <c r="K28" s="24"/>
    </row>
    <row r="29" spans="1:11">
      <c r="A29" s="24"/>
      <c r="B29" s="24"/>
      <c r="C29" s="24" t="s">
        <v>58</v>
      </c>
      <c r="D29" s="24"/>
      <c r="E29" s="24"/>
      <c r="F29" s="24"/>
      <c r="G29" s="24"/>
      <c r="H29" s="24"/>
      <c r="I29" s="24"/>
      <c r="J29" s="24"/>
      <c r="K29" s="24"/>
    </row>
    <row r="30" spans="1:11">
      <c r="A30" s="24"/>
      <c r="B30" s="24"/>
      <c r="C30" s="24" t="s">
        <v>59</v>
      </c>
      <c r="D30" s="24"/>
      <c r="E30" s="24"/>
      <c r="F30" s="24"/>
      <c r="G30" s="24"/>
      <c r="H30" s="24"/>
      <c r="I30" s="24"/>
      <c r="J30" s="24"/>
      <c r="K30" s="24"/>
    </row>
    <row r="31" spans="1:11">
      <c r="A31" s="24"/>
      <c r="B31" s="24"/>
      <c r="C31" s="24" t="s">
        <v>60</v>
      </c>
      <c r="D31" s="24"/>
      <c r="E31" s="24"/>
      <c r="F31" s="24"/>
      <c r="G31" s="24"/>
      <c r="H31" s="24"/>
      <c r="I31" s="24"/>
      <c r="J31" s="24"/>
      <c r="K31" s="24"/>
    </row>
    <row r="32" spans="1:11">
      <c r="A32" s="24"/>
      <c r="B32" s="24"/>
      <c r="C32" s="24" t="s">
        <v>61</v>
      </c>
      <c r="D32" s="24"/>
      <c r="E32" s="24"/>
      <c r="F32" s="24"/>
      <c r="G32" s="24"/>
      <c r="H32" s="24"/>
      <c r="I32" s="24"/>
      <c r="J32" s="24"/>
      <c r="K32" s="24"/>
    </row>
    <row r="33" spans="1:11">
      <c r="A33" s="24"/>
      <c r="B33" s="24"/>
      <c r="C33" s="24" t="s">
        <v>62</v>
      </c>
      <c r="D33" s="24"/>
      <c r="E33" s="24"/>
      <c r="F33" s="24"/>
      <c r="G33" s="24"/>
      <c r="H33" s="24"/>
      <c r="I33" s="24"/>
      <c r="J33" s="24"/>
      <c r="K33" s="24"/>
    </row>
    <row r="34" spans="1:11">
      <c r="A34" s="24"/>
      <c r="B34" s="24"/>
      <c r="C34" s="24" t="s">
        <v>63</v>
      </c>
      <c r="D34" s="24"/>
      <c r="E34" s="24"/>
      <c r="F34" s="24"/>
      <c r="G34" s="24"/>
      <c r="H34" s="24"/>
      <c r="I34" s="24"/>
      <c r="J34" s="24"/>
      <c r="K34" s="24"/>
    </row>
    <row r="35" spans="1:11">
      <c r="A35" s="24"/>
      <c r="B35" s="24"/>
      <c r="C35" s="24" t="s">
        <v>64</v>
      </c>
      <c r="D35" s="24"/>
      <c r="E35" s="24"/>
      <c r="F35" s="24"/>
      <c r="G35" s="24"/>
      <c r="H35" s="24"/>
      <c r="I35" s="24"/>
      <c r="J35" s="24"/>
      <c r="K35" s="24"/>
    </row>
    <row r="36" spans="1:11">
      <c r="A36" s="24"/>
      <c r="B36" s="24"/>
      <c r="C36" s="24" t="s">
        <v>65</v>
      </c>
      <c r="D36" s="24"/>
      <c r="E36" s="24"/>
      <c r="F36" s="24"/>
      <c r="G36" s="24"/>
      <c r="H36" s="24"/>
      <c r="I36" s="24"/>
      <c r="J36" s="24"/>
      <c r="K36" s="24"/>
    </row>
    <row r="37" spans="1:11">
      <c r="A37" s="24"/>
      <c r="B37" s="24"/>
      <c r="C37" s="24" t="s">
        <v>66</v>
      </c>
      <c r="D37" s="24"/>
      <c r="E37" s="24"/>
      <c r="F37" s="24"/>
      <c r="G37" s="24"/>
      <c r="H37" s="24"/>
      <c r="I37" s="24"/>
      <c r="J37" s="24"/>
      <c r="K37" s="24"/>
    </row>
    <row r="38" spans="1:11">
      <c r="A38" s="24"/>
      <c r="B38" s="24"/>
      <c r="C38" s="24" t="s">
        <v>56</v>
      </c>
      <c r="D38" s="24"/>
      <c r="E38" s="24"/>
      <c r="F38" s="24"/>
      <c r="G38" s="24"/>
      <c r="H38" s="24"/>
      <c r="I38" s="24"/>
      <c r="J38" s="24"/>
      <c r="K38" s="24"/>
    </row>
    <row r="39" spans="1:11">
      <c r="A39" s="24"/>
      <c r="B39" s="24"/>
      <c r="C39" s="24" t="s">
        <v>57</v>
      </c>
      <c r="D39" s="24"/>
      <c r="E39" s="24"/>
      <c r="F39" s="24"/>
      <c r="G39" s="24"/>
      <c r="H39" s="24"/>
      <c r="I39" s="24"/>
      <c r="J39" s="24"/>
      <c r="K39" s="24"/>
    </row>
    <row r="40" spans="1:11">
      <c r="A40" s="24"/>
      <c r="B40" s="24"/>
      <c r="C40" s="24" t="s">
        <v>58</v>
      </c>
      <c r="D40" s="24"/>
      <c r="E40" s="24"/>
      <c r="F40" s="24"/>
      <c r="G40" s="24"/>
      <c r="H40" s="24"/>
      <c r="I40" s="24"/>
      <c r="J40" s="24"/>
      <c r="K40" s="24"/>
    </row>
    <row r="41" spans="1:11">
      <c r="A41" s="24"/>
      <c r="B41" s="24"/>
      <c r="C41" s="24" t="s">
        <v>67</v>
      </c>
      <c r="D41" s="24"/>
      <c r="E41" s="24"/>
      <c r="F41" s="24"/>
      <c r="G41" s="24"/>
      <c r="H41" s="24"/>
      <c r="I41" s="24"/>
      <c r="J41" s="24"/>
      <c r="K41" s="24"/>
    </row>
    <row r="42" spans="1:11">
      <c r="A42" s="24"/>
      <c r="B42" s="24"/>
      <c r="C42" s="24" t="s">
        <v>68</v>
      </c>
      <c r="D42" s="24"/>
      <c r="E42" s="24"/>
      <c r="F42" s="24"/>
      <c r="G42" s="24"/>
      <c r="H42" s="24"/>
      <c r="I42" s="24"/>
      <c r="J42" s="24"/>
      <c r="K42" s="24"/>
    </row>
    <row r="43" spans="1:11">
      <c r="A43" s="24"/>
      <c r="B43" s="24"/>
      <c r="C43" s="24" t="s">
        <v>69</v>
      </c>
      <c r="D43" s="24"/>
      <c r="E43" s="24"/>
      <c r="F43" s="24"/>
      <c r="G43" s="24"/>
      <c r="H43" s="24"/>
      <c r="I43" s="24"/>
      <c r="J43" s="24"/>
      <c r="K43" s="24"/>
    </row>
    <row r="44" spans="1:11">
      <c r="A44" s="24"/>
      <c r="B44" s="24"/>
      <c r="C44" s="24" t="s">
        <v>70</v>
      </c>
      <c r="D44" s="24"/>
      <c r="E44" s="24"/>
      <c r="F44" s="24"/>
      <c r="G44" s="24"/>
      <c r="H44" s="24"/>
      <c r="I44" s="24"/>
      <c r="J44" s="24"/>
      <c r="K44" s="24"/>
    </row>
    <row r="45" spans="1:11">
      <c r="A45" s="24"/>
      <c r="B45" s="24"/>
      <c r="C45" s="24" t="s">
        <v>71</v>
      </c>
      <c r="D45" s="24"/>
      <c r="E45" s="24"/>
      <c r="F45" s="24"/>
      <c r="G45" s="24"/>
      <c r="H45" s="24"/>
      <c r="I45" s="24"/>
      <c r="J45" s="24"/>
      <c r="K45" s="24"/>
    </row>
    <row r="46" spans="1:11">
      <c r="A46" s="24"/>
      <c r="B46" s="24"/>
      <c r="C46" s="24" t="s">
        <v>72</v>
      </c>
      <c r="D46" s="24"/>
      <c r="E46" s="24"/>
      <c r="F46" s="24"/>
      <c r="G46" s="24"/>
      <c r="H46" s="24"/>
      <c r="I46" s="24"/>
      <c r="J46" s="24"/>
      <c r="K46" s="24"/>
    </row>
    <row r="47" spans="1:11">
      <c r="A47" s="24"/>
      <c r="B47" s="24"/>
      <c r="C47" s="24" t="s">
        <v>73</v>
      </c>
      <c r="D47" s="24"/>
      <c r="E47" s="24"/>
      <c r="F47" s="24"/>
      <c r="G47" s="24"/>
      <c r="H47" s="24"/>
      <c r="I47" s="24"/>
      <c r="J47" s="24"/>
      <c r="K47" s="24"/>
    </row>
    <row r="48" spans="1:11">
      <c r="A48" s="24"/>
      <c r="B48" s="24"/>
      <c r="C48" s="24" t="s">
        <v>74</v>
      </c>
      <c r="D48" s="24"/>
      <c r="E48" s="24"/>
      <c r="F48" s="24"/>
      <c r="G48" s="24"/>
      <c r="H48" s="24"/>
      <c r="I48" s="24"/>
      <c r="J48" s="24"/>
      <c r="K48" s="24"/>
    </row>
    <row r="49" spans="1:11">
      <c r="A49" s="24"/>
      <c r="B49" s="24"/>
      <c r="C49" s="24" t="s">
        <v>75</v>
      </c>
      <c r="D49" s="24"/>
      <c r="E49" s="24"/>
      <c r="F49" s="24"/>
      <c r="G49" s="24"/>
      <c r="H49" s="24"/>
      <c r="I49" s="24"/>
      <c r="J49" s="24"/>
      <c r="K49" s="24"/>
    </row>
    <row r="50" spans="1:11">
      <c r="A50" s="24"/>
      <c r="B50" s="24"/>
      <c r="C50" s="24" t="s">
        <v>76</v>
      </c>
      <c r="D50" s="24"/>
      <c r="E50" s="24"/>
      <c r="F50" s="24"/>
      <c r="G50" s="24"/>
      <c r="H50" s="24"/>
      <c r="I50" s="24"/>
      <c r="J50" s="24"/>
      <c r="K50" s="24"/>
    </row>
    <row r="51" spans="1:11">
      <c r="A51" s="24"/>
      <c r="B51" s="24"/>
      <c r="C51" s="24" t="s">
        <v>77</v>
      </c>
      <c r="D51" s="24"/>
      <c r="E51" s="24"/>
      <c r="F51" s="24"/>
      <c r="G51" s="24"/>
      <c r="H51" s="24"/>
      <c r="I51" s="24"/>
      <c r="J51" s="24"/>
      <c r="K51" s="24"/>
    </row>
    <row r="52" spans="1:11">
      <c r="A52" s="24"/>
      <c r="B52" s="24"/>
      <c r="C52" s="24" t="s">
        <v>56</v>
      </c>
      <c r="D52" s="24"/>
      <c r="E52" s="24"/>
      <c r="F52" s="24"/>
      <c r="G52" s="24"/>
      <c r="H52" s="24"/>
      <c r="I52" s="24"/>
      <c r="J52" s="24"/>
      <c r="K52" s="24"/>
    </row>
    <row r="53" spans="1:11">
      <c r="A53" s="24"/>
      <c r="B53" s="24"/>
      <c r="C53" s="24" t="s">
        <v>57</v>
      </c>
      <c r="D53" s="24"/>
      <c r="E53" s="24"/>
      <c r="F53" s="24"/>
      <c r="G53" s="24"/>
      <c r="H53" s="24"/>
      <c r="I53" s="24"/>
      <c r="J53" s="24"/>
      <c r="K53" s="24"/>
    </row>
    <row r="54" spans="1:11">
      <c r="A54" s="24"/>
      <c r="B54" s="24"/>
      <c r="C54" s="24" t="s">
        <v>58</v>
      </c>
      <c r="D54" s="24"/>
      <c r="E54" s="24"/>
      <c r="F54" s="24"/>
      <c r="G54" s="24"/>
      <c r="H54" s="24"/>
      <c r="I54" s="24"/>
      <c r="J54" s="24"/>
      <c r="K54" s="24"/>
    </row>
    <row r="55" spans="1:11">
      <c r="A55" s="24"/>
      <c r="B55" s="24"/>
      <c r="C55" s="24" t="s">
        <v>67</v>
      </c>
      <c r="D55" s="24"/>
      <c r="E55" s="24"/>
      <c r="F55" s="24"/>
      <c r="G55" s="24"/>
      <c r="H55" s="24"/>
      <c r="I55" s="24"/>
      <c r="J55" s="24"/>
      <c r="K55" s="24"/>
    </row>
    <row r="56" spans="1:11">
      <c r="A56" s="24"/>
      <c r="B56" s="24"/>
      <c r="C56" s="24" t="s">
        <v>78</v>
      </c>
      <c r="D56" s="24"/>
      <c r="E56" s="24"/>
      <c r="F56" s="24"/>
      <c r="G56" s="24"/>
      <c r="H56" s="24"/>
      <c r="I56" s="24"/>
      <c r="J56" s="24"/>
      <c r="K56" s="24"/>
    </row>
    <row r="57" spans="1:11">
      <c r="A57" s="24"/>
      <c r="B57" s="24"/>
      <c r="C57" s="24" t="s">
        <v>79</v>
      </c>
      <c r="D57" s="24"/>
      <c r="E57" s="24"/>
      <c r="F57" s="24"/>
      <c r="G57" s="24"/>
      <c r="H57" s="24"/>
      <c r="I57" s="24"/>
      <c r="J57" s="24"/>
      <c r="K57" s="24"/>
    </row>
    <row r="58" spans="1:11">
      <c r="A58" s="24"/>
      <c r="B58" s="24"/>
      <c r="C58" s="24" t="s">
        <v>80</v>
      </c>
      <c r="D58" s="24"/>
      <c r="E58" s="24"/>
      <c r="F58" s="24"/>
      <c r="G58" s="24"/>
      <c r="H58" s="24"/>
      <c r="I58" s="24"/>
      <c r="J58" s="24"/>
      <c r="K58" s="24"/>
    </row>
    <row r="59" spans="1:11">
      <c r="A59" s="24"/>
      <c r="B59" s="24"/>
      <c r="C59" s="24" t="s">
        <v>81</v>
      </c>
      <c r="D59" s="24"/>
      <c r="E59" s="24"/>
      <c r="F59" s="24"/>
      <c r="G59" s="24"/>
      <c r="H59" s="24"/>
      <c r="I59" s="24"/>
      <c r="J59" s="24"/>
      <c r="K59" s="24"/>
    </row>
    <row r="60" spans="1:11">
      <c r="A60" s="24"/>
      <c r="B60" s="24"/>
      <c r="C60" s="24" t="s">
        <v>82</v>
      </c>
      <c r="D60" s="24"/>
      <c r="E60" s="24"/>
      <c r="F60" s="24"/>
      <c r="G60" s="24"/>
      <c r="H60" s="24"/>
      <c r="I60" s="24"/>
      <c r="J60" s="24"/>
      <c r="K60" s="24"/>
    </row>
    <row r="61" spans="1:11">
      <c r="A61" s="24"/>
      <c r="B61" s="24"/>
      <c r="C61" s="24" t="s">
        <v>83</v>
      </c>
      <c r="D61" s="24"/>
      <c r="E61" s="24"/>
      <c r="F61" s="24"/>
      <c r="G61" s="24"/>
      <c r="H61" s="24"/>
      <c r="I61" s="24"/>
      <c r="J61" s="24"/>
      <c r="K61" s="24"/>
    </row>
    <row r="62" spans="1:11">
      <c r="A62" s="24"/>
      <c r="B62" s="24"/>
      <c r="C62" s="24" t="s">
        <v>84</v>
      </c>
      <c r="D62" s="24"/>
      <c r="E62" s="24"/>
      <c r="F62" s="24"/>
      <c r="G62" s="24"/>
      <c r="H62" s="24"/>
      <c r="I62" s="24"/>
      <c r="J62" s="24"/>
      <c r="K62" s="24"/>
    </row>
    <row r="63" spans="1:11">
      <c r="A63" s="24"/>
      <c r="B63" s="24"/>
      <c r="C63" s="24" t="s">
        <v>85</v>
      </c>
      <c r="D63" s="24"/>
      <c r="E63" s="24"/>
      <c r="F63" s="24"/>
      <c r="G63" s="24"/>
      <c r="H63" s="24"/>
      <c r="I63" s="24"/>
      <c r="J63" s="24"/>
      <c r="K63" s="24"/>
    </row>
    <row r="64" spans="1:11">
      <c r="A64" s="24"/>
      <c r="B64" s="24"/>
      <c r="C64" s="24" t="s">
        <v>86</v>
      </c>
      <c r="D64" s="24"/>
      <c r="E64" s="24"/>
      <c r="F64" s="24"/>
      <c r="G64" s="24"/>
      <c r="H64" s="24"/>
      <c r="I64" s="24"/>
      <c r="J64" s="24"/>
      <c r="K64" s="24"/>
    </row>
    <row r="65" spans="1:11">
      <c r="A65" s="24"/>
      <c r="B65" s="24"/>
      <c r="C65" s="24" t="s">
        <v>87</v>
      </c>
      <c r="D65" s="24"/>
      <c r="E65" s="24"/>
      <c r="F65" s="24"/>
      <c r="G65" s="24"/>
      <c r="H65" s="24"/>
      <c r="I65" s="24"/>
      <c r="J65" s="24"/>
      <c r="K65" s="24"/>
    </row>
    <row r="66" spans="1:11">
      <c r="A66" s="24"/>
      <c r="B66" s="24"/>
      <c r="C66" s="24" t="s">
        <v>88</v>
      </c>
      <c r="D66" s="24"/>
      <c r="E66" s="24"/>
      <c r="F66" s="24"/>
      <c r="G66" s="24"/>
      <c r="H66" s="24"/>
      <c r="I66" s="24"/>
      <c r="J66" s="24"/>
      <c r="K66" s="24"/>
    </row>
    <row r="67" spans="1:11">
      <c r="A67" s="27" t="s">
        <v>49</v>
      </c>
      <c r="B67" s="27"/>
      <c r="C67" s="27"/>
      <c r="D67" s="27"/>
      <c r="E67" s="27"/>
      <c r="F67" s="27"/>
      <c r="G67" s="27"/>
      <c r="H67" s="27"/>
      <c r="I67" s="27"/>
      <c r="J67" s="27"/>
      <c r="K67" s="27"/>
    </row>
    <row r="68" spans="1:11">
      <c r="A68" s="27"/>
      <c r="B68" s="27"/>
      <c r="C68" s="27" t="s">
        <v>89</v>
      </c>
      <c r="D68" s="27"/>
      <c r="E68" s="27"/>
      <c r="F68" s="27"/>
      <c r="G68" s="27"/>
      <c r="H68" s="27"/>
      <c r="I68" s="27"/>
      <c r="J68" s="27"/>
      <c r="K68" s="27"/>
    </row>
    <row r="69" spans="1:11">
      <c r="A69" s="27"/>
      <c r="B69" s="27"/>
      <c r="C69" s="27" t="s">
        <v>90</v>
      </c>
      <c r="D69" s="27"/>
      <c r="E69" s="27"/>
      <c r="F69" s="27"/>
      <c r="G69" s="27"/>
      <c r="H69" s="27"/>
      <c r="I69" s="27"/>
      <c r="J69" s="27"/>
      <c r="K69" s="27"/>
    </row>
    <row r="70" spans="1:11">
      <c r="A70" s="27"/>
      <c r="B70" s="27"/>
      <c r="C70" s="27" t="s">
        <v>91</v>
      </c>
      <c r="D70" s="27"/>
      <c r="E70" s="27"/>
      <c r="F70" s="27"/>
      <c r="G70" s="27"/>
      <c r="H70" s="27"/>
      <c r="I70" s="27"/>
      <c r="J70" s="27"/>
      <c r="K70" s="27"/>
    </row>
    <row r="71" spans="1:11">
      <c r="A71" s="27"/>
      <c r="B71" s="27"/>
      <c r="C71" s="27" t="s">
        <v>58</v>
      </c>
      <c r="D71" s="27"/>
      <c r="E71" s="27"/>
      <c r="F71" s="27"/>
      <c r="G71" s="27"/>
      <c r="H71" s="27"/>
      <c r="I71" s="27"/>
      <c r="J71" s="27"/>
      <c r="K71" s="27"/>
    </row>
    <row r="72" spans="1:11">
      <c r="A72" s="27"/>
      <c r="B72" s="27"/>
      <c r="C72" s="27" t="s">
        <v>67</v>
      </c>
      <c r="D72" s="27"/>
      <c r="E72" s="27"/>
      <c r="F72" s="27"/>
      <c r="G72" s="27"/>
      <c r="H72" s="27"/>
      <c r="I72" s="27"/>
      <c r="J72" s="27"/>
      <c r="K72" s="27"/>
    </row>
    <row r="73" spans="1:11">
      <c r="A73" s="27"/>
      <c r="B73" s="27"/>
      <c r="C73" s="27" t="s">
        <v>92</v>
      </c>
      <c r="D73" s="27"/>
      <c r="E73" s="27"/>
      <c r="F73" s="27"/>
      <c r="G73" s="27"/>
      <c r="H73" s="27"/>
      <c r="I73" s="27"/>
      <c r="J73" s="27"/>
      <c r="K73" s="27"/>
    </row>
    <row r="74" spans="1:11">
      <c r="A74" s="27"/>
      <c r="B74" s="27"/>
      <c r="C74" s="27" t="s">
        <v>93</v>
      </c>
      <c r="D74" s="27"/>
      <c r="E74" s="27"/>
      <c r="F74" s="27"/>
      <c r="G74" s="27"/>
      <c r="H74" s="27"/>
      <c r="I74" s="27"/>
      <c r="J74" s="27"/>
      <c r="K74" s="27"/>
    </row>
    <row r="75" spans="1:11">
      <c r="A75" s="27"/>
      <c r="B75" s="27"/>
      <c r="C75" s="27" t="s">
        <v>94</v>
      </c>
      <c r="D75" s="27"/>
      <c r="E75" s="27"/>
      <c r="F75" s="27"/>
      <c r="G75" s="27"/>
      <c r="H75" s="27"/>
      <c r="I75" s="27"/>
      <c r="J75" s="27"/>
      <c r="K75" s="27"/>
    </row>
    <row r="76" spans="1:11">
      <c r="A76" s="27"/>
      <c r="B76" s="27"/>
      <c r="C76" s="27" t="s">
        <v>95</v>
      </c>
      <c r="D76" s="27"/>
      <c r="E76" s="27"/>
      <c r="F76" s="27"/>
      <c r="G76" s="27"/>
      <c r="H76" s="27"/>
      <c r="I76" s="27"/>
      <c r="J76" s="27"/>
      <c r="K76" s="27"/>
    </row>
    <row r="77" spans="1:11">
      <c r="A77" s="27"/>
      <c r="B77" s="27"/>
      <c r="C77" s="27" t="s">
        <v>96</v>
      </c>
      <c r="D77" s="27"/>
      <c r="E77" s="27"/>
      <c r="F77" s="27"/>
      <c r="G77" s="27"/>
      <c r="H77" s="27"/>
      <c r="I77" s="27"/>
      <c r="J77" s="27"/>
      <c r="K77" s="27"/>
    </row>
    <row r="78" spans="1:11">
      <c r="A78" s="27"/>
      <c r="B78" s="27"/>
      <c r="C78" s="27" t="s">
        <v>97</v>
      </c>
      <c r="D78" s="27"/>
      <c r="E78" s="27"/>
      <c r="F78" s="27"/>
      <c r="G78" s="27"/>
      <c r="H78" s="27"/>
      <c r="I78" s="27"/>
      <c r="J78" s="27"/>
      <c r="K78" s="27"/>
    </row>
    <row r="79" spans="1:11">
      <c r="A79" s="27"/>
      <c r="B79" s="27"/>
      <c r="C79" s="27" t="s">
        <v>98</v>
      </c>
      <c r="D79" s="27"/>
      <c r="E79" s="27"/>
      <c r="F79" s="27"/>
      <c r="G79" s="27"/>
      <c r="H79" s="27"/>
      <c r="I79" s="27"/>
      <c r="J79" s="27"/>
      <c r="K79" s="27"/>
    </row>
    <row r="80" spans="1:11">
      <c r="A80" s="27"/>
      <c r="B80" s="27"/>
      <c r="C80" s="27" t="s">
        <v>99</v>
      </c>
      <c r="D80" s="27"/>
      <c r="E80" s="27"/>
      <c r="F80" s="27"/>
      <c r="G80" s="27"/>
      <c r="H80" s="27"/>
      <c r="I80" s="27"/>
      <c r="J80" s="27"/>
      <c r="K80" s="27"/>
    </row>
    <row r="81" spans="1:11">
      <c r="A81" s="27"/>
      <c r="B81" s="27"/>
      <c r="C81" s="27" t="s">
        <v>100</v>
      </c>
      <c r="D81" s="27"/>
      <c r="E81" s="27"/>
      <c r="F81" s="27"/>
      <c r="G81" s="27"/>
      <c r="H81" s="27"/>
      <c r="I81" s="27"/>
      <c r="J81" s="27"/>
      <c r="K81" s="27"/>
    </row>
    <row r="82" spans="1:11">
      <c r="A82" s="27"/>
      <c r="B82" s="27"/>
      <c r="C82" s="27" t="s">
        <v>90</v>
      </c>
      <c r="D82" s="27"/>
      <c r="E82" s="27"/>
      <c r="F82" s="27"/>
      <c r="G82" s="27"/>
      <c r="H82" s="27"/>
      <c r="I82" s="27"/>
      <c r="J82" s="27"/>
      <c r="K82" s="27"/>
    </row>
    <row r="83" spans="1:11">
      <c r="A83" s="27"/>
      <c r="B83" s="27"/>
      <c r="C83" s="27" t="s">
        <v>91</v>
      </c>
      <c r="D83" s="27"/>
      <c r="E83" s="27"/>
      <c r="F83" s="27"/>
      <c r="G83" s="27"/>
      <c r="H83" s="27"/>
      <c r="I83" s="27"/>
      <c r="J83" s="27"/>
      <c r="K83" s="27"/>
    </row>
    <row r="84" spans="1:11">
      <c r="A84" s="27"/>
      <c r="B84" s="27"/>
      <c r="C84" s="27" t="s">
        <v>58</v>
      </c>
      <c r="D84" s="27"/>
      <c r="E84" s="27"/>
      <c r="F84" s="27"/>
      <c r="G84" s="27"/>
      <c r="H84" s="27"/>
      <c r="I84" s="27"/>
      <c r="J84" s="27"/>
      <c r="K84" s="27"/>
    </row>
    <row r="85" spans="1:11">
      <c r="A85" s="27"/>
      <c r="B85" s="27"/>
      <c r="C85" s="27" t="s">
        <v>67</v>
      </c>
      <c r="D85" s="27"/>
      <c r="E85" s="27"/>
      <c r="F85" s="27"/>
      <c r="G85" s="27"/>
      <c r="H85" s="27"/>
      <c r="I85" s="27"/>
      <c r="J85" s="27"/>
      <c r="K85" s="27"/>
    </row>
    <row r="86" spans="1:11">
      <c r="A86" s="27"/>
      <c r="B86" s="27"/>
      <c r="C86" s="27" t="s">
        <v>101</v>
      </c>
      <c r="D86" s="27"/>
      <c r="E86" s="27"/>
      <c r="F86" s="27"/>
      <c r="G86" s="27"/>
      <c r="H86" s="27"/>
      <c r="I86" s="27"/>
      <c r="J86" s="27"/>
      <c r="K86" s="27"/>
    </row>
    <row r="87" spans="1:11">
      <c r="A87" s="27"/>
      <c r="B87" s="27"/>
      <c r="C87" s="27" t="s">
        <v>102</v>
      </c>
      <c r="D87" s="27"/>
      <c r="E87" s="27"/>
      <c r="F87" s="27"/>
      <c r="G87" s="27"/>
      <c r="H87" s="27"/>
      <c r="I87" s="27"/>
      <c r="J87" s="27"/>
      <c r="K87" s="27"/>
    </row>
    <row r="88" spans="1:11">
      <c r="A88" s="27"/>
      <c r="B88" s="27"/>
      <c r="C88" s="27" t="s">
        <v>103</v>
      </c>
      <c r="D88" s="27"/>
      <c r="E88" s="27"/>
      <c r="F88" s="27"/>
      <c r="G88" s="27"/>
      <c r="H88" s="27"/>
      <c r="I88" s="27"/>
      <c r="J88" s="27"/>
      <c r="K88" s="27"/>
    </row>
    <row r="89" spans="1:11">
      <c r="A89" s="27"/>
      <c r="B89" s="27"/>
      <c r="C89" s="27" t="s">
        <v>104</v>
      </c>
      <c r="D89" s="27"/>
      <c r="E89" s="27"/>
      <c r="F89" s="27"/>
      <c r="G89" s="27"/>
      <c r="H89" s="27"/>
      <c r="I89" s="27"/>
      <c r="J89" s="27"/>
      <c r="K89" s="27"/>
    </row>
    <row r="90" spans="1:11">
      <c r="A90" s="27"/>
      <c r="B90" s="27"/>
      <c r="C90" s="27" t="s">
        <v>105</v>
      </c>
      <c r="D90" s="27"/>
      <c r="E90" s="27"/>
      <c r="F90" s="27"/>
      <c r="G90" s="27"/>
      <c r="H90" s="27"/>
      <c r="I90" s="27"/>
      <c r="J90" s="27"/>
      <c r="K90" s="27"/>
    </row>
    <row r="91" spans="1:11">
      <c r="A91" s="27"/>
      <c r="B91" s="27"/>
      <c r="C91" s="27" t="s">
        <v>106</v>
      </c>
      <c r="D91" s="27"/>
      <c r="E91" s="27"/>
      <c r="F91" s="27"/>
      <c r="G91" s="27"/>
      <c r="H91" s="27"/>
      <c r="I91" s="27"/>
      <c r="J91" s="27"/>
      <c r="K91" s="27"/>
    </row>
    <row r="92" spans="1:11">
      <c r="A92" s="27"/>
      <c r="B92" s="27"/>
      <c r="C92" s="27" t="s">
        <v>107</v>
      </c>
      <c r="D92" s="27"/>
      <c r="E92" s="27"/>
      <c r="F92" s="27"/>
      <c r="G92" s="27"/>
      <c r="H92" s="27"/>
      <c r="I92" s="27"/>
      <c r="J92" s="27"/>
      <c r="K92" s="27"/>
    </row>
    <row r="93" spans="1:11">
      <c r="A93" s="27"/>
      <c r="B93" s="27"/>
      <c r="C93" s="27" t="s">
        <v>108</v>
      </c>
      <c r="D93" s="27"/>
      <c r="E93" s="27"/>
      <c r="F93" s="27"/>
      <c r="G93" s="27"/>
      <c r="H93" s="27"/>
      <c r="I93" s="27"/>
      <c r="J93" s="27"/>
      <c r="K93" s="27"/>
    </row>
    <row r="94" spans="1:11">
      <c r="A94" s="27"/>
      <c r="B94" s="27"/>
      <c r="C94" s="27" t="s">
        <v>109</v>
      </c>
      <c r="D94" s="27"/>
      <c r="E94" s="27"/>
      <c r="F94" s="27"/>
      <c r="G94" s="27"/>
      <c r="H94" s="27"/>
      <c r="I94" s="27"/>
      <c r="J94" s="27"/>
      <c r="K94" s="27"/>
    </row>
    <row r="95" spans="1:11">
      <c r="A95" s="27"/>
      <c r="B95" s="27"/>
      <c r="C95" s="27" t="s">
        <v>99</v>
      </c>
      <c r="D95" s="27"/>
      <c r="E95" s="27"/>
      <c r="F95" s="27"/>
      <c r="G95" s="27"/>
      <c r="H95" s="27"/>
      <c r="I95" s="27"/>
      <c r="J95" s="27"/>
      <c r="K95" s="27"/>
    </row>
    <row r="96" spans="1:11">
      <c r="A96" s="27"/>
      <c r="B96" s="27"/>
      <c r="C96" s="27" t="s">
        <v>110</v>
      </c>
      <c r="D96" s="27"/>
      <c r="E96" s="27"/>
      <c r="F96" s="27"/>
      <c r="G96" s="27"/>
      <c r="H96" s="27"/>
      <c r="I96" s="27"/>
      <c r="J96" s="27"/>
      <c r="K96" s="27"/>
    </row>
    <row r="97" spans="1:11">
      <c r="A97" s="27"/>
      <c r="B97" s="27"/>
      <c r="C97" s="27" t="s">
        <v>90</v>
      </c>
      <c r="D97" s="27"/>
      <c r="E97" s="27"/>
      <c r="F97" s="27"/>
      <c r="G97" s="27"/>
      <c r="H97" s="27"/>
      <c r="I97" s="27"/>
      <c r="J97" s="27"/>
      <c r="K97" s="27"/>
    </row>
    <row r="98" spans="1:11">
      <c r="A98" s="27"/>
      <c r="B98" s="27"/>
      <c r="C98" s="27" t="s">
        <v>91</v>
      </c>
      <c r="D98" s="27"/>
      <c r="E98" s="27"/>
      <c r="F98" s="27"/>
      <c r="G98" s="27"/>
      <c r="H98" s="27"/>
      <c r="I98" s="27"/>
      <c r="J98" s="27"/>
      <c r="K98" s="27"/>
    </row>
    <row r="99" spans="1:11">
      <c r="A99" s="27"/>
      <c r="B99" s="27"/>
      <c r="C99" s="27" t="s">
        <v>58</v>
      </c>
      <c r="D99" s="27"/>
      <c r="E99" s="27"/>
      <c r="F99" s="27"/>
      <c r="G99" s="27"/>
      <c r="H99" s="27"/>
      <c r="I99" s="27"/>
      <c r="J99" s="27"/>
      <c r="K99" s="27"/>
    </row>
    <row r="100" spans="1:11">
      <c r="A100" s="27"/>
      <c r="B100" s="27"/>
      <c r="C100" s="27" t="s">
        <v>67</v>
      </c>
      <c r="D100" s="27"/>
      <c r="E100" s="27"/>
      <c r="F100" s="27"/>
      <c r="G100" s="27"/>
      <c r="H100" s="27"/>
      <c r="I100" s="27"/>
      <c r="J100" s="27"/>
      <c r="K100" s="27"/>
    </row>
    <row r="101" spans="1:11">
      <c r="A101" s="27"/>
      <c r="B101" s="27"/>
      <c r="C101" s="27" t="s">
        <v>102</v>
      </c>
      <c r="D101" s="27"/>
      <c r="E101" s="27"/>
      <c r="F101" s="27"/>
      <c r="G101" s="27"/>
      <c r="H101" s="27"/>
      <c r="I101" s="27"/>
      <c r="J101" s="27"/>
      <c r="K101" s="27"/>
    </row>
    <row r="102" spans="1:11">
      <c r="A102" s="27"/>
      <c r="B102" s="27"/>
      <c r="C102" s="27" t="s">
        <v>103</v>
      </c>
      <c r="D102" s="27"/>
      <c r="E102" s="27"/>
      <c r="F102" s="27"/>
      <c r="G102" s="27"/>
      <c r="H102" s="27"/>
      <c r="I102" s="27"/>
      <c r="J102" s="27"/>
      <c r="K102" s="27"/>
    </row>
    <row r="103" spans="1:11">
      <c r="A103" s="27"/>
      <c r="B103" s="27"/>
      <c r="C103" s="27" t="s">
        <v>104</v>
      </c>
      <c r="D103" s="27"/>
      <c r="E103" s="27"/>
      <c r="F103" s="27"/>
      <c r="G103" s="27"/>
      <c r="H103" s="27"/>
      <c r="I103" s="27"/>
      <c r="J103" s="27"/>
      <c r="K103" s="27"/>
    </row>
    <row r="104" spans="1:11">
      <c r="A104" s="27"/>
      <c r="B104" s="27"/>
      <c r="C104" s="27" t="s">
        <v>111</v>
      </c>
      <c r="D104" s="27"/>
      <c r="E104" s="27"/>
      <c r="F104" s="27"/>
      <c r="G104" s="27"/>
      <c r="H104" s="27"/>
      <c r="I104" s="27"/>
      <c r="J104" s="27"/>
      <c r="K104" s="27"/>
    </row>
    <row r="105" spans="1:11">
      <c r="A105" s="27"/>
      <c r="B105" s="27"/>
      <c r="C105" s="27" t="s">
        <v>112</v>
      </c>
      <c r="D105" s="27"/>
      <c r="E105" s="27"/>
      <c r="F105" s="27"/>
      <c r="G105" s="27"/>
      <c r="H105" s="27"/>
      <c r="I105" s="27"/>
      <c r="J105" s="27"/>
      <c r="K105" s="27"/>
    </row>
    <row r="106" spans="1:11">
      <c r="A106" s="27"/>
      <c r="B106" s="27"/>
      <c r="C106" s="27" t="s">
        <v>113</v>
      </c>
      <c r="D106" s="27"/>
      <c r="E106" s="27"/>
      <c r="F106" s="27"/>
      <c r="G106" s="27"/>
      <c r="H106" s="27"/>
      <c r="I106" s="27"/>
      <c r="J106" s="27"/>
      <c r="K106" s="27"/>
    </row>
    <row r="107" spans="1:11">
      <c r="A107" s="27" t="s">
        <v>49</v>
      </c>
      <c r="B107" s="27"/>
      <c r="C107" s="27"/>
      <c r="D107" s="27"/>
      <c r="E107" s="27"/>
      <c r="F107" s="27"/>
      <c r="G107" s="27"/>
      <c r="H107" s="27"/>
      <c r="I107" s="27"/>
      <c r="J107" s="27"/>
      <c r="K107" s="27"/>
    </row>
  </sheetData>
  <sheetProtection password="C73A" sheet="1" objects="1" scenarios="1" selectLockedCells="1" selectUnlockedCells="1"/>
  <mergeCells count="3">
    <mergeCell ref="A1:H1"/>
    <mergeCell ref="C3:D3"/>
    <mergeCell ref="E3:F3"/>
  </mergeCells>
  <phoneticPr fontId="104"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O21:O23"/>
  <sheetViews>
    <sheetView topLeftCell="A16" workbookViewId="0">
      <selection activeCell="O49" sqref="O49"/>
    </sheetView>
  </sheetViews>
  <sheetFormatPr defaultRowHeight="12.75"/>
  <sheetData>
    <row r="21" spans="15:15">
      <c r="O21" t="s">
        <v>3558</v>
      </c>
    </row>
    <row r="23" spans="15:15">
      <c r="O23" s="600" t="s">
        <v>3559</v>
      </c>
    </row>
  </sheetData>
  <phoneticPr fontId="10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G27"/>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8.85546875" defaultRowHeight="15"/>
  <cols>
    <col min="1" max="1" width="16" style="2" customWidth="1"/>
    <col min="2" max="2" width="22.7109375" style="2" customWidth="1"/>
    <col min="3" max="3" width="5.140625" style="2" customWidth="1"/>
    <col min="4" max="4" width="15.5703125" style="2" customWidth="1"/>
    <col min="5" max="6" width="5.140625" style="2" customWidth="1"/>
    <col min="7" max="7" width="18.28515625" style="2" customWidth="1"/>
    <col min="8" max="8" width="5.140625" style="2" customWidth="1"/>
    <col min="9" max="9" width="11.7109375" style="2" customWidth="1"/>
    <col min="10" max="10" width="5.140625" style="2" customWidth="1"/>
    <col min="11" max="11" width="11.7109375" style="2" customWidth="1"/>
    <col min="12" max="12" width="5.140625" style="2" customWidth="1"/>
    <col min="13" max="13" width="11.7109375" style="2" customWidth="1"/>
    <col min="14" max="14" width="5.140625" style="2" customWidth="1"/>
    <col min="15" max="15" width="11.7109375" style="2" customWidth="1"/>
    <col min="16" max="16" width="5.140625" style="2" customWidth="1"/>
    <col min="17" max="17" width="13.85546875" style="2" customWidth="1"/>
    <col min="18" max="18" width="5.140625" style="2" customWidth="1"/>
    <col min="19" max="19" width="13.85546875" style="2" customWidth="1"/>
    <col min="20" max="20" width="5.140625" style="2" customWidth="1"/>
    <col min="21" max="21" width="13.85546875" style="2" customWidth="1"/>
    <col min="22" max="22" width="5.140625" style="2" customWidth="1"/>
    <col min="23" max="23" width="13.85546875" style="2" customWidth="1"/>
    <col min="24" max="24" width="5.140625" style="2" customWidth="1"/>
    <col min="25" max="25" width="13.85546875" style="2" customWidth="1"/>
    <col min="26" max="26" width="5.140625" style="2" customWidth="1"/>
    <col min="27" max="27" width="11.7109375" style="2" customWidth="1"/>
    <col min="28" max="28" width="5.140625" style="2" customWidth="1"/>
    <col min="29" max="29" width="9.42578125" style="2" customWidth="1"/>
    <col min="30" max="30" width="5.140625" style="2" customWidth="1"/>
    <col min="31" max="31" width="9.42578125" style="2" customWidth="1"/>
    <col min="32" max="32" width="5.140625" style="2" customWidth="1"/>
    <col min="33" max="16384" width="8.85546875" style="2"/>
  </cols>
  <sheetData>
    <row r="1" spans="2:33" ht="32.1" customHeight="1">
      <c r="B1" s="429" t="s">
        <v>3434</v>
      </c>
      <c r="G1" s="428" t="s">
        <v>3217</v>
      </c>
    </row>
    <row r="2" spans="2:33" ht="14.1" customHeight="1" thickBot="1">
      <c r="B2" s="370"/>
      <c r="G2" s="37" t="s">
        <v>3435</v>
      </c>
    </row>
    <row r="3" spans="2:33" ht="15.75" thickBot="1">
      <c r="B3" s="798" t="s">
        <v>3433</v>
      </c>
      <c r="C3" s="799"/>
      <c r="D3" s="799"/>
      <c r="E3" s="800"/>
      <c r="G3" s="804" t="s">
        <v>3218</v>
      </c>
      <c r="H3" s="805"/>
      <c r="I3" s="805"/>
      <c r="J3" s="805"/>
      <c r="K3" s="805"/>
      <c r="L3" s="805"/>
      <c r="M3" s="805"/>
      <c r="N3" s="806"/>
      <c r="O3" s="807" t="s">
        <v>3219</v>
      </c>
      <c r="P3" s="808"/>
      <c r="Q3" s="804" t="s">
        <v>3265</v>
      </c>
      <c r="R3" s="806"/>
      <c r="S3" s="809" t="s">
        <v>3220</v>
      </c>
      <c r="T3" s="810"/>
      <c r="U3" s="804" t="s">
        <v>3266</v>
      </c>
      <c r="V3" s="806"/>
      <c r="W3" s="809" t="s">
        <v>3221</v>
      </c>
      <c r="X3" s="810"/>
      <c r="Y3" s="804" t="s">
        <v>3222</v>
      </c>
      <c r="Z3" s="805"/>
      <c r="AA3" s="805"/>
      <c r="AB3" s="806"/>
      <c r="AC3" s="809" t="s">
        <v>3223</v>
      </c>
      <c r="AD3" s="814"/>
      <c r="AE3" s="810"/>
      <c r="AF3" s="804" t="s">
        <v>3224</v>
      </c>
      <c r="AG3" s="806"/>
    </row>
    <row r="4" spans="2:33" ht="12" customHeight="1" thickBot="1">
      <c r="B4" s="801"/>
      <c r="C4" s="802"/>
      <c r="D4" s="802"/>
      <c r="E4" s="803"/>
      <c r="F4" s="370"/>
      <c r="G4" s="815" t="s">
        <v>3225</v>
      </c>
      <c r="H4" s="815"/>
      <c r="I4" s="815"/>
      <c r="J4" s="815"/>
      <c r="K4" s="815"/>
      <c r="L4" s="815"/>
      <c r="M4" s="815"/>
      <c r="N4" s="815"/>
      <c r="O4" s="815"/>
      <c r="P4" s="815"/>
      <c r="Q4" s="815"/>
      <c r="R4" s="815"/>
      <c r="S4" s="815"/>
      <c r="T4" s="815"/>
      <c r="U4" s="815"/>
      <c r="V4" s="815"/>
      <c r="W4" s="815"/>
      <c r="X4" s="815"/>
      <c r="Y4" s="815"/>
      <c r="Z4" s="815"/>
      <c r="AA4" s="815"/>
      <c r="AB4" s="815"/>
      <c r="AC4" s="815"/>
      <c r="AD4" s="815"/>
      <c r="AE4" s="815"/>
      <c r="AF4" s="815"/>
      <c r="AG4" s="815"/>
    </row>
    <row r="5" spans="2:33" ht="15.75" thickBot="1">
      <c r="AG5" s="371" t="s">
        <v>3226</v>
      </c>
    </row>
    <row r="6" spans="2:33" ht="15.75" thickBot="1">
      <c r="B6" s="372" t="s">
        <v>3227</v>
      </c>
      <c r="C6" s="3"/>
      <c r="D6" s="427" t="s">
        <v>3438</v>
      </c>
      <c r="E6" s="374"/>
      <c r="F6" s="374"/>
      <c r="G6" s="375" t="s">
        <v>2998</v>
      </c>
      <c r="H6" s="3"/>
      <c r="I6" s="376" t="s">
        <v>3228</v>
      </c>
      <c r="K6" s="377" t="s">
        <v>3229</v>
      </c>
      <c r="L6" s="3"/>
      <c r="M6" s="378" t="s">
        <v>3230</v>
      </c>
      <c r="N6" s="3"/>
      <c r="O6" s="379" t="s">
        <v>3231</v>
      </c>
      <c r="P6" s="3"/>
      <c r="Q6" s="380" t="s">
        <v>3232</v>
      </c>
      <c r="R6" s="3"/>
      <c r="S6" s="380" t="s">
        <v>3233</v>
      </c>
      <c r="T6" s="3"/>
      <c r="U6" s="381" t="s">
        <v>3234</v>
      </c>
      <c r="V6" s="3"/>
      <c r="W6" s="382" t="s">
        <v>3235</v>
      </c>
      <c r="X6" s="3"/>
      <c r="Y6" s="382" t="s">
        <v>3236</v>
      </c>
      <c r="Z6" s="3"/>
      <c r="AA6" s="383"/>
      <c r="AB6" s="3"/>
      <c r="AC6" s="384" t="s">
        <v>3237</v>
      </c>
      <c r="AD6" s="3"/>
      <c r="AE6" s="385" t="s">
        <v>3238</v>
      </c>
      <c r="AG6" s="386" t="s">
        <v>3239</v>
      </c>
    </row>
    <row r="7" spans="2:33" ht="15.75" thickBot="1">
      <c r="B7" s="3"/>
      <c r="AA7" s="387" t="s">
        <v>3240</v>
      </c>
      <c r="AE7" s="388" t="s">
        <v>3241</v>
      </c>
      <c r="AG7" s="389" t="s">
        <v>3242</v>
      </c>
    </row>
    <row r="8" spans="2:33" ht="15.75" thickBot="1">
      <c r="B8" s="372" t="s">
        <v>3243</v>
      </c>
      <c r="D8" s="373" t="s">
        <v>3244</v>
      </c>
      <c r="E8" s="390"/>
      <c r="F8" s="390"/>
      <c r="I8" s="424" t="s">
        <v>3432</v>
      </c>
      <c r="Q8" s="377" t="s">
        <v>3245</v>
      </c>
      <c r="S8" s="377" t="s">
        <v>3245</v>
      </c>
      <c r="U8" s="377" t="s">
        <v>3245</v>
      </c>
      <c r="W8" s="391" t="s">
        <v>3245</v>
      </c>
      <c r="Y8" s="391" t="s">
        <v>3245</v>
      </c>
      <c r="AA8" s="392"/>
      <c r="AE8" s="393" t="s">
        <v>3246</v>
      </c>
      <c r="AG8" s="394" t="s">
        <v>3247</v>
      </c>
    </row>
    <row r="9" spans="2:33" ht="15.75" thickBot="1">
      <c r="B9" s="3"/>
      <c r="AA9" s="395"/>
      <c r="AE9" s="396" t="s">
        <v>3248</v>
      </c>
      <c r="AG9" s="397" t="s">
        <v>3249</v>
      </c>
    </row>
    <row r="10" spans="2:33" ht="15.75" thickBot="1">
      <c r="B10" s="398" t="s">
        <v>3250</v>
      </c>
      <c r="D10" s="399" t="s">
        <v>3251</v>
      </c>
      <c r="I10" s="816" t="s">
        <v>3252</v>
      </c>
      <c r="J10" s="817"/>
      <c r="K10" s="817"/>
      <c r="L10" s="817"/>
      <c r="M10" s="817"/>
      <c r="N10" s="817"/>
      <c r="O10" s="817"/>
      <c r="P10" s="818"/>
      <c r="Q10" s="819" t="s">
        <v>3253</v>
      </c>
      <c r="R10" s="820"/>
      <c r="S10" s="820"/>
      <c r="T10" s="820"/>
      <c r="U10" s="820"/>
      <c r="V10" s="820"/>
      <c r="W10" s="820"/>
      <c r="X10" s="820"/>
      <c r="Y10" s="821"/>
      <c r="AA10" s="400"/>
      <c r="AE10" s="401" t="s">
        <v>3254</v>
      </c>
      <c r="AG10" s="402" t="s">
        <v>3255</v>
      </c>
    </row>
    <row r="11" spans="2:33" ht="15.75" thickBot="1">
      <c r="B11" s="3"/>
      <c r="AG11" s="403" t="s">
        <v>3256</v>
      </c>
    </row>
    <row r="12" spans="2:33" ht="15.75" thickBot="1">
      <c r="B12" s="404" t="s">
        <v>3257</v>
      </c>
      <c r="D12" s="427" t="s">
        <v>3432</v>
      </c>
      <c r="I12" s="811" t="s">
        <v>3258</v>
      </c>
      <c r="J12" s="812"/>
      <c r="K12" s="812"/>
      <c r="L12" s="812"/>
      <c r="M12" s="812"/>
      <c r="N12" s="812"/>
      <c r="O12" s="812"/>
      <c r="P12" s="812"/>
      <c r="Q12" s="812"/>
      <c r="R12" s="812"/>
      <c r="S12" s="812"/>
      <c r="T12" s="812"/>
      <c r="U12" s="812"/>
      <c r="V12" s="812"/>
      <c r="W12" s="812"/>
      <c r="X12" s="812"/>
      <c r="Y12" s="813"/>
      <c r="AG12" s="405" t="s">
        <v>3259</v>
      </c>
    </row>
    <row r="13" spans="2:33" ht="15.75" thickBot="1">
      <c r="B13" s="3"/>
    </row>
    <row r="14" spans="2:33" ht="15.75" thickBot="1">
      <c r="B14" s="404" t="s">
        <v>3260</v>
      </c>
    </row>
    <row r="15" spans="2:33">
      <c r="B15" s="3"/>
    </row>
    <row r="16" spans="2:33" ht="15.75" thickBot="1"/>
    <row r="17" spans="1:2" ht="15.75" thickBot="1">
      <c r="B17" s="406" t="s">
        <v>3261</v>
      </c>
    </row>
    <row r="20" spans="1:2" ht="15.75" thickBot="1">
      <c r="A20" s="39" t="s">
        <v>3262</v>
      </c>
    </row>
    <row r="21" spans="1:2" ht="15.75" thickBot="1">
      <c r="A21" s="407" t="s">
        <v>3239</v>
      </c>
    </row>
    <row r="22" spans="1:2" ht="15.75" thickBot="1">
      <c r="A22" s="404" t="s">
        <v>3242</v>
      </c>
    </row>
    <row r="23" spans="1:2" ht="15.75" thickBot="1">
      <c r="A23" s="382" t="s">
        <v>3247</v>
      </c>
    </row>
    <row r="24" spans="1:2" ht="15.75" thickBot="1">
      <c r="A24" s="378" t="s">
        <v>3249</v>
      </c>
    </row>
    <row r="25" spans="1:2" ht="15.75" thickBot="1">
      <c r="A25" s="406" t="s">
        <v>3255</v>
      </c>
    </row>
    <row r="26" spans="1:2" ht="15.75" thickBot="1">
      <c r="A26" s="408" t="s">
        <v>3256</v>
      </c>
    </row>
    <row r="27" spans="1:2" ht="15.75" thickBot="1">
      <c r="A27" s="384" t="s">
        <v>3259</v>
      </c>
    </row>
  </sheetData>
  <mergeCells count="14">
    <mergeCell ref="I12:Y12"/>
    <mergeCell ref="W3:X3"/>
    <mergeCell ref="Y3:AB3"/>
    <mergeCell ref="AC3:AE3"/>
    <mergeCell ref="AF3:AG3"/>
    <mergeCell ref="G4:AG4"/>
    <mergeCell ref="I10:P10"/>
    <mergeCell ref="Q10:Y10"/>
    <mergeCell ref="U3:V3"/>
    <mergeCell ref="B3:E4"/>
    <mergeCell ref="G3:N3"/>
    <mergeCell ref="O3:P3"/>
    <mergeCell ref="Q3:R3"/>
    <mergeCell ref="S3:T3"/>
  </mergeCells>
  <phoneticPr fontId="104" type="noConversion"/>
  <hyperlinks>
    <hyperlink ref="D12" location="'GPS Anthro Tool'!A1" display="GPS TOOLS" xr:uid="{00000000-0004-0000-1400-000000000000}"/>
    <hyperlink ref="D6" location="'GPS-CRS-Source'!A1" display="Template GPS" xr:uid="{00000000-0004-0000-1400-000001000000}"/>
    <hyperlink ref="G3:N3" location="'NPD Process Deliverables'!C1" display="Phase 0-1-2" xr:uid="{00000000-0004-0000-1400-000002000000}"/>
    <hyperlink ref="O3:P3" location="'NPD Process Deliverables'!E1" display="TDR 1" xr:uid="{00000000-0004-0000-1400-000003000000}"/>
    <hyperlink ref="Q3:R3" location="'NPD Process Deliverables'!G1" display="Phase 3" xr:uid="{00000000-0004-0000-1400-000004000000}"/>
    <hyperlink ref="S3:T3" location="'NPD Process Deliverables'!I1" display="TDR 2" xr:uid="{00000000-0004-0000-1400-000005000000}"/>
    <hyperlink ref="U3:V3" location="'NPD Process Deliverables'!K1" display="Phase 4" xr:uid="{00000000-0004-0000-1400-000006000000}"/>
    <hyperlink ref="W3:X3" location="'NPD Process Deliverables'!M1" display="TDR 3" xr:uid="{00000000-0004-0000-1400-000007000000}"/>
    <hyperlink ref="Y3:AB3" location="'NPD Process Deliverables'!O1" display="Phase 5" xr:uid="{00000000-0004-0000-1400-000008000000}"/>
    <hyperlink ref="AC3:AE3" location="'NPD Process Deliverables'!Q1" display="Phase 6" xr:uid="{00000000-0004-0000-1400-000009000000}"/>
    <hyperlink ref="AF3:AG3" location="'NPD Process Deliverables'!S1" display="Project Close" xr:uid="{00000000-0004-0000-1400-00000A000000}"/>
    <hyperlink ref="B1" r:id="rId1" xr:uid="{00000000-0004-0000-1400-00000B000000}"/>
  </hyperlinks>
  <pageMargins left="0.7" right="0.7" top="0.75" bottom="0.75" header="0.3" footer="0.3"/>
  <pageSetup paperSize="3" fitToWidth="2" orientation="landscape"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pageSetUpPr fitToPage="1"/>
  </sheetPr>
  <dimension ref="A1:S81"/>
  <sheetViews>
    <sheetView topLeftCell="K1" workbookViewId="0">
      <selection activeCell="Q1" sqref="Q1"/>
    </sheetView>
  </sheetViews>
  <sheetFormatPr defaultColWidth="8.85546875" defaultRowHeight="15"/>
  <cols>
    <col min="1" max="1" width="35.85546875" style="360" customWidth="1"/>
    <col min="2" max="2" width="2.85546875" style="360" customWidth="1"/>
    <col min="3" max="3" width="35.85546875" style="409" customWidth="1"/>
    <col min="4" max="4" width="2.85546875" style="360" customWidth="1"/>
    <col min="5" max="5" width="35.85546875" style="360" customWidth="1"/>
    <col min="6" max="6" width="2.85546875" style="360" customWidth="1"/>
    <col min="7" max="7" width="35.85546875" style="360" customWidth="1"/>
    <col min="8" max="8" width="2.85546875" style="360" customWidth="1"/>
    <col min="9" max="9" width="35.85546875" style="360" customWidth="1"/>
    <col min="10" max="10" width="2.85546875" style="360" customWidth="1"/>
    <col min="11" max="11" width="35.85546875" style="360" customWidth="1"/>
    <col min="12" max="12" width="2.85546875" style="360" customWidth="1"/>
    <col min="13" max="13" width="35.85546875" style="360" customWidth="1"/>
    <col min="14" max="14" width="2.85546875" style="360" customWidth="1"/>
    <col min="15" max="15" width="35.85546875" style="360" customWidth="1"/>
    <col min="16" max="16" width="2.85546875" style="360" customWidth="1"/>
    <col min="17" max="17" width="35.85546875" style="360" customWidth="1"/>
    <col min="18" max="18" width="2.85546875" style="360" customWidth="1"/>
    <col min="19" max="19" width="35.85546875" style="360" customWidth="1"/>
    <col min="20" max="16384" width="8.85546875" style="360"/>
  </cols>
  <sheetData>
    <row r="1" spans="1:19">
      <c r="A1" s="360" t="s">
        <v>3263</v>
      </c>
      <c r="C1" s="409" t="s">
        <v>3264</v>
      </c>
      <c r="E1" s="360" t="s">
        <v>3219</v>
      </c>
      <c r="G1" s="360" t="s">
        <v>3265</v>
      </c>
      <c r="I1" s="360" t="s">
        <v>3220</v>
      </c>
      <c r="K1" s="360" t="s">
        <v>3266</v>
      </c>
      <c r="M1" s="360" t="s">
        <v>3221</v>
      </c>
      <c r="O1" s="360" t="s">
        <v>3222</v>
      </c>
      <c r="Q1" s="360" t="s">
        <v>3223</v>
      </c>
      <c r="S1" s="360" t="s">
        <v>3224</v>
      </c>
    </row>
    <row r="3" spans="1:19" ht="30" customHeight="1">
      <c r="A3" s="410" t="s">
        <v>3267</v>
      </c>
      <c r="C3" s="411" t="s">
        <v>3268</v>
      </c>
      <c r="E3" s="412" t="s">
        <v>3269</v>
      </c>
      <c r="G3" s="410" t="s">
        <v>3270</v>
      </c>
      <c r="I3" s="413" t="s">
        <v>3269</v>
      </c>
      <c r="K3" s="410" t="s">
        <v>3270</v>
      </c>
      <c r="M3" s="410" t="s">
        <v>3271</v>
      </c>
      <c r="O3" s="413" t="s">
        <v>3272</v>
      </c>
      <c r="Q3" s="414" t="s">
        <v>3272</v>
      </c>
      <c r="S3" s="415" t="s">
        <v>3273</v>
      </c>
    </row>
    <row r="4" spans="1:19" ht="30" customHeight="1">
      <c r="A4" s="410" t="s">
        <v>3274</v>
      </c>
      <c r="C4" s="411" t="s">
        <v>3275</v>
      </c>
      <c r="E4" s="412" t="s">
        <v>3276</v>
      </c>
      <c r="G4" s="413" t="s">
        <v>3277</v>
      </c>
      <c r="I4" s="413" t="s">
        <v>3276</v>
      </c>
      <c r="K4" s="414" t="s">
        <v>3277</v>
      </c>
      <c r="M4" s="415" t="s">
        <v>3278</v>
      </c>
      <c r="O4" s="415" t="s">
        <v>3273</v>
      </c>
      <c r="Q4" s="416" t="s">
        <v>3273</v>
      </c>
      <c r="S4" s="411" t="s">
        <v>3279</v>
      </c>
    </row>
    <row r="5" spans="1:19" ht="30" customHeight="1">
      <c r="A5" s="410" t="s">
        <v>3280</v>
      </c>
      <c r="C5" s="415" t="s">
        <v>3281</v>
      </c>
      <c r="E5" s="412" t="s">
        <v>3282</v>
      </c>
      <c r="G5" s="413" t="s">
        <v>3283</v>
      </c>
      <c r="I5" s="413" t="s">
        <v>3282</v>
      </c>
      <c r="K5" s="414" t="s">
        <v>3283</v>
      </c>
      <c r="M5" s="410" t="s">
        <v>3284</v>
      </c>
      <c r="O5" s="415" t="s">
        <v>3285</v>
      </c>
      <c r="Q5" s="416" t="s">
        <v>3285</v>
      </c>
      <c r="S5" s="411" t="s">
        <v>3286</v>
      </c>
    </row>
    <row r="6" spans="1:19" ht="30" customHeight="1">
      <c r="A6" s="410" t="s">
        <v>3287</v>
      </c>
      <c r="C6" s="411" t="s">
        <v>3288</v>
      </c>
      <c r="E6" s="414" t="s">
        <v>3289</v>
      </c>
      <c r="G6" s="413" t="s">
        <v>3290</v>
      </c>
      <c r="I6" s="414" t="s">
        <v>3289</v>
      </c>
      <c r="K6" s="416" t="s">
        <v>3290</v>
      </c>
      <c r="M6" s="413" t="s">
        <v>3291</v>
      </c>
      <c r="O6" s="410" t="s">
        <v>3292</v>
      </c>
      <c r="Q6" s="416" t="s">
        <v>3293</v>
      </c>
      <c r="S6" s="416" t="s">
        <v>3293</v>
      </c>
    </row>
    <row r="7" spans="1:19" ht="30" customHeight="1">
      <c r="A7" s="410" t="s">
        <v>3294</v>
      </c>
      <c r="C7" s="411" t="s">
        <v>3295</v>
      </c>
      <c r="E7" s="416" t="s">
        <v>3296</v>
      </c>
      <c r="G7" s="410" t="s">
        <v>3297</v>
      </c>
      <c r="I7" s="416" t="s">
        <v>3296</v>
      </c>
      <c r="K7" s="416" t="s">
        <v>3297</v>
      </c>
      <c r="M7" s="413" t="s">
        <v>3298</v>
      </c>
      <c r="O7" s="415" t="s">
        <v>3293</v>
      </c>
      <c r="Q7" s="416" t="s">
        <v>3299</v>
      </c>
      <c r="S7" s="414" t="s">
        <v>3300</v>
      </c>
    </row>
    <row r="8" spans="1:19" ht="30" customHeight="1">
      <c r="A8" s="410" t="s">
        <v>3301</v>
      </c>
      <c r="C8" s="411" t="s">
        <v>3302</v>
      </c>
      <c r="E8" s="414" t="s">
        <v>3303</v>
      </c>
      <c r="G8" s="413" t="s">
        <v>3304</v>
      </c>
      <c r="I8" s="414" t="s">
        <v>3303</v>
      </c>
      <c r="K8" s="414" t="s">
        <v>3304</v>
      </c>
      <c r="M8" s="410" t="s">
        <v>3305</v>
      </c>
      <c r="O8" s="410" t="s">
        <v>3299</v>
      </c>
      <c r="Q8" s="416" t="s">
        <v>3306</v>
      </c>
      <c r="S8" s="416" t="s">
        <v>3307</v>
      </c>
    </row>
    <row r="9" spans="1:19" ht="30" customHeight="1">
      <c r="A9" s="410" t="s">
        <v>3308</v>
      </c>
      <c r="C9" s="411" t="s">
        <v>3309</v>
      </c>
      <c r="E9" s="416" t="s">
        <v>3310</v>
      </c>
      <c r="G9" s="410" t="s">
        <v>3311</v>
      </c>
      <c r="I9" s="416" t="s">
        <v>3310</v>
      </c>
      <c r="K9" s="416" t="s">
        <v>3311</v>
      </c>
      <c r="M9" s="410" t="s">
        <v>3312</v>
      </c>
      <c r="O9" s="415" t="s">
        <v>3306</v>
      </c>
      <c r="Q9" s="416" t="s">
        <v>3278</v>
      </c>
      <c r="S9" s="416" t="s">
        <v>3313</v>
      </c>
    </row>
    <row r="10" spans="1:19" ht="30" customHeight="1">
      <c r="A10" s="410" t="s">
        <v>3314</v>
      </c>
      <c r="C10" s="413" t="s">
        <v>3269</v>
      </c>
      <c r="E10" s="416" t="s">
        <v>3315</v>
      </c>
      <c r="G10" s="414" t="s">
        <v>3316</v>
      </c>
      <c r="I10" s="416" t="s">
        <v>3315</v>
      </c>
      <c r="K10" s="414" t="s">
        <v>3316</v>
      </c>
      <c r="M10" s="413" t="s">
        <v>3317</v>
      </c>
      <c r="O10" s="415" t="s">
        <v>3278</v>
      </c>
      <c r="Q10" s="416" t="s">
        <v>3318</v>
      </c>
    </row>
    <row r="11" spans="1:19" ht="30" customHeight="1">
      <c r="A11" s="410" t="s">
        <v>3319</v>
      </c>
      <c r="C11" s="413" t="s">
        <v>3276</v>
      </c>
      <c r="E11" s="414" t="s">
        <v>3268</v>
      </c>
      <c r="G11" s="414" t="s">
        <v>3320</v>
      </c>
      <c r="I11" s="414" t="s">
        <v>3268</v>
      </c>
      <c r="K11" s="414" t="s">
        <v>3320</v>
      </c>
      <c r="M11" s="413" t="s">
        <v>3321</v>
      </c>
      <c r="O11" s="410" t="s">
        <v>3322</v>
      </c>
      <c r="Q11" s="414" t="s">
        <v>3323</v>
      </c>
    </row>
    <row r="12" spans="1:19" ht="30" customHeight="1">
      <c r="A12" s="410" t="s">
        <v>3324</v>
      </c>
      <c r="C12" s="413" t="s">
        <v>3282</v>
      </c>
      <c r="E12" s="414" t="s">
        <v>3321</v>
      </c>
      <c r="G12" s="416" t="s">
        <v>3325</v>
      </c>
      <c r="I12" s="414" t="s">
        <v>3321</v>
      </c>
      <c r="K12" s="416" t="s">
        <v>3325</v>
      </c>
      <c r="M12" s="413" t="s">
        <v>3326</v>
      </c>
      <c r="O12" s="410" t="s">
        <v>3284</v>
      </c>
      <c r="Q12" s="416" t="s">
        <v>3327</v>
      </c>
    </row>
    <row r="13" spans="1:19" ht="30" customHeight="1">
      <c r="A13" s="410" t="s">
        <v>3280</v>
      </c>
      <c r="C13" s="415" t="s">
        <v>3328</v>
      </c>
      <c r="E13" s="414" t="s">
        <v>3326</v>
      </c>
      <c r="G13" s="416" t="s">
        <v>3329</v>
      </c>
      <c r="I13" s="414" t="s">
        <v>3326</v>
      </c>
      <c r="K13" s="416" t="s">
        <v>3329</v>
      </c>
      <c r="M13" s="413" t="s">
        <v>3330</v>
      </c>
      <c r="O13" s="410" t="s">
        <v>3284</v>
      </c>
      <c r="Q13" s="414" t="s">
        <v>3331</v>
      </c>
    </row>
    <row r="14" spans="1:19" ht="30" customHeight="1">
      <c r="A14" s="417"/>
      <c r="C14" s="415" t="s">
        <v>3332</v>
      </c>
      <c r="E14" s="414" t="s">
        <v>3229</v>
      </c>
      <c r="G14" s="416" t="s">
        <v>3333</v>
      </c>
      <c r="I14" s="414" t="s">
        <v>3229</v>
      </c>
      <c r="K14" s="416" t="s">
        <v>3333</v>
      </c>
      <c r="M14" s="413" t="s">
        <v>3334</v>
      </c>
      <c r="O14" s="413" t="s">
        <v>3335</v>
      </c>
      <c r="Q14" s="416" t="s">
        <v>3336</v>
      </c>
    </row>
    <row r="15" spans="1:19" ht="30" customHeight="1">
      <c r="A15" s="417"/>
      <c r="C15" s="415" t="s">
        <v>3337</v>
      </c>
      <c r="E15" s="414" t="s">
        <v>3338</v>
      </c>
      <c r="G15" s="416" t="s">
        <v>3339</v>
      </c>
      <c r="I15" s="414" t="s">
        <v>3338</v>
      </c>
      <c r="K15" s="416" t="s">
        <v>3339</v>
      </c>
      <c r="M15" s="413" t="s">
        <v>3277</v>
      </c>
      <c r="O15" s="413" t="s">
        <v>3340</v>
      </c>
      <c r="Q15" s="416" t="s">
        <v>3341</v>
      </c>
    </row>
    <row r="16" spans="1:19" ht="30" customHeight="1">
      <c r="A16" s="417"/>
      <c r="C16" s="415" t="s">
        <v>3273</v>
      </c>
      <c r="E16" s="416" t="s">
        <v>3342</v>
      </c>
      <c r="G16" s="416" t="s">
        <v>3343</v>
      </c>
      <c r="I16" s="416" t="s">
        <v>3342</v>
      </c>
      <c r="K16" s="416" t="s">
        <v>3343</v>
      </c>
      <c r="M16" s="413" t="s">
        <v>3283</v>
      </c>
      <c r="O16" s="410" t="s">
        <v>3344</v>
      </c>
    </row>
    <row r="17" spans="1:15" ht="30" customHeight="1">
      <c r="A17" s="417"/>
      <c r="C17" s="411" t="s">
        <v>3345</v>
      </c>
      <c r="E17" s="416" t="s">
        <v>3346</v>
      </c>
      <c r="G17" s="416" t="s">
        <v>3273</v>
      </c>
      <c r="I17" s="416" t="s">
        <v>3346</v>
      </c>
      <c r="K17" s="416" t="s">
        <v>3273</v>
      </c>
      <c r="M17" s="413" t="s">
        <v>3229</v>
      </c>
      <c r="O17" s="413" t="s">
        <v>3323</v>
      </c>
    </row>
    <row r="18" spans="1:15" ht="30" customHeight="1">
      <c r="A18" s="417"/>
      <c r="C18" s="411" t="s">
        <v>3347</v>
      </c>
      <c r="E18" s="416" t="s">
        <v>3278</v>
      </c>
      <c r="G18" s="416" t="s">
        <v>3348</v>
      </c>
      <c r="I18" s="416" t="s">
        <v>3278</v>
      </c>
      <c r="K18" s="416" t="s">
        <v>3348</v>
      </c>
      <c r="M18" s="410" t="s">
        <v>3349</v>
      </c>
      <c r="O18" s="418" t="s">
        <v>3350</v>
      </c>
    </row>
    <row r="19" spans="1:15" ht="30" customHeight="1">
      <c r="A19" s="417"/>
      <c r="C19" s="411" t="s">
        <v>3351</v>
      </c>
      <c r="E19" s="414" t="s">
        <v>3352</v>
      </c>
      <c r="G19" s="416" t="s">
        <v>3353</v>
      </c>
      <c r="I19" s="414" t="s">
        <v>3352</v>
      </c>
      <c r="K19" s="414" t="s">
        <v>3354</v>
      </c>
      <c r="M19" s="410" t="s">
        <v>3355</v>
      </c>
      <c r="O19" s="415" t="s">
        <v>3327</v>
      </c>
    </row>
    <row r="20" spans="1:15" ht="30" customHeight="1">
      <c r="C20" s="415" t="s">
        <v>3285</v>
      </c>
      <c r="E20" s="414" t="s">
        <v>3356</v>
      </c>
      <c r="G20" s="414" t="s">
        <v>3354</v>
      </c>
      <c r="I20" s="414" t="s">
        <v>3356</v>
      </c>
      <c r="K20" s="416" t="s">
        <v>3357</v>
      </c>
      <c r="M20" s="416" t="s">
        <v>3344</v>
      </c>
      <c r="O20" s="413" t="s">
        <v>3331</v>
      </c>
    </row>
    <row r="21" spans="1:15" ht="30" customHeight="1">
      <c r="C21" s="413" t="s">
        <v>3289</v>
      </c>
      <c r="E21" s="414" t="s">
        <v>3309</v>
      </c>
      <c r="G21" s="416" t="s">
        <v>3357</v>
      </c>
      <c r="I21" s="414" t="s">
        <v>3309</v>
      </c>
      <c r="K21" s="416" t="s">
        <v>3358</v>
      </c>
      <c r="M21" s="414" t="s">
        <v>3323</v>
      </c>
      <c r="O21" s="413" t="s">
        <v>3359</v>
      </c>
    </row>
    <row r="22" spans="1:15" ht="30" customHeight="1">
      <c r="C22" s="410" t="s">
        <v>3296</v>
      </c>
      <c r="E22" s="414" t="s">
        <v>3360</v>
      </c>
      <c r="G22" s="416" t="s">
        <v>3358</v>
      </c>
      <c r="I22" s="414" t="s">
        <v>3360</v>
      </c>
      <c r="K22" s="414" t="s">
        <v>3361</v>
      </c>
      <c r="M22" s="416" t="s">
        <v>3362</v>
      </c>
      <c r="O22" s="410" t="s">
        <v>3363</v>
      </c>
    </row>
    <row r="23" spans="1:15" ht="30" customHeight="1">
      <c r="C23" s="413" t="s">
        <v>3303</v>
      </c>
      <c r="E23" s="414" t="s">
        <v>3364</v>
      </c>
      <c r="G23" s="414" t="s">
        <v>3361</v>
      </c>
      <c r="I23" s="414" t="s">
        <v>3364</v>
      </c>
      <c r="K23" s="416" t="s">
        <v>3365</v>
      </c>
      <c r="M23" s="414" t="s">
        <v>3366</v>
      </c>
      <c r="O23" s="419" t="s">
        <v>3367</v>
      </c>
    </row>
    <row r="24" spans="1:15" ht="30" customHeight="1">
      <c r="C24" s="410" t="s">
        <v>3310</v>
      </c>
      <c r="E24" s="414" t="s">
        <v>3368</v>
      </c>
      <c r="G24" s="416" t="s">
        <v>3365</v>
      </c>
      <c r="I24" s="414" t="s">
        <v>3368</v>
      </c>
      <c r="K24" s="416" t="s">
        <v>3369</v>
      </c>
      <c r="M24" s="416" t="s">
        <v>3370</v>
      </c>
      <c r="O24" s="419" t="s">
        <v>3371</v>
      </c>
    </row>
    <row r="25" spans="1:15" ht="30" customHeight="1">
      <c r="C25" s="410" t="s">
        <v>3315</v>
      </c>
      <c r="G25" s="416" t="s">
        <v>3369</v>
      </c>
      <c r="K25" s="416" t="s">
        <v>3345</v>
      </c>
      <c r="M25" s="414" t="s">
        <v>3372</v>
      </c>
      <c r="O25" s="410" t="s">
        <v>3336</v>
      </c>
    </row>
    <row r="26" spans="1:15" ht="30" customHeight="1">
      <c r="C26" s="411" t="s">
        <v>3321</v>
      </c>
      <c r="G26" s="416" t="s">
        <v>3345</v>
      </c>
      <c r="K26" s="416" t="s">
        <v>3373</v>
      </c>
      <c r="M26" s="414" t="s">
        <v>3374</v>
      </c>
      <c r="O26" s="410" t="s">
        <v>3375</v>
      </c>
    </row>
    <row r="27" spans="1:15" ht="30" customHeight="1">
      <c r="C27" s="411" t="s">
        <v>3326</v>
      </c>
      <c r="G27" s="416" t="s">
        <v>3373</v>
      </c>
      <c r="K27" s="416" t="s">
        <v>3285</v>
      </c>
      <c r="O27" s="410" t="s">
        <v>3376</v>
      </c>
    </row>
    <row r="28" spans="1:15" ht="30" customHeight="1">
      <c r="C28" s="413" t="s">
        <v>3229</v>
      </c>
      <c r="G28" s="416" t="s">
        <v>3285</v>
      </c>
      <c r="K28" s="416" t="s">
        <v>3293</v>
      </c>
      <c r="O28" s="410" t="s">
        <v>3377</v>
      </c>
    </row>
    <row r="29" spans="1:15" ht="30" customHeight="1">
      <c r="C29" s="413" t="s">
        <v>3338</v>
      </c>
      <c r="G29" s="416" t="s">
        <v>3293</v>
      </c>
      <c r="K29" s="416" t="s">
        <v>3299</v>
      </c>
      <c r="O29" s="420" t="s">
        <v>3378</v>
      </c>
    </row>
    <row r="30" spans="1:15" ht="30" customHeight="1">
      <c r="C30" s="410" t="s">
        <v>3342</v>
      </c>
      <c r="G30" s="416" t="s">
        <v>3299</v>
      </c>
      <c r="K30" s="416" t="s">
        <v>3379</v>
      </c>
      <c r="O30" s="410" t="s">
        <v>3380</v>
      </c>
    </row>
    <row r="31" spans="1:15" ht="30" customHeight="1">
      <c r="C31" s="410" t="s">
        <v>3381</v>
      </c>
      <c r="G31" s="416" t="s">
        <v>3379</v>
      </c>
      <c r="K31" s="416" t="s">
        <v>3306</v>
      </c>
      <c r="O31" s="410" t="s">
        <v>3382</v>
      </c>
    </row>
    <row r="32" spans="1:15" ht="30" customHeight="1">
      <c r="C32" s="415" t="s">
        <v>3383</v>
      </c>
      <c r="G32" s="416" t="s">
        <v>3306</v>
      </c>
      <c r="K32" s="416" t="s">
        <v>3278</v>
      </c>
      <c r="O32" s="410" t="s">
        <v>3384</v>
      </c>
    </row>
    <row r="33" spans="3:15" ht="30" customHeight="1">
      <c r="C33" s="410" t="s">
        <v>3278</v>
      </c>
      <c r="G33" s="416" t="s">
        <v>3278</v>
      </c>
      <c r="K33" s="414" t="s">
        <v>3385</v>
      </c>
      <c r="O33" s="413" t="s">
        <v>3386</v>
      </c>
    </row>
    <row r="34" spans="3:15" ht="30" customHeight="1">
      <c r="C34" s="413" t="s">
        <v>3387</v>
      </c>
      <c r="G34" s="414" t="s">
        <v>3385</v>
      </c>
      <c r="K34" s="416" t="s">
        <v>3388</v>
      </c>
      <c r="O34" s="410" t="s">
        <v>3389</v>
      </c>
    </row>
    <row r="35" spans="3:15" ht="30" customHeight="1">
      <c r="C35" s="415" t="s">
        <v>3293</v>
      </c>
      <c r="G35" s="416" t="s">
        <v>3388</v>
      </c>
      <c r="K35" s="416" t="s">
        <v>3390</v>
      </c>
      <c r="O35" s="413" t="s">
        <v>3391</v>
      </c>
    </row>
    <row r="36" spans="3:15" ht="30" customHeight="1">
      <c r="C36" s="410" t="s">
        <v>3299</v>
      </c>
      <c r="G36" s="416" t="s">
        <v>3390</v>
      </c>
      <c r="K36" s="416" t="s">
        <v>3392</v>
      </c>
      <c r="O36" s="410" t="s">
        <v>3336</v>
      </c>
    </row>
    <row r="37" spans="3:15" ht="30" customHeight="1">
      <c r="C37" s="410" t="s">
        <v>3393</v>
      </c>
      <c r="G37" s="416" t="s">
        <v>3392</v>
      </c>
      <c r="K37" s="421" t="s">
        <v>3394</v>
      </c>
      <c r="O37" s="410" t="s">
        <v>3375</v>
      </c>
    </row>
    <row r="38" spans="3:15" ht="30" customHeight="1">
      <c r="C38" s="415" t="s">
        <v>3306</v>
      </c>
      <c r="G38" s="414" t="s">
        <v>3394</v>
      </c>
      <c r="K38" s="410" t="s">
        <v>3395</v>
      </c>
      <c r="O38" s="410" t="s">
        <v>3376</v>
      </c>
    </row>
    <row r="39" spans="3:15" ht="30" customHeight="1">
      <c r="C39" s="415" t="s">
        <v>3278</v>
      </c>
      <c r="G39" s="416" t="s">
        <v>3395</v>
      </c>
      <c r="K39" s="413" t="s">
        <v>3396</v>
      </c>
      <c r="O39" s="410" t="s">
        <v>3377</v>
      </c>
    </row>
    <row r="40" spans="3:15" ht="30" customHeight="1">
      <c r="C40" s="415" t="s">
        <v>3388</v>
      </c>
      <c r="G40" s="414" t="s">
        <v>3396</v>
      </c>
      <c r="K40" s="410" t="s">
        <v>3397</v>
      </c>
      <c r="O40" s="420" t="s">
        <v>3378</v>
      </c>
    </row>
    <row r="41" spans="3:15" ht="30" customHeight="1">
      <c r="C41" s="410" t="s">
        <v>3398</v>
      </c>
      <c r="G41" s="416" t="s">
        <v>3397</v>
      </c>
      <c r="K41" s="410" t="s">
        <v>3399</v>
      </c>
      <c r="O41" s="410" t="s">
        <v>3380</v>
      </c>
    </row>
    <row r="42" spans="3:15" ht="30" customHeight="1">
      <c r="C42" s="422" t="s">
        <v>3400</v>
      </c>
      <c r="G42" s="416" t="s">
        <v>3399</v>
      </c>
      <c r="K42" s="413" t="s">
        <v>3401</v>
      </c>
      <c r="O42" s="410" t="s">
        <v>3382</v>
      </c>
    </row>
    <row r="43" spans="3:15" ht="30" customHeight="1">
      <c r="C43" s="411" t="s">
        <v>3356</v>
      </c>
      <c r="G43" s="414" t="s">
        <v>3401</v>
      </c>
      <c r="K43" s="413" t="s">
        <v>3402</v>
      </c>
      <c r="O43" s="410" t="s">
        <v>3384</v>
      </c>
    </row>
    <row r="44" spans="3:15" ht="30" customHeight="1">
      <c r="C44" s="418" t="s">
        <v>3309</v>
      </c>
      <c r="G44" s="414" t="s">
        <v>3402</v>
      </c>
      <c r="K44" s="413" t="s">
        <v>3321</v>
      </c>
    </row>
    <row r="45" spans="3:15" ht="30" customHeight="1">
      <c r="C45" s="411" t="s">
        <v>3360</v>
      </c>
      <c r="G45" s="414" t="s">
        <v>3321</v>
      </c>
      <c r="K45" s="413" t="s">
        <v>3326</v>
      </c>
    </row>
    <row r="46" spans="3:15" ht="30" customHeight="1">
      <c r="C46" s="413" t="s">
        <v>3364</v>
      </c>
      <c r="G46" s="414" t="s">
        <v>3326</v>
      </c>
      <c r="K46" s="413" t="s">
        <v>3403</v>
      </c>
    </row>
    <row r="47" spans="3:15" ht="30" customHeight="1">
      <c r="C47" s="413" t="s">
        <v>3368</v>
      </c>
      <c r="G47" s="414" t="s">
        <v>3403</v>
      </c>
      <c r="K47" s="413" t="s">
        <v>3404</v>
      </c>
    </row>
    <row r="48" spans="3:15" ht="30" customHeight="1">
      <c r="C48" s="415" t="s">
        <v>3405</v>
      </c>
      <c r="G48" s="414" t="s">
        <v>3404</v>
      </c>
      <c r="K48" s="413" t="s">
        <v>3406</v>
      </c>
    </row>
    <row r="49" spans="3:11" ht="30" customHeight="1">
      <c r="C49" s="415" t="s">
        <v>3407</v>
      </c>
      <c r="G49" s="414" t="s">
        <v>3406</v>
      </c>
      <c r="K49" s="413" t="s">
        <v>3408</v>
      </c>
    </row>
    <row r="50" spans="3:11" ht="30" customHeight="1">
      <c r="C50" s="423" t="s">
        <v>3313</v>
      </c>
      <c r="G50" s="414" t="s">
        <v>3408</v>
      </c>
      <c r="K50" s="413" t="s">
        <v>3229</v>
      </c>
    </row>
    <row r="51" spans="3:11" ht="30" customHeight="1">
      <c r="G51" s="414" t="s">
        <v>3229</v>
      </c>
      <c r="K51" s="413" t="s">
        <v>3409</v>
      </c>
    </row>
    <row r="52" spans="3:11">
      <c r="G52" s="414" t="s">
        <v>3409</v>
      </c>
      <c r="K52" s="410" t="s">
        <v>3410</v>
      </c>
    </row>
    <row r="53" spans="3:11">
      <c r="G53" s="416" t="s">
        <v>3410</v>
      </c>
      <c r="K53" s="410" t="s">
        <v>3349</v>
      </c>
    </row>
    <row r="54" spans="3:11">
      <c r="G54" s="416" t="s">
        <v>3349</v>
      </c>
      <c r="K54" s="410" t="s">
        <v>3411</v>
      </c>
    </row>
    <row r="55" spans="3:11">
      <c r="G55" s="416" t="s">
        <v>3411</v>
      </c>
      <c r="K55" s="410" t="s">
        <v>3355</v>
      </c>
    </row>
    <row r="56" spans="3:11" ht="30">
      <c r="G56" s="416" t="s">
        <v>3355</v>
      </c>
      <c r="K56" s="413" t="s">
        <v>3412</v>
      </c>
    </row>
    <row r="57" spans="3:11" ht="30">
      <c r="G57" s="414" t="s">
        <v>3412</v>
      </c>
      <c r="K57" s="410" t="s">
        <v>3413</v>
      </c>
    </row>
    <row r="58" spans="3:11">
      <c r="G58" s="414" t="s">
        <v>3413</v>
      </c>
      <c r="K58" s="413" t="s">
        <v>3414</v>
      </c>
    </row>
    <row r="59" spans="3:11">
      <c r="G59" s="416" t="s">
        <v>3414</v>
      </c>
      <c r="K59" s="415" t="s">
        <v>3415</v>
      </c>
    </row>
    <row r="60" spans="3:11">
      <c r="G60" s="416" t="s">
        <v>3415</v>
      </c>
      <c r="K60" s="410" t="s">
        <v>3416</v>
      </c>
    </row>
    <row r="61" spans="3:11">
      <c r="G61" s="416" t="s">
        <v>3416</v>
      </c>
      <c r="K61" s="410" t="s">
        <v>3417</v>
      </c>
    </row>
    <row r="62" spans="3:11">
      <c r="G62" s="416" t="s">
        <v>3417</v>
      </c>
      <c r="K62" s="410" t="s">
        <v>3418</v>
      </c>
    </row>
    <row r="63" spans="3:11">
      <c r="G63" s="414" t="s">
        <v>3418</v>
      </c>
      <c r="K63" s="410" t="s">
        <v>3419</v>
      </c>
    </row>
    <row r="64" spans="3:11">
      <c r="G64" s="414" t="s">
        <v>3419</v>
      </c>
      <c r="K64" s="410" t="s">
        <v>3420</v>
      </c>
    </row>
    <row r="65" spans="7:11">
      <c r="G65" s="416" t="s">
        <v>3420</v>
      </c>
      <c r="K65" s="413" t="s">
        <v>3421</v>
      </c>
    </row>
    <row r="66" spans="7:11">
      <c r="G66" s="413" t="s">
        <v>3421</v>
      </c>
      <c r="K66" s="418" t="s">
        <v>3366</v>
      </c>
    </row>
    <row r="67" spans="7:11">
      <c r="G67" s="418" t="s">
        <v>3366</v>
      </c>
      <c r="K67" s="415" t="s">
        <v>3370</v>
      </c>
    </row>
    <row r="68" spans="7:11">
      <c r="G68" s="411" t="s">
        <v>3370</v>
      </c>
      <c r="K68" s="413" t="s">
        <v>3372</v>
      </c>
    </row>
    <row r="69" spans="7:11" ht="45">
      <c r="G69" s="413" t="s">
        <v>3372</v>
      </c>
      <c r="K69" s="413" t="s">
        <v>3374</v>
      </c>
    </row>
    <row r="70" spans="7:11" ht="45">
      <c r="G70" s="413" t="s">
        <v>3374</v>
      </c>
      <c r="K70" s="410" t="s">
        <v>3422</v>
      </c>
    </row>
    <row r="71" spans="7:11" ht="30">
      <c r="G71" s="413" t="s">
        <v>3422</v>
      </c>
      <c r="K71" s="410" t="s">
        <v>3423</v>
      </c>
    </row>
    <row r="72" spans="7:11" ht="30">
      <c r="G72" s="410" t="s">
        <v>3423</v>
      </c>
      <c r="K72" s="410" t="s">
        <v>3424</v>
      </c>
    </row>
    <row r="73" spans="7:11">
      <c r="G73" s="410" t="s">
        <v>3424</v>
      </c>
      <c r="K73" s="410" t="s">
        <v>3425</v>
      </c>
    </row>
    <row r="74" spans="7:11" ht="30">
      <c r="G74" s="413" t="s">
        <v>3425</v>
      </c>
      <c r="K74" s="410" t="s">
        <v>3426</v>
      </c>
    </row>
    <row r="75" spans="7:11" ht="30">
      <c r="G75" s="410" t="s">
        <v>3426</v>
      </c>
      <c r="K75" s="410" t="s">
        <v>3427</v>
      </c>
    </row>
    <row r="76" spans="7:11">
      <c r="G76" s="410" t="s">
        <v>3427</v>
      </c>
      <c r="K76" s="410" t="s">
        <v>3428</v>
      </c>
    </row>
    <row r="77" spans="7:11">
      <c r="G77" s="410" t="s">
        <v>3428</v>
      </c>
      <c r="K77" s="410" t="s">
        <v>3429</v>
      </c>
    </row>
    <row r="78" spans="7:11">
      <c r="G78" s="410" t="s">
        <v>3429</v>
      </c>
      <c r="K78" s="410" t="s">
        <v>3390</v>
      </c>
    </row>
    <row r="79" spans="7:11">
      <c r="G79" s="410" t="s">
        <v>3390</v>
      </c>
      <c r="K79" s="410" t="s">
        <v>3430</v>
      </c>
    </row>
    <row r="80" spans="7:11">
      <c r="G80" s="410" t="s">
        <v>3430</v>
      </c>
      <c r="K80" s="410" t="s">
        <v>3431</v>
      </c>
    </row>
    <row r="81" spans="7:7">
      <c r="G81" s="410" t="s">
        <v>3431</v>
      </c>
    </row>
  </sheetData>
  <phoneticPr fontId="104" type="noConversion"/>
  <pageMargins left="0.7" right="0.7" top="0.75" bottom="0.75" header="0.3" footer="0.3"/>
  <pageSetup paperSize="3" scale="56" fitToHeight="3"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B950"/>
  <sheetViews>
    <sheetView workbookViewId="0">
      <selection activeCell="B2" sqref="B2"/>
    </sheetView>
  </sheetViews>
  <sheetFormatPr defaultColWidth="8.85546875" defaultRowHeight="15"/>
  <cols>
    <col min="1" max="1" width="17.28515625" style="335" customWidth="1"/>
    <col min="2" max="2" width="10" style="2" bestFit="1" customWidth="1"/>
    <col min="3" max="16384" width="8.85546875" style="2"/>
  </cols>
  <sheetData>
    <row r="1" spans="1:2" ht="30">
      <c r="A1" s="365" t="s">
        <v>3214</v>
      </c>
      <c r="B1" s="366" t="s">
        <v>3215</v>
      </c>
    </row>
    <row r="2" spans="1:2">
      <c r="A2" s="357" t="s">
        <v>1179</v>
      </c>
      <c r="B2" s="367">
        <f>COUNTIF('GPS-CRS-Source'!$E$10:$E$1447,"="&amp;A2)</f>
        <v>0</v>
      </c>
    </row>
    <row r="3" spans="1:2">
      <c r="A3" s="359" t="s">
        <v>598</v>
      </c>
      <c r="B3" s="367">
        <f>COUNTIF('GPS-CRS-Source'!$E$10:$E$1447,"="&amp;A3)</f>
        <v>0</v>
      </c>
    </row>
    <row r="4" spans="1:2">
      <c r="A4" s="359" t="s">
        <v>599</v>
      </c>
      <c r="B4" s="367">
        <f>COUNTIF('GPS-CRS-Source'!$E$10:$E$1447,"="&amp;A4)</f>
        <v>0</v>
      </c>
    </row>
    <row r="5" spans="1:2">
      <c r="A5" s="359" t="s">
        <v>2148</v>
      </c>
      <c r="B5" s="367">
        <f>COUNTIF('GPS-CRS-Source'!$E$10:$E$1447,"="&amp;A5)</f>
        <v>0</v>
      </c>
    </row>
    <row r="6" spans="1:2">
      <c r="A6" s="358" t="s">
        <v>603</v>
      </c>
      <c r="B6" s="367">
        <f>COUNTIF('GPS-CRS-Source'!$E$10:$E$1447,"="&amp;A6)</f>
        <v>0</v>
      </c>
    </row>
    <row r="7" spans="1:2">
      <c r="A7" s="359" t="s">
        <v>2030</v>
      </c>
      <c r="B7" s="367">
        <f>COUNTIF('GPS-CRS-Source'!$E$10:$E$1447,"="&amp;A7)</f>
        <v>0</v>
      </c>
    </row>
    <row r="8" spans="1:2">
      <c r="A8" s="359" t="s">
        <v>2107</v>
      </c>
      <c r="B8" s="367">
        <f>COUNTIF('GPS-CRS-Source'!$E$10:$E$1447,"="&amp;A8)</f>
        <v>0</v>
      </c>
    </row>
    <row r="9" spans="1:2">
      <c r="A9" s="359" t="s">
        <v>2092</v>
      </c>
      <c r="B9" s="367">
        <f>COUNTIF('GPS-CRS-Source'!$E$10:$E$1447,"="&amp;A9)</f>
        <v>0</v>
      </c>
    </row>
    <row r="10" spans="1:2" ht="25.5">
      <c r="A10" s="358" t="s">
        <v>1993</v>
      </c>
      <c r="B10" s="367">
        <f>COUNTIF('GPS-CRS-Source'!$E$10:$E$1447,"="&amp;A10)</f>
        <v>0</v>
      </c>
    </row>
    <row r="11" spans="1:2">
      <c r="A11" s="358" t="s">
        <v>1816</v>
      </c>
      <c r="B11" s="367">
        <f>COUNTIF('GPS-CRS-Source'!$E$10:$E$1447,"="&amp;A11)</f>
        <v>0</v>
      </c>
    </row>
    <row r="12" spans="1:2">
      <c r="A12" s="361"/>
      <c r="B12" s="368">
        <f>COUNTIF('GPS-CRS-Source'!$E$10:$E$1447,"="&amp;A12)</f>
        <v>0</v>
      </c>
    </row>
    <row r="13" spans="1:2">
      <c r="A13" s="369" t="s">
        <v>3216</v>
      </c>
      <c r="B13" s="367">
        <f>SUM(B2:B12)</f>
        <v>0</v>
      </c>
    </row>
    <row r="14" spans="1:2">
      <c r="A14" s="2"/>
    </row>
    <row r="15" spans="1:2">
      <c r="A15" s="2"/>
    </row>
    <row r="16" spans="1:2">
      <c r="A16" s="2"/>
    </row>
    <row r="17" spans="1:1">
      <c r="A17"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row r="224" spans="1:1">
      <c r="A224" s="2"/>
    </row>
    <row r="225" spans="1:1">
      <c r="A225" s="2"/>
    </row>
    <row r="226" spans="1:1">
      <c r="A226" s="2"/>
    </row>
    <row r="227" spans="1:1">
      <c r="A227" s="2"/>
    </row>
    <row r="228" spans="1:1">
      <c r="A228" s="2"/>
    </row>
    <row r="229" spans="1:1">
      <c r="A229" s="2"/>
    </row>
    <row r="230" spans="1:1">
      <c r="A230" s="2"/>
    </row>
    <row r="231" spans="1:1">
      <c r="A231" s="2"/>
    </row>
    <row r="232" spans="1:1">
      <c r="A232" s="2"/>
    </row>
    <row r="233" spans="1:1">
      <c r="A233" s="2"/>
    </row>
    <row r="234" spans="1:1">
      <c r="A234" s="2"/>
    </row>
    <row r="235" spans="1:1">
      <c r="A235" s="2"/>
    </row>
    <row r="236" spans="1:1">
      <c r="A236" s="2"/>
    </row>
    <row r="237" spans="1:1">
      <c r="A237" s="2"/>
    </row>
    <row r="238" spans="1:1">
      <c r="A238" s="2"/>
    </row>
    <row r="239" spans="1:1">
      <c r="A239" s="2"/>
    </row>
    <row r="240" spans="1:1">
      <c r="A240" s="2"/>
    </row>
    <row r="241" spans="1:1">
      <c r="A241" s="2"/>
    </row>
    <row r="242" spans="1:1">
      <c r="A242" s="2"/>
    </row>
    <row r="243" spans="1:1">
      <c r="A243" s="2"/>
    </row>
    <row r="244" spans="1:1">
      <c r="A244" s="2"/>
    </row>
    <row r="245" spans="1:1">
      <c r="A245" s="2"/>
    </row>
    <row r="246" spans="1:1">
      <c r="A246" s="2"/>
    </row>
    <row r="247" spans="1:1">
      <c r="A247" s="2"/>
    </row>
    <row r="248" spans="1:1">
      <c r="A248" s="2"/>
    </row>
    <row r="249" spans="1:1">
      <c r="A249" s="2"/>
    </row>
    <row r="250" spans="1:1">
      <c r="A250" s="2"/>
    </row>
    <row r="251" spans="1:1">
      <c r="A251" s="2"/>
    </row>
    <row r="252" spans="1:1">
      <c r="A252" s="2"/>
    </row>
    <row r="253" spans="1:1">
      <c r="A253" s="2"/>
    </row>
    <row r="254" spans="1:1">
      <c r="A254" s="2"/>
    </row>
    <row r="255" spans="1:1">
      <c r="A255" s="2"/>
    </row>
    <row r="256" spans="1:1">
      <c r="A256" s="2"/>
    </row>
    <row r="257" spans="1:1">
      <c r="A257" s="2"/>
    </row>
    <row r="258" spans="1:1">
      <c r="A258" s="2"/>
    </row>
    <row r="259" spans="1:1">
      <c r="A259" s="2"/>
    </row>
    <row r="260" spans="1:1">
      <c r="A260" s="2"/>
    </row>
    <row r="261" spans="1:1">
      <c r="A261" s="2"/>
    </row>
    <row r="262" spans="1:1">
      <c r="A262" s="2"/>
    </row>
    <row r="263" spans="1:1">
      <c r="A263" s="2"/>
    </row>
    <row r="264" spans="1:1">
      <c r="A264" s="2"/>
    </row>
    <row r="265" spans="1:1">
      <c r="A265" s="2"/>
    </row>
    <row r="266" spans="1:1">
      <c r="A266" s="2"/>
    </row>
    <row r="267" spans="1:1">
      <c r="A267" s="2"/>
    </row>
    <row r="268" spans="1:1">
      <c r="A268" s="2"/>
    </row>
    <row r="269" spans="1:1">
      <c r="A269" s="2"/>
    </row>
    <row r="270" spans="1:1">
      <c r="A270" s="2"/>
    </row>
    <row r="271" spans="1:1">
      <c r="A271" s="2"/>
    </row>
    <row r="272" spans="1:1">
      <c r="A272" s="2"/>
    </row>
    <row r="273" spans="1:1">
      <c r="A273" s="2"/>
    </row>
    <row r="274" spans="1:1">
      <c r="A274" s="2"/>
    </row>
    <row r="275" spans="1:1">
      <c r="A275" s="2"/>
    </row>
    <row r="276" spans="1:1">
      <c r="A276" s="2"/>
    </row>
    <row r="277" spans="1:1">
      <c r="A277" s="2"/>
    </row>
    <row r="278" spans="1:1">
      <c r="A278" s="2"/>
    </row>
    <row r="279" spans="1:1">
      <c r="A279" s="2"/>
    </row>
    <row r="280" spans="1:1">
      <c r="A280" s="2"/>
    </row>
    <row r="281" spans="1:1">
      <c r="A281" s="2"/>
    </row>
    <row r="282" spans="1:1">
      <c r="A282" s="2"/>
    </row>
    <row r="283" spans="1:1">
      <c r="A283" s="2"/>
    </row>
    <row r="284" spans="1:1">
      <c r="A284" s="2"/>
    </row>
    <row r="285" spans="1:1">
      <c r="A285" s="2"/>
    </row>
    <row r="286" spans="1:1">
      <c r="A286" s="2"/>
    </row>
    <row r="287" spans="1:1">
      <c r="A287" s="2"/>
    </row>
    <row r="288" spans="1:1">
      <c r="A288" s="2"/>
    </row>
    <row r="289" spans="1:1">
      <c r="A289" s="2"/>
    </row>
    <row r="290" spans="1:1">
      <c r="A290" s="2"/>
    </row>
    <row r="291" spans="1:1">
      <c r="A291" s="2"/>
    </row>
    <row r="292" spans="1:1">
      <c r="A292" s="2"/>
    </row>
    <row r="293" spans="1:1">
      <c r="A293" s="2"/>
    </row>
    <row r="294" spans="1:1">
      <c r="A294" s="2"/>
    </row>
    <row r="295" spans="1:1">
      <c r="A295" s="2"/>
    </row>
    <row r="296" spans="1:1">
      <c r="A296" s="2"/>
    </row>
    <row r="297" spans="1:1">
      <c r="A297" s="2"/>
    </row>
    <row r="298" spans="1:1">
      <c r="A298" s="2"/>
    </row>
    <row r="299" spans="1:1">
      <c r="A299" s="2"/>
    </row>
    <row r="300" spans="1:1">
      <c r="A300" s="2"/>
    </row>
    <row r="301" spans="1:1">
      <c r="A301" s="2"/>
    </row>
    <row r="302" spans="1:1">
      <c r="A302" s="2"/>
    </row>
    <row r="303" spans="1:1">
      <c r="A303" s="2"/>
    </row>
    <row r="304" spans="1:1">
      <c r="A304" s="2"/>
    </row>
    <row r="305" spans="1:1">
      <c r="A305" s="2"/>
    </row>
    <row r="306" spans="1:1">
      <c r="A306" s="2"/>
    </row>
    <row r="307" spans="1:1">
      <c r="A307" s="2"/>
    </row>
    <row r="308" spans="1:1">
      <c r="A308" s="2"/>
    </row>
    <row r="309" spans="1:1">
      <c r="A309" s="2"/>
    </row>
    <row r="310" spans="1:1">
      <c r="A310" s="2"/>
    </row>
    <row r="311" spans="1:1">
      <c r="A311" s="2"/>
    </row>
    <row r="312" spans="1:1">
      <c r="A312" s="2"/>
    </row>
    <row r="313" spans="1:1">
      <c r="A313" s="2"/>
    </row>
    <row r="314" spans="1:1">
      <c r="A314" s="2"/>
    </row>
    <row r="315" spans="1:1">
      <c r="A315" s="2"/>
    </row>
    <row r="316" spans="1:1">
      <c r="A316" s="2"/>
    </row>
    <row r="317" spans="1:1">
      <c r="A317" s="2"/>
    </row>
    <row r="318" spans="1:1">
      <c r="A318" s="2"/>
    </row>
    <row r="319" spans="1:1">
      <c r="A319" s="2"/>
    </row>
    <row r="320" spans="1:1">
      <c r="A320" s="2"/>
    </row>
    <row r="321" spans="1:1">
      <c r="A321" s="2"/>
    </row>
    <row r="322" spans="1:1">
      <c r="A322" s="2"/>
    </row>
    <row r="323" spans="1:1">
      <c r="A323" s="2"/>
    </row>
    <row r="324" spans="1:1">
      <c r="A324" s="2"/>
    </row>
    <row r="325" spans="1:1">
      <c r="A325" s="2"/>
    </row>
    <row r="326" spans="1:1">
      <c r="A326" s="2"/>
    </row>
    <row r="327" spans="1:1">
      <c r="A327" s="2"/>
    </row>
    <row r="328" spans="1:1">
      <c r="A328" s="2"/>
    </row>
    <row r="329" spans="1:1">
      <c r="A329" s="2"/>
    </row>
    <row r="330" spans="1:1">
      <c r="A330" s="2"/>
    </row>
    <row r="331" spans="1:1">
      <c r="A331" s="2"/>
    </row>
    <row r="332" spans="1:1">
      <c r="A332" s="2"/>
    </row>
    <row r="333" spans="1:1">
      <c r="A333" s="2"/>
    </row>
    <row r="334" spans="1:1">
      <c r="A334" s="2"/>
    </row>
    <row r="335" spans="1:1">
      <c r="A335" s="2"/>
    </row>
    <row r="336" spans="1:1">
      <c r="A336" s="2"/>
    </row>
    <row r="337" spans="1:1">
      <c r="A337" s="2"/>
    </row>
    <row r="338" spans="1:1">
      <c r="A338" s="2"/>
    </row>
    <row r="339" spans="1:1">
      <c r="A339" s="2"/>
    </row>
    <row r="340" spans="1:1">
      <c r="A340" s="2"/>
    </row>
    <row r="341" spans="1:1">
      <c r="A341" s="2"/>
    </row>
    <row r="342" spans="1:1">
      <c r="A342" s="2"/>
    </row>
    <row r="343" spans="1:1">
      <c r="A343" s="2"/>
    </row>
    <row r="344" spans="1:1">
      <c r="A344" s="2"/>
    </row>
    <row r="345" spans="1:1">
      <c r="A345" s="2"/>
    </row>
    <row r="346" spans="1:1">
      <c r="A346" s="2"/>
    </row>
    <row r="347" spans="1:1">
      <c r="A347" s="2"/>
    </row>
    <row r="348" spans="1:1">
      <c r="A348" s="2"/>
    </row>
    <row r="349" spans="1:1">
      <c r="A349" s="2"/>
    </row>
    <row r="350" spans="1:1">
      <c r="A350" s="2"/>
    </row>
    <row r="351" spans="1:1">
      <c r="A351" s="2"/>
    </row>
    <row r="352" spans="1:1">
      <c r="A352" s="2"/>
    </row>
    <row r="353" spans="1:1">
      <c r="A353" s="2"/>
    </row>
    <row r="354" spans="1:1">
      <c r="A354" s="2"/>
    </row>
    <row r="355" spans="1:1">
      <c r="A355" s="2"/>
    </row>
    <row r="356" spans="1:1">
      <c r="A356" s="2"/>
    </row>
    <row r="357" spans="1:1">
      <c r="A357" s="2"/>
    </row>
    <row r="358" spans="1:1">
      <c r="A358" s="2"/>
    </row>
    <row r="359" spans="1:1">
      <c r="A359" s="2"/>
    </row>
    <row r="360" spans="1:1">
      <c r="A360" s="2"/>
    </row>
    <row r="361" spans="1:1">
      <c r="A361" s="2"/>
    </row>
    <row r="362" spans="1:1">
      <c r="A362" s="2"/>
    </row>
    <row r="363" spans="1:1">
      <c r="A363" s="2"/>
    </row>
    <row r="364" spans="1:1">
      <c r="A364" s="2"/>
    </row>
    <row r="365" spans="1:1">
      <c r="A365" s="2"/>
    </row>
    <row r="366" spans="1:1">
      <c r="A366" s="2"/>
    </row>
    <row r="367" spans="1:1">
      <c r="A367" s="2"/>
    </row>
    <row r="368" spans="1:1">
      <c r="A368" s="2"/>
    </row>
    <row r="369" spans="1:1">
      <c r="A369" s="2"/>
    </row>
    <row r="370" spans="1:1">
      <c r="A370" s="2"/>
    </row>
    <row r="371" spans="1:1">
      <c r="A371" s="2"/>
    </row>
    <row r="372" spans="1:1">
      <c r="A372" s="2"/>
    </row>
    <row r="373" spans="1:1">
      <c r="A373" s="2"/>
    </row>
    <row r="374" spans="1:1">
      <c r="A374" s="2"/>
    </row>
    <row r="375" spans="1:1">
      <c r="A375" s="2"/>
    </row>
    <row r="376" spans="1:1">
      <c r="A376" s="2"/>
    </row>
    <row r="377" spans="1:1">
      <c r="A377" s="2"/>
    </row>
    <row r="378" spans="1:1">
      <c r="A378" s="2"/>
    </row>
    <row r="379" spans="1:1">
      <c r="A379" s="2"/>
    </row>
    <row r="380" spans="1:1">
      <c r="A380" s="2"/>
    </row>
    <row r="381" spans="1:1">
      <c r="A381" s="2"/>
    </row>
    <row r="382" spans="1:1">
      <c r="A382" s="2"/>
    </row>
    <row r="383" spans="1:1">
      <c r="A383" s="2"/>
    </row>
    <row r="384" spans="1:1">
      <c r="A384" s="2"/>
    </row>
    <row r="385" spans="1:1">
      <c r="A385" s="2"/>
    </row>
    <row r="386" spans="1:1">
      <c r="A386" s="2"/>
    </row>
    <row r="387" spans="1:1">
      <c r="A387" s="2"/>
    </row>
    <row r="388" spans="1:1">
      <c r="A388" s="2"/>
    </row>
    <row r="389" spans="1:1">
      <c r="A389" s="2"/>
    </row>
    <row r="390" spans="1:1">
      <c r="A390" s="2"/>
    </row>
    <row r="391" spans="1:1">
      <c r="A391" s="2"/>
    </row>
    <row r="392" spans="1:1">
      <c r="A392" s="2"/>
    </row>
    <row r="393" spans="1:1">
      <c r="A393" s="2"/>
    </row>
    <row r="394" spans="1:1">
      <c r="A394" s="2"/>
    </row>
    <row r="395" spans="1:1">
      <c r="A395" s="2"/>
    </row>
    <row r="396" spans="1:1">
      <c r="A396" s="2"/>
    </row>
    <row r="397" spans="1:1">
      <c r="A397" s="2"/>
    </row>
    <row r="398" spans="1:1">
      <c r="A398" s="2"/>
    </row>
    <row r="399" spans="1:1">
      <c r="A399" s="2"/>
    </row>
    <row r="400" spans="1:1">
      <c r="A400" s="2"/>
    </row>
    <row r="401" spans="1:1">
      <c r="A401" s="2"/>
    </row>
    <row r="402" spans="1:1">
      <c r="A402" s="2"/>
    </row>
    <row r="403" spans="1:1">
      <c r="A403" s="2"/>
    </row>
    <row r="404" spans="1:1">
      <c r="A404" s="2"/>
    </row>
    <row r="405" spans="1:1">
      <c r="A405" s="2"/>
    </row>
    <row r="406" spans="1:1">
      <c r="A406" s="2"/>
    </row>
    <row r="407" spans="1:1">
      <c r="A407" s="2"/>
    </row>
    <row r="408" spans="1:1">
      <c r="A408" s="2"/>
    </row>
    <row r="409" spans="1:1">
      <c r="A409" s="2"/>
    </row>
    <row r="410" spans="1:1">
      <c r="A410" s="2"/>
    </row>
    <row r="411" spans="1:1">
      <c r="A411" s="2"/>
    </row>
    <row r="412" spans="1:1">
      <c r="A412" s="2"/>
    </row>
    <row r="413" spans="1:1">
      <c r="A413" s="2"/>
    </row>
    <row r="414" spans="1:1">
      <c r="A414" s="2"/>
    </row>
    <row r="415" spans="1:1">
      <c r="A415" s="2"/>
    </row>
    <row r="416" spans="1:1">
      <c r="A416" s="2"/>
    </row>
    <row r="417" spans="1:1">
      <c r="A417" s="2"/>
    </row>
    <row r="418" spans="1:1">
      <c r="A418" s="2"/>
    </row>
    <row r="419" spans="1:1">
      <c r="A419" s="2"/>
    </row>
    <row r="420" spans="1:1">
      <c r="A420" s="2"/>
    </row>
    <row r="421" spans="1:1">
      <c r="A421" s="2"/>
    </row>
    <row r="422" spans="1:1">
      <c r="A422" s="2"/>
    </row>
    <row r="423" spans="1:1">
      <c r="A423" s="2"/>
    </row>
    <row r="424" spans="1:1">
      <c r="A424" s="2"/>
    </row>
    <row r="425" spans="1:1">
      <c r="A425" s="2"/>
    </row>
    <row r="426" spans="1:1">
      <c r="A426" s="2"/>
    </row>
    <row r="427" spans="1:1">
      <c r="A427" s="2"/>
    </row>
    <row r="428" spans="1:1">
      <c r="A428" s="2"/>
    </row>
    <row r="429" spans="1:1">
      <c r="A429" s="2"/>
    </row>
    <row r="430" spans="1:1">
      <c r="A430" s="2"/>
    </row>
    <row r="431" spans="1:1">
      <c r="A431" s="2"/>
    </row>
    <row r="432" spans="1:1">
      <c r="A432" s="2"/>
    </row>
    <row r="433" spans="1:1">
      <c r="A433" s="2"/>
    </row>
    <row r="434" spans="1:1">
      <c r="A434" s="2"/>
    </row>
    <row r="435" spans="1:1">
      <c r="A435" s="2"/>
    </row>
    <row r="436" spans="1:1">
      <c r="A436" s="2"/>
    </row>
    <row r="437" spans="1:1">
      <c r="A437" s="2"/>
    </row>
    <row r="438" spans="1:1">
      <c r="A438" s="2"/>
    </row>
    <row r="439" spans="1:1">
      <c r="A439" s="2"/>
    </row>
    <row r="440" spans="1:1">
      <c r="A440" s="2"/>
    </row>
    <row r="441" spans="1:1">
      <c r="A441" s="2"/>
    </row>
    <row r="442" spans="1:1">
      <c r="A442" s="2"/>
    </row>
    <row r="443" spans="1:1">
      <c r="A443" s="2"/>
    </row>
    <row r="444" spans="1:1">
      <c r="A444" s="2"/>
    </row>
    <row r="445" spans="1:1">
      <c r="A445" s="2"/>
    </row>
    <row r="446" spans="1:1">
      <c r="A446" s="2"/>
    </row>
    <row r="447" spans="1:1">
      <c r="A447" s="2"/>
    </row>
    <row r="448" spans="1:1">
      <c r="A448" s="2"/>
    </row>
    <row r="449" spans="1:1">
      <c r="A449" s="2"/>
    </row>
    <row r="450" spans="1:1">
      <c r="A450" s="2"/>
    </row>
    <row r="451" spans="1:1">
      <c r="A451" s="2"/>
    </row>
    <row r="452" spans="1:1">
      <c r="A452" s="2"/>
    </row>
    <row r="453" spans="1:1">
      <c r="A453" s="2"/>
    </row>
    <row r="454" spans="1:1">
      <c r="A454" s="2"/>
    </row>
    <row r="455" spans="1:1">
      <c r="A455" s="2"/>
    </row>
    <row r="456" spans="1:1">
      <c r="A456" s="2"/>
    </row>
    <row r="457" spans="1:1">
      <c r="A457" s="2"/>
    </row>
    <row r="458" spans="1:1">
      <c r="A458" s="2"/>
    </row>
    <row r="459" spans="1:1">
      <c r="A459" s="2"/>
    </row>
    <row r="460" spans="1:1">
      <c r="A460" s="2"/>
    </row>
    <row r="461" spans="1:1">
      <c r="A461" s="2"/>
    </row>
    <row r="462" spans="1:1">
      <c r="A462" s="2"/>
    </row>
    <row r="463" spans="1:1">
      <c r="A463" s="2"/>
    </row>
    <row r="464" spans="1:1">
      <c r="A464" s="2"/>
    </row>
    <row r="465" spans="1:1">
      <c r="A465" s="2"/>
    </row>
    <row r="466" spans="1:1">
      <c r="A466" s="2"/>
    </row>
    <row r="467" spans="1:1">
      <c r="A467" s="2"/>
    </row>
    <row r="468" spans="1:1">
      <c r="A468" s="2"/>
    </row>
    <row r="469" spans="1:1">
      <c r="A469" s="2"/>
    </row>
    <row r="470" spans="1:1">
      <c r="A470" s="2"/>
    </row>
    <row r="471" spans="1:1">
      <c r="A471" s="2"/>
    </row>
    <row r="472" spans="1:1">
      <c r="A472" s="2"/>
    </row>
    <row r="473" spans="1:1">
      <c r="A473" s="2"/>
    </row>
    <row r="474" spans="1:1">
      <c r="A474" s="2"/>
    </row>
    <row r="475" spans="1:1">
      <c r="A475" s="2"/>
    </row>
    <row r="476" spans="1:1">
      <c r="A476" s="2"/>
    </row>
    <row r="477" spans="1:1">
      <c r="A477" s="2"/>
    </row>
    <row r="478" spans="1:1">
      <c r="A478" s="2"/>
    </row>
    <row r="479" spans="1:1">
      <c r="A479" s="2"/>
    </row>
    <row r="480" spans="1:1">
      <c r="A480" s="2"/>
    </row>
    <row r="481" spans="1:1">
      <c r="A481" s="2"/>
    </row>
    <row r="482" spans="1:1">
      <c r="A482" s="2"/>
    </row>
    <row r="483" spans="1:1">
      <c r="A483" s="2"/>
    </row>
    <row r="484" spans="1:1">
      <c r="A484" s="2"/>
    </row>
    <row r="485" spans="1:1">
      <c r="A485" s="2"/>
    </row>
    <row r="486" spans="1:1">
      <c r="A486" s="2"/>
    </row>
    <row r="487" spans="1:1">
      <c r="A487" s="2"/>
    </row>
    <row r="488" spans="1:1">
      <c r="A488" s="2"/>
    </row>
    <row r="489" spans="1:1">
      <c r="A489" s="2"/>
    </row>
    <row r="490" spans="1:1">
      <c r="A490" s="2"/>
    </row>
    <row r="491" spans="1:1">
      <c r="A491" s="2"/>
    </row>
    <row r="492" spans="1:1">
      <c r="A492" s="2"/>
    </row>
    <row r="493" spans="1:1">
      <c r="A493" s="2"/>
    </row>
    <row r="494" spans="1:1">
      <c r="A494" s="2"/>
    </row>
    <row r="495" spans="1:1">
      <c r="A495" s="2"/>
    </row>
    <row r="496" spans="1:1">
      <c r="A496" s="2"/>
    </row>
    <row r="497" spans="1:1">
      <c r="A497" s="2"/>
    </row>
    <row r="498" spans="1:1">
      <c r="A498" s="2"/>
    </row>
    <row r="499" spans="1:1">
      <c r="A499" s="2"/>
    </row>
    <row r="500" spans="1:1">
      <c r="A500" s="2"/>
    </row>
    <row r="501" spans="1:1">
      <c r="A501" s="2"/>
    </row>
    <row r="502" spans="1:1">
      <c r="A502" s="2"/>
    </row>
    <row r="503" spans="1:1">
      <c r="A503" s="2"/>
    </row>
    <row r="504" spans="1:1">
      <c r="A504" s="2"/>
    </row>
    <row r="505" spans="1:1">
      <c r="A505" s="2"/>
    </row>
    <row r="506" spans="1:1">
      <c r="A506" s="2"/>
    </row>
    <row r="507" spans="1:1">
      <c r="A507" s="2"/>
    </row>
    <row r="508" spans="1:1">
      <c r="A508" s="2"/>
    </row>
    <row r="509" spans="1:1">
      <c r="A509" s="2"/>
    </row>
    <row r="510" spans="1:1">
      <c r="A510" s="2"/>
    </row>
    <row r="511" spans="1:1">
      <c r="A511" s="2"/>
    </row>
    <row r="512" spans="1:1">
      <c r="A512" s="2"/>
    </row>
    <row r="513" spans="1:1">
      <c r="A513" s="2"/>
    </row>
    <row r="514" spans="1:1">
      <c r="A514" s="2"/>
    </row>
    <row r="515" spans="1:1">
      <c r="A515" s="2"/>
    </row>
    <row r="516" spans="1:1">
      <c r="A516" s="2"/>
    </row>
    <row r="517" spans="1:1">
      <c r="A517" s="2"/>
    </row>
    <row r="518" spans="1:1">
      <c r="A518" s="2"/>
    </row>
    <row r="519" spans="1:1">
      <c r="A519" s="2"/>
    </row>
    <row r="520" spans="1:1">
      <c r="A520" s="2"/>
    </row>
    <row r="521" spans="1:1">
      <c r="A521" s="2"/>
    </row>
    <row r="522" spans="1:1">
      <c r="A522" s="2"/>
    </row>
    <row r="523" spans="1:1">
      <c r="A523" s="2"/>
    </row>
    <row r="524" spans="1:1">
      <c r="A524" s="2"/>
    </row>
    <row r="525" spans="1:1">
      <c r="A525" s="2"/>
    </row>
    <row r="526" spans="1:1">
      <c r="A526" s="2"/>
    </row>
    <row r="527" spans="1:1">
      <c r="A527" s="2"/>
    </row>
    <row r="528" spans="1:1">
      <c r="A528" s="2"/>
    </row>
    <row r="529" spans="1:1">
      <c r="A529" s="2"/>
    </row>
    <row r="530" spans="1:1">
      <c r="A530" s="2"/>
    </row>
    <row r="531" spans="1:1">
      <c r="A531" s="2"/>
    </row>
    <row r="532" spans="1:1">
      <c r="A532" s="2"/>
    </row>
    <row r="533" spans="1:1">
      <c r="A533" s="2"/>
    </row>
    <row r="534" spans="1:1">
      <c r="A534" s="2"/>
    </row>
    <row r="535" spans="1:1">
      <c r="A535" s="2"/>
    </row>
    <row r="536" spans="1:1">
      <c r="A536" s="2"/>
    </row>
    <row r="537" spans="1:1">
      <c r="A537" s="2"/>
    </row>
    <row r="538" spans="1:1">
      <c r="A538" s="2"/>
    </row>
    <row r="539" spans="1:1">
      <c r="A539" s="2"/>
    </row>
    <row r="540" spans="1:1">
      <c r="A540" s="2"/>
    </row>
    <row r="541" spans="1:1">
      <c r="A541" s="2"/>
    </row>
    <row r="542" spans="1:1">
      <c r="A542" s="2"/>
    </row>
    <row r="543" spans="1:1">
      <c r="A543" s="2"/>
    </row>
    <row r="544" spans="1:1">
      <c r="A544" s="2"/>
    </row>
    <row r="545" spans="1:1">
      <c r="A545" s="2"/>
    </row>
    <row r="546" spans="1:1">
      <c r="A546" s="2"/>
    </row>
    <row r="547" spans="1:1">
      <c r="A547" s="2"/>
    </row>
    <row r="548" spans="1:1">
      <c r="A548" s="2"/>
    </row>
    <row r="549" spans="1:1">
      <c r="A549" s="2"/>
    </row>
    <row r="550" spans="1:1">
      <c r="A550" s="2"/>
    </row>
    <row r="551" spans="1:1">
      <c r="A551" s="2"/>
    </row>
    <row r="552" spans="1:1">
      <c r="A552" s="2"/>
    </row>
    <row r="553" spans="1:1">
      <c r="A553" s="2"/>
    </row>
    <row r="554" spans="1:1">
      <c r="A554" s="2"/>
    </row>
    <row r="555" spans="1:1">
      <c r="A555" s="2"/>
    </row>
    <row r="556" spans="1:1">
      <c r="A556" s="2"/>
    </row>
    <row r="557" spans="1:1">
      <c r="A557" s="2"/>
    </row>
    <row r="558" spans="1:1">
      <c r="A558" s="2"/>
    </row>
    <row r="559" spans="1:1">
      <c r="A559" s="2"/>
    </row>
    <row r="560" spans="1:1">
      <c r="A560" s="2"/>
    </row>
    <row r="561" spans="1:1">
      <c r="A561" s="2"/>
    </row>
    <row r="562" spans="1:1">
      <c r="A562" s="2"/>
    </row>
    <row r="563" spans="1:1">
      <c r="A563" s="2"/>
    </row>
    <row r="564" spans="1:1">
      <c r="A564" s="2"/>
    </row>
    <row r="565" spans="1:1">
      <c r="A565" s="2"/>
    </row>
    <row r="566" spans="1:1">
      <c r="A566" s="2"/>
    </row>
    <row r="567" spans="1:1">
      <c r="A567" s="2"/>
    </row>
    <row r="568" spans="1:1">
      <c r="A568" s="2"/>
    </row>
    <row r="569" spans="1:1">
      <c r="A569" s="2"/>
    </row>
    <row r="570" spans="1:1">
      <c r="A570" s="2"/>
    </row>
    <row r="571" spans="1:1">
      <c r="A571" s="2"/>
    </row>
    <row r="572" spans="1:1">
      <c r="A572" s="2"/>
    </row>
    <row r="573" spans="1:1">
      <c r="A573" s="2"/>
    </row>
    <row r="574" spans="1:1">
      <c r="A574" s="2"/>
    </row>
    <row r="575" spans="1:1">
      <c r="A575" s="2"/>
    </row>
    <row r="576" spans="1:1">
      <c r="A576" s="2"/>
    </row>
    <row r="577" spans="1:1">
      <c r="A577" s="2"/>
    </row>
    <row r="578" spans="1:1">
      <c r="A578" s="2"/>
    </row>
    <row r="579" spans="1:1">
      <c r="A579" s="2"/>
    </row>
    <row r="580" spans="1:1">
      <c r="A580" s="2"/>
    </row>
    <row r="581" spans="1:1">
      <c r="A581" s="2"/>
    </row>
    <row r="582" spans="1:1">
      <c r="A582" s="2"/>
    </row>
    <row r="583" spans="1:1">
      <c r="A583" s="2"/>
    </row>
    <row r="584" spans="1:1">
      <c r="A584" s="2"/>
    </row>
    <row r="585" spans="1:1">
      <c r="A585" s="2"/>
    </row>
    <row r="586" spans="1:1">
      <c r="A586" s="2"/>
    </row>
    <row r="587" spans="1:1">
      <c r="A587" s="2"/>
    </row>
    <row r="588" spans="1:1">
      <c r="A588" s="2"/>
    </row>
    <row r="589" spans="1:1">
      <c r="A589" s="2"/>
    </row>
    <row r="590" spans="1:1">
      <c r="A590" s="2"/>
    </row>
    <row r="591" spans="1:1">
      <c r="A591" s="2"/>
    </row>
    <row r="592" spans="1:1">
      <c r="A592" s="2"/>
    </row>
    <row r="593" spans="1:1">
      <c r="A593" s="2"/>
    </row>
    <row r="594" spans="1:1">
      <c r="A594" s="2"/>
    </row>
    <row r="595" spans="1:1">
      <c r="A595" s="2"/>
    </row>
    <row r="596" spans="1:1">
      <c r="A596" s="2"/>
    </row>
    <row r="597" spans="1:1">
      <c r="A597" s="2"/>
    </row>
    <row r="598" spans="1:1">
      <c r="A598" s="2"/>
    </row>
    <row r="599" spans="1:1">
      <c r="A599" s="2"/>
    </row>
    <row r="600" spans="1:1">
      <c r="A600" s="2"/>
    </row>
    <row r="601" spans="1:1">
      <c r="A601" s="2"/>
    </row>
    <row r="602" spans="1:1">
      <c r="A602" s="2"/>
    </row>
    <row r="603" spans="1:1">
      <c r="A603" s="2"/>
    </row>
    <row r="604" spans="1:1">
      <c r="A604" s="2"/>
    </row>
    <row r="605" spans="1:1">
      <c r="A605" s="2"/>
    </row>
    <row r="606" spans="1:1">
      <c r="A606" s="2"/>
    </row>
    <row r="607" spans="1:1">
      <c r="A607" s="2"/>
    </row>
    <row r="608" spans="1:1">
      <c r="A608" s="2"/>
    </row>
    <row r="609" spans="1:1">
      <c r="A609" s="2"/>
    </row>
    <row r="610" spans="1:1">
      <c r="A610" s="2"/>
    </row>
    <row r="611" spans="1:1">
      <c r="A611" s="2"/>
    </row>
    <row r="612" spans="1:1">
      <c r="A612" s="2"/>
    </row>
    <row r="613" spans="1:1">
      <c r="A613" s="2"/>
    </row>
    <row r="614" spans="1:1">
      <c r="A614" s="2"/>
    </row>
    <row r="615" spans="1:1">
      <c r="A615" s="2"/>
    </row>
    <row r="616" spans="1:1">
      <c r="A616" s="2"/>
    </row>
    <row r="617" spans="1:1">
      <c r="A617" s="2"/>
    </row>
    <row r="618" spans="1:1">
      <c r="A618" s="2"/>
    </row>
    <row r="619" spans="1:1">
      <c r="A619" s="2"/>
    </row>
    <row r="620" spans="1:1">
      <c r="A620" s="2"/>
    </row>
    <row r="621" spans="1:1">
      <c r="A621" s="2"/>
    </row>
    <row r="622" spans="1:1">
      <c r="A622" s="2"/>
    </row>
    <row r="623" spans="1:1">
      <c r="A623" s="2"/>
    </row>
    <row r="624" spans="1:1">
      <c r="A624" s="2"/>
    </row>
    <row r="625" spans="1:1">
      <c r="A625" s="2"/>
    </row>
    <row r="626" spans="1:1">
      <c r="A626" s="2"/>
    </row>
    <row r="627" spans="1:1">
      <c r="A627" s="2"/>
    </row>
    <row r="628" spans="1:1">
      <c r="A628" s="2"/>
    </row>
    <row r="629" spans="1:1">
      <c r="A629" s="2"/>
    </row>
    <row r="630" spans="1:1">
      <c r="A630" s="2"/>
    </row>
    <row r="631" spans="1:1">
      <c r="A631" s="2"/>
    </row>
    <row r="632" spans="1:1">
      <c r="A632" s="2"/>
    </row>
    <row r="633" spans="1:1">
      <c r="A633" s="2"/>
    </row>
    <row r="634" spans="1:1">
      <c r="A634" s="2"/>
    </row>
    <row r="635" spans="1:1">
      <c r="A635" s="2"/>
    </row>
    <row r="636" spans="1:1">
      <c r="A636" s="2"/>
    </row>
    <row r="637" spans="1:1">
      <c r="A637" s="2"/>
    </row>
    <row r="638" spans="1:1">
      <c r="A638" s="2"/>
    </row>
    <row r="639" spans="1:1">
      <c r="A639" s="2"/>
    </row>
    <row r="640" spans="1:1">
      <c r="A640" s="2"/>
    </row>
    <row r="641" spans="1:1">
      <c r="A641" s="2"/>
    </row>
    <row r="642" spans="1:1">
      <c r="A642" s="2"/>
    </row>
    <row r="643" spans="1:1">
      <c r="A643" s="2"/>
    </row>
    <row r="644" spans="1:1">
      <c r="A644" s="2"/>
    </row>
    <row r="645" spans="1:1">
      <c r="A645" s="2"/>
    </row>
    <row r="646" spans="1:1">
      <c r="A646" s="2"/>
    </row>
    <row r="647" spans="1:1">
      <c r="A647" s="2"/>
    </row>
    <row r="648" spans="1:1">
      <c r="A648" s="2"/>
    </row>
    <row r="649" spans="1:1">
      <c r="A649" s="2"/>
    </row>
    <row r="650" spans="1:1">
      <c r="A650" s="2"/>
    </row>
    <row r="651" spans="1:1">
      <c r="A651" s="2"/>
    </row>
    <row r="652" spans="1:1">
      <c r="A652" s="2"/>
    </row>
    <row r="653" spans="1:1">
      <c r="A653" s="2"/>
    </row>
    <row r="654" spans="1:1">
      <c r="A654" s="2"/>
    </row>
    <row r="655" spans="1:1">
      <c r="A655" s="2"/>
    </row>
    <row r="656" spans="1:1">
      <c r="A656" s="2"/>
    </row>
    <row r="657" spans="1:1">
      <c r="A657" s="2"/>
    </row>
    <row r="658" spans="1:1">
      <c r="A658" s="2"/>
    </row>
    <row r="659" spans="1:1">
      <c r="A659" s="2"/>
    </row>
    <row r="660" spans="1:1">
      <c r="A660" s="2"/>
    </row>
    <row r="661" spans="1:1">
      <c r="A661" s="2"/>
    </row>
    <row r="662" spans="1:1">
      <c r="A662" s="2"/>
    </row>
    <row r="663" spans="1:1">
      <c r="A663" s="2"/>
    </row>
    <row r="664" spans="1:1">
      <c r="A664" s="2"/>
    </row>
    <row r="665" spans="1:1">
      <c r="A665" s="2"/>
    </row>
    <row r="666" spans="1:1">
      <c r="A666" s="2"/>
    </row>
    <row r="667" spans="1:1">
      <c r="A667" s="2"/>
    </row>
    <row r="668" spans="1:1">
      <c r="A668" s="2"/>
    </row>
    <row r="669" spans="1:1">
      <c r="A669" s="2"/>
    </row>
    <row r="670" spans="1:1">
      <c r="A670" s="2"/>
    </row>
    <row r="671" spans="1:1">
      <c r="A671" s="2"/>
    </row>
    <row r="672" spans="1:1">
      <c r="A672" s="2"/>
    </row>
    <row r="673" spans="1:1">
      <c r="A673" s="2"/>
    </row>
    <row r="674" spans="1:1">
      <c r="A674" s="2"/>
    </row>
    <row r="675" spans="1:1">
      <c r="A675" s="2"/>
    </row>
    <row r="676" spans="1:1">
      <c r="A676" s="2"/>
    </row>
    <row r="677" spans="1:1">
      <c r="A677" s="2"/>
    </row>
    <row r="678" spans="1:1">
      <c r="A678" s="2"/>
    </row>
    <row r="679" spans="1:1">
      <c r="A679" s="2"/>
    </row>
    <row r="680" spans="1:1">
      <c r="A680" s="2"/>
    </row>
    <row r="681" spans="1:1">
      <c r="A681" s="2"/>
    </row>
    <row r="682" spans="1:1">
      <c r="A682" s="2"/>
    </row>
    <row r="683" spans="1:1">
      <c r="A683" s="2"/>
    </row>
    <row r="684" spans="1:1">
      <c r="A684" s="2"/>
    </row>
    <row r="685" spans="1:1">
      <c r="A685" s="2"/>
    </row>
    <row r="686" spans="1:1">
      <c r="A686" s="2"/>
    </row>
    <row r="687" spans="1:1">
      <c r="A687" s="2"/>
    </row>
    <row r="688" spans="1:1">
      <c r="A688" s="2"/>
    </row>
    <row r="689" spans="1:1">
      <c r="A689" s="2"/>
    </row>
    <row r="690" spans="1:1">
      <c r="A690" s="2"/>
    </row>
    <row r="691" spans="1:1">
      <c r="A691" s="2"/>
    </row>
    <row r="692" spans="1:1">
      <c r="A692" s="2"/>
    </row>
    <row r="693" spans="1:1">
      <c r="A693" s="2"/>
    </row>
    <row r="694" spans="1:1">
      <c r="A694" s="2"/>
    </row>
    <row r="695" spans="1:1">
      <c r="A695" s="2"/>
    </row>
    <row r="696" spans="1:1">
      <c r="A696" s="2"/>
    </row>
    <row r="697" spans="1:1">
      <c r="A697" s="2"/>
    </row>
    <row r="698" spans="1:1">
      <c r="A698" s="2"/>
    </row>
    <row r="699" spans="1:1">
      <c r="A699" s="2"/>
    </row>
    <row r="700" spans="1:1">
      <c r="A700" s="2"/>
    </row>
    <row r="701" spans="1:1">
      <c r="A701" s="2"/>
    </row>
    <row r="702" spans="1:1">
      <c r="A702" s="2"/>
    </row>
    <row r="703" spans="1:1">
      <c r="A703" s="2"/>
    </row>
    <row r="704" spans="1:1">
      <c r="A704" s="2"/>
    </row>
    <row r="705" spans="1:1">
      <c r="A705" s="2"/>
    </row>
    <row r="706" spans="1:1">
      <c r="A706" s="2"/>
    </row>
    <row r="707" spans="1:1">
      <c r="A707" s="2"/>
    </row>
    <row r="708" spans="1:1">
      <c r="A708" s="2"/>
    </row>
    <row r="709" spans="1:1">
      <c r="A709" s="2"/>
    </row>
    <row r="710" spans="1:1">
      <c r="A710" s="2"/>
    </row>
    <row r="711" spans="1:1">
      <c r="A711" s="2"/>
    </row>
    <row r="712" spans="1:1">
      <c r="A712" s="2"/>
    </row>
    <row r="713" spans="1:1">
      <c r="A713" s="2"/>
    </row>
    <row r="714" spans="1:1">
      <c r="A714" s="2"/>
    </row>
    <row r="715" spans="1:1">
      <c r="A715" s="2"/>
    </row>
    <row r="716" spans="1:1">
      <c r="A716" s="2"/>
    </row>
    <row r="717" spans="1:1">
      <c r="A717" s="2"/>
    </row>
    <row r="718" spans="1:1">
      <c r="A718" s="2"/>
    </row>
    <row r="719" spans="1:1">
      <c r="A719" s="2"/>
    </row>
    <row r="720" spans="1:1">
      <c r="A720" s="2"/>
    </row>
    <row r="721" spans="1:1">
      <c r="A721" s="2"/>
    </row>
    <row r="722" spans="1:1">
      <c r="A722" s="2"/>
    </row>
    <row r="723" spans="1:1">
      <c r="A723" s="2"/>
    </row>
    <row r="724" spans="1:1">
      <c r="A724" s="2"/>
    </row>
    <row r="725" spans="1:1">
      <c r="A725" s="2"/>
    </row>
    <row r="726" spans="1:1">
      <c r="A726" s="2"/>
    </row>
    <row r="727" spans="1:1">
      <c r="A727" s="2"/>
    </row>
    <row r="728" spans="1:1">
      <c r="A728" s="2"/>
    </row>
    <row r="729" spans="1:1">
      <c r="A729" s="2"/>
    </row>
    <row r="730" spans="1:1">
      <c r="A730" s="2"/>
    </row>
    <row r="731" spans="1:1">
      <c r="A731" s="2"/>
    </row>
    <row r="732" spans="1:1">
      <c r="A732" s="2"/>
    </row>
    <row r="733" spans="1:1">
      <c r="A733" s="2"/>
    </row>
    <row r="734" spans="1:1">
      <c r="A734" s="2"/>
    </row>
    <row r="735" spans="1:1">
      <c r="A735" s="2"/>
    </row>
    <row r="736" spans="1:1">
      <c r="A736" s="2"/>
    </row>
    <row r="737" spans="1:1">
      <c r="A737" s="2"/>
    </row>
    <row r="738" spans="1:1">
      <c r="A738" s="2"/>
    </row>
    <row r="739" spans="1:1">
      <c r="A739" s="2"/>
    </row>
    <row r="740" spans="1:1">
      <c r="A740" s="2"/>
    </row>
    <row r="741" spans="1:1">
      <c r="A741" s="2"/>
    </row>
    <row r="742" spans="1:1">
      <c r="A742" s="2"/>
    </row>
    <row r="743" spans="1:1">
      <c r="A743" s="2"/>
    </row>
    <row r="744" spans="1:1">
      <c r="A744" s="2"/>
    </row>
    <row r="745" spans="1:1">
      <c r="A745" s="2"/>
    </row>
    <row r="746" spans="1:1">
      <c r="A746" s="2"/>
    </row>
    <row r="747" spans="1:1">
      <c r="A747" s="2"/>
    </row>
    <row r="748" spans="1:1">
      <c r="A748" s="2"/>
    </row>
    <row r="749" spans="1:1">
      <c r="A749" s="2"/>
    </row>
    <row r="750" spans="1:1">
      <c r="A750" s="2"/>
    </row>
    <row r="751" spans="1:1">
      <c r="A751" s="2"/>
    </row>
    <row r="752" spans="1:1">
      <c r="A752" s="2"/>
    </row>
    <row r="753" spans="1:1">
      <c r="A753" s="2"/>
    </row>
    <row r="754" spans="1:1">
      <c r="A754" s="2"/>
    </row>
    <row r="755" spans="1:1">
      <c r="A755" s="2"/>
    </row>
    <row r="756" spans="1:1">
      <c r="A756" s="2"/>
    </row>
    <row r="757" spans="1:1">
      <c r="A757" s="2"/>
    </row>
    <row r="758" spans="1:1">
      <c r="A758" s="2"/>
    </row>
    <row r="759" spans="1:1">
      <c r="A759" s="2"/>
    </row>
    <row r="760" spans="1:1">
      <c r="A760" s="2"/>
    </row>
    <row r="761" spans="1:1">
      <c r="A761" s="2"/>
    </row>
    <row r="762" spans="1:1">
      <c r="A762" s="2"/>
    </row>
    <row r="763" spans="1:1">
      <c r="A763" s="2"/>
    </row>
    <row r="764" spans="1:1">
      <c r="A764" s="2"/>
    </row>
    <row r="765" spans="1:1">
      <c r="A765" s="2"/>
    </row>
    <row r="766" spans="1:1">
      <c r="A766" s="2"/>
    </row>
    <row r="767" spans="1:1">
      <c r="A767" s="2"/>
    </row>
    <row r="768" spans="1:1">
      <c r="A768" s="2"/>
    </row>
    <row r="769" spans="1:1">
      <c r="A769" s="2"/>
    </row>
    <row r="770" spans="1:1">
      <c r="A770" s="2"/>
    </row>
    <row r="771" spans="1:1">
      <c r="A771" s="2"/>
    </row>
    <row r="772" spans="1:1">
      <c r="A772" s="2"/>
    </row>
    <row r="773" spans="1:1">
      <c r="A773" s="2"/>
    </row>
    <row r="774" spans="1:1">
      <c r="A774" s="2"/>
    </row>
    <row r="775" spans="1:1">
      <c r="A775" s="2"/>
    </row>
    <row r="776" spans="1:1">
      <c r="A776" s="2"/>
    </row>
    <row r="777" spans="1:1">
      <c r="A777" s="2"/>
    </row>
    <row r="778" spans="1:1">
      <c r="A778" s="2"/>
    </row>
    <row r="779" spans="1:1">
      <c r="A779" s="2"/>
    </row>
    <row r="780" spans="1:1">
      <c r="A780" s="2"/>
    </row>
    <row r="781" spans="1:1">
      <c r="A781" s="2"/>
    </row>
    <row r="782" spans="1:1">
      <c r="A782" s="2"/>
    </row>
    <row r="783" spans="1:1">
      <c r="A783" s="2"/>
    </row>
    <row r="784" spans="1:1">
      <c r="A784" s="2"/>
    </row>
    <row r="785" spans="1:1">
      <c r="A785" s="2"/>
    </row>
    <row r="786" spans="1:1">
      <c r="A786" s="2"/>
    </row>
    <row r="787" spans="1:1">
      <c r="A787" s="2"/>
    </row>
    <row r="788" spans="1:1">
      <c r="A788" s="2"/>
    </row>
    <row r="789" spans="1:1">
      <c r="A789" s="2"/>
    </row>
    <row r="790" spans="1:1">
      <c r="A790" s="2"/>
    </row>
    <row r="791" spans="1:1">
      <c r="A791" s="2"/>
    </row>
    <row r="792" spans="1:1">
      <c r="A792" s="2"/>
    </row>
    <row r="793" spans="1:1">
      <c r="A793" s="2"/>
    </row>
    <row r="794" spans="1:1">
      <c r="A794" s="2"/>
    </row>
    <row r="795" spans="1:1">
      <c r="A795" s="2"/>
    </row>
    <row r="796" spans="1:1">
      <c r="A796" s="2"/>
    </row>
    <row r="797" spans="1:1">
      <c r="A797" s="2"/>
    </row>
    <row r="798" spans="1:1">
      <c r="A798" s="2"/>
    </row>
    <row r="799" spans="1:1">
      <c r="A799" s="2"/>
    </row>
    <row r="800" spans="1:1">
      <c r="A800" s="2"/>
    </row>
    <row r="801" spans="1:1">
      <c r="A801" s="2"/>
    </row>
    <row r="802" spans="1:1">
      <c r="A802" s="2"/>
    </row>
    <row r="803" spans="1:1">
      <c r="A803" s="2"/>
    </row>
    <row r="804" spans="1:1">
      <c r="A804" s="2"/>
    </row>
    <row r="805" spans="1:1">
      <c r="A805" s="2"/>
    </row>
    <row r="806" spans="1:1">
      <c r="A806" s="2"/>
    </row>
    <row r="807" spans="1:1">
      <c r="A807" s="2"/>
    </row>
    <row r="808" spans="1:1">
      <c r="A808" s="2"/>
    </row>
    <row r="809" spans="1:1">
      <c r="A809" s="2"/>
    </row>
    <row r="810" spans="1:1">
      <c r="A810" s="2"/>
    </row>
    <row r="811" spans="1:1">
      <c r="A811" s="2"/>
    </row>
    <row r="812" spans="1:1">
      <c r="A812" s="2"/>
    </row>
    <row r="813" spans="1:1">
      <c r="A813" s="2"/>
    </row>
    <row r="814" spans="1:1">
      <c r="A814" s="2"/>
    </row>
    <row r="815" spans="1:1">
      <c r="A815" s="2"/>
    </row>
    <row r="816" spans="1:1">
      <c r="A816" s="2"/>
    </row>
    <row r="817" spans="1:1">
      <c r="A817" s="2"/>
    </row>
    <row r="818" spans="1:1">
      <c r="A818" s="2"/>
    </row>
    <row r="819" spans="1:1">
      <c r="A819" s="2"/>
    </row>
    <row r="820" spans="1:1">
      <c r="A820" s="2"/>
    </row>
    <row r="821" spans="1:1">
      <c r="A821" s="2"/>
    </row>
    <row r="822" spans="1:1">
      <c r="A822" s="2"/>
    </row>
    <row r="823" spans="1:1">
      <c r="A823" s="2"/>
    </row>
    <row r="824" spans="1:1">
      <c r="A824" s="2"/>
    </row>
    <row r="825" spans="1:1">
      <c r="A825" s="2"/>
    </row>
    <row r="826" spans="1:1">
      <c r="A826" s="2"/>
    </row>
    <row r="827" spans="1:1">
      <c r="A827" s="2"/>
    </row>
    <row r="828" spans="1:1">
      <c r="A828" s="2"/>
    </row>
    <row r="829" spans="1:1">
      <c r="A829" s="2"/>
    </row>
    <row r="830" spans="1:1">
      <c r="A830" s="2"/>
    </row>
    <row r="831" spans="1:1">
      <c r="A831" s="2"/>
    </row>
    <row r="832" spans="1:1">
      <c r="A832" s="2"/>
    </row>
    <row r="833" spans="1:1">
      <c r="A833" s="2"/>
    </row>
    <row r="834" spans="1:1">
      <c r="A834" s="2"/>
    </row>
    <row r="835" spans="1:1">
      <c r="A835" s="2"/>
    </row>
    <row r="836" spans="1:1">
      <c r="A836" s="2"/>
    </row>
    <row r="837" spans="1:1">
      <c r="A837" s="2"/>
    </row>
    <row r="838" spans="1:1">
      <c r="A838" s="2"/>
    </row>
    <row r="839" spans="1:1">
      <c r="A839" s="2"/>
    </row>
    <row r="840" spans="1:1">
      <c r="A840" s="2"/>
    </row>
    <row r="841" spans="1:1">
      <c r="A841" s="2"/>
    </row>
    <row r="842" spans="1:1">
      <c r="A842" s="2"/>
    </row>
    <row r="843" spans="1:1">
      <c r="A843" s="2"/>
    </row>
    <row r="844" spans="1:1">
      <c r="A844" s="2"/>
    </row>
    <row r="845" spans="1:1">
      <c r="A845" s="2"/>
    </row>
    <row r="846" spans="1:1">
      <c r="A846" s="2"/>
    </row>
    <row r="847" spans="1:1">
      <c r="A847" s="2"/>
    </row>
    <row r="848" spans="1:1">
      <c r="A848" s="2"/>
    </row>
    <row r="849" spans="1:1">
      <c r="A849" s="2"/>
    </row>
    <row r="850" spans="1:1">
      <c r="A850" s="2"/>
    </row>
    <row r="851" spans="1:1">
      <c r="A851" s="2"/>
    </row>
    <row r="852" spans="1:1">
      <c r="A852" s="2"/>
    </row>
    <row r="853" spans="1:1">
      <c r="A853" s="2"/>
    </row>
    <row r="854" spans="1:1">
      <c r="A854" s="2"/>
    </row>
    <row r="855" spans="1:1">
      <c r="A855" s="2"/>
    </row>
    <row r="856" spans="1:1">
      <c r="A856" s="2"/>
    </row>
    <row r="857" spans="1:1">
      <c r="A857" s="2"/>
    </row>
    <row r="858" spans="1:1">
      <c r="A858" s="2"/>
    </row>
    <row r="859" spans="1:1">
      <c r="A859" s="2"/>
    </row>
    <row r="860" spans="1:1">
      <c r="A860" s="2"/>
    </row>
    <row r="861" spans="1:1">
      <c r="A861" s="2"/>
    </row>
    <row r="862" spans="1:1">
      <c r="A862" s="2"/>
    </row>
    <row r="863" spans="1:1">
      <c r="A863" s="2"/>
    </row>
    <row r="864" spans="1:1">
      <c r="A864" s="2"/>
    </row>
    <row r="865" spans="1:1">
      <c r="A865" s="2"/>
    </row>
    <row r="866" spans="1:1">
      <c r="A866" s="2"/>
    </row>
    <row r="867" spans="1:1">
      <c r="A867" s="2"/>
    </row>
    <row r="868" spans="1:1">
      <c r="A868" s="2"/>
    </row>
    <row r="869" spans="1:1">
      <c r="A869" s="2"/>
    </row>
    <row r="870" spans="1:1">
      <c r="A870" s="2"/>
    </row>
    <row r="871" spans="1:1">
      <c r="A871" s="2"/>
    </row>
    <row r="872" spans="1:1">
      <c r="A872" s="2"/>
    </row>
    <row r="873" spans="1:1">
      <c r="A873" s="2"/>
    </row>
    <row r="874" spans="1:1">
      <c r="A874" s="2"/>
    </row>
    <row r="875" spans="1:1">
      <c r="A875" s="2"/>
    </row>
    <row r="876" spans="1:1">
      <c r="A876" s="2"/>
    </row>
    <row r="877" spans="1:1">
      <c r="A877" s="2"/>
    </row>
    <row r="878" spans="1:1">
      <c r="A878" s="2"/>
    </row>
    <row r="879" spans="1:1">
      <c r="A879" s="2"/>
    </row>
    <row r="880" spans="1:1">
      <c r="A880" s="2"/>
    </row>
    <row r="881" spans="1:1">
      <c r="A881" s="2"/>
    </row>
    <row r="882" spans="1:1">
      <c r="A882" s="2"/>
    </row>
    <row r="883" spans="1:1">
      <c r="A883" s="2"/>
    </row>
    <row r="884" spans="1:1">
      <c r="A884" s="2"/>
    </row>
    <row r="885" spans="1:1">
      <c r="A885" s="2"/>
    </row>
    <row r="886" spans="1:1">
      <c r="A886" s="2"/>
    </row>
    <row r="887" spans="1:1">
      <c r="A887" s="2"/>
    </row>
    <row r="888" spans="1:1">
      <c r="A888" s="2"/>
    </row>
    <row r="889" spans="1:1">
      <c r="A889" s="2"/>
    </row>
    <row r="890" spans="1:1">
      <c r="A890" s="2"/>
    </row>
    <row r="891" spans="1:1">
      <c r="A891" s="2"/>
    </row>
    <row r="892" spans="1:1">
      <c r="A892" s="2"/>
    </row>
    <row r="893" spans="1:1">
      <c r="A893" s="2"/>
    </row>
    <row r="894" spans="1:1">
      <c r="A894" s="2"/>
    </row>
    <row r="895" spans="1:1">
      <c r="A895" s="2"/>
    </row>
    <row r="896" spans="1:1">
      <c r="A896" s="2"/>
    </row>
    <row r="897" spans="1:1">
      <c r="A897" s="2"/>
    </row>
    <row r="898" spans="1:1">
      <c r="A898" s="2"/>
    </row>
    <row r="899" spans="1:1">
      <c r="A899" s="2"/>
    </row>
    <row r="900" spans="1:1">
      <c r="A900" s="2"/>
    </row>
    <row r="901" spans="1:1">
      <c r="A901" s="2"/>
    </row>
    <row r="902" spans="1:1">
      <c r="A902" s="2"/>
    </row>
    <row r="903" spans="1:1">
      <c r="A903" s="2"/>
    </row>
    <row r="904" spans="1:1">
      <c r="A904" s="2"/>
    </row>
    <row r="905" spans="1:1">
      <c r="A905" s="2"/>
    </row>
    <row r="906" spans="1:1">
      <c r="A906" s="2"/>
    </row>
    <row r="907" spans="1:1">
      <c r="A907" s="2"/>
    </row>
    <row r="908" spans="1:1">
      <c r="A908" s="2"/>
    </row>
    <row r="909" spans="1:1">
      <c r="A909" s="2"/>
    </row>
    <row r="910" spans="1:1">
      <c r="A910" s="2"/>
    </row>
    <row r="911" spans="1:1">
      <c r="A911" s="2"/>
    </row>
    <row r="912" spans="1:1">
      <c r="A912" s="2"/>
    </row>
    <row r="913" spans="1:1">
      <c r="A913" s="2"/>
    </row>
    <row r="914" spans="1:1">
      <c r="A914" s="2"/>
    </row>
    <row r="915" spans="1:1">
      <c r="A915" s="2"/>
    </row>
    <row r="916" spans="1:1">
      <c r="A916" s="2"/>
    </row>
    <row r="917" spans="1:1">
      <c r="A917" s="2"/>
    </row>
    <row r="918" spans="1:1">
      <c r="A918" s="2"/>
    </row>
    <row r="919" spans="1:1">
      <c r="A919" s="2"/>
    </row>
    <row r="920" spans="1:1">
      <c r="A920" s="2"/>
    </row>
    <row r="921" spans="1:1">
      <c r="A921" s="2"/>
    </row>
    <row r="922" spans="1:1">
      <c r="A922" s="2"/>
    </row>
    <row r="923" spans="1:1">
      <c r="A923" s="2"/>
    </row>
    <row r="924" spans="1:1">
      <c r="A924" s="2"/>
    </row>
    <row r="925" spans="1:1">
      <c r="A925" s="2"/>
    </row>
    <row r="926" spans="1:1">
      <c r="A926" s="2"/>
    </row>
    <row r="927" spans="1:1">
      <c r="A927" s="2"/>
    </row>
    <row r="928" spans="1:1">
      <c r="A928" s="2"/>
    </row>
    <row r="929" spans="1:1">
      <c r="A929" s="2"/>
    </row>
    <row r="930" spans="1:1">
      <c r="A930" s="2"/>
    </row>
    <row r="931" spans="1:1">
      <c r="A931" s="2"/>
    </row>
    <row r="932" spans="1:1">
      <c r="A932" s="2"/>
    </row>
    <row r="933" spans="1:1">
      <c r="A933" s="2"/>
    </row>
    <row r="934" spans="1:1">
      <c r="A934" s="2"/>
    </row>
    <row r="935" spans="1:1">
      <c r="A935" s="2"/>
    </row>
    <row r="936" spans="1:1">
      <c r="A936" s="2"/>
    </row>
    <row r="937" spans="1:1">
      <c r="A937" s="2"/>
    </row>
    <row r="938" spans="1:1">
      <c r="A938" s="2"/>
    </row>
    <row r="939" spans="1:1">
      <c r="A939" s="2"/>
    </row>
    <row r="940" spans="1:1">
      <c r="A940" s="2"/>
    </row>
    <row r="941" spans="1:1">
      <c r="A941" s="2"/>
    </row>
    <row r="942" spans="1:1">
      <c r="A942" s="2"/>
    </row>
    <row r="943" spans="1:1">
      <c r="A943" s="2"/>
    </row>
    <row r="944" spans="1:1">
      <c r="A944" s="2"/>
    </row>
    <row r="945" spans="1:1">
      <c r="A945" s="2"/>
    </row>
    <row r="946" spans="1:1">
      <c r="A946" s="2"/>
    </row>
    <row r="947" spans="1:1">
      <c r="A947" s="2"/>
    </row>
    <row r="948" spans="1:1">
      <c r="A948" s="2"/>
    </row>
    <row r="949" spans="1:1">
      <c r="A949" s="2"/>
    </row>
    <row r="950" spans="1:1">
      <c r="A950" s="2"/>
    </row>
  </sheetData>
  <phoneticPr fontId="104" type="noConversion"/>
  <conditionalFormatting sqref="A3:A4 A6:A7 A9:A10">
    <cfRule type="expression" dxfId="5" priority="5" stopIfTrue="1">
      <formula>#REF!="NO"</formula>
    </cfRule>
  </conditionalFormatting>
  <conditionalFormatting sqref="A2">
    <cfRule type="expression" dxfId="4" priority="4" stopIfTrue="1">
      <formula>#REF!="NO"</formula>
    </cfRule>
  </conditionalFormatting>
  <conditionalFormatting sqref="A11:A12">
    <cfRule type="expression" dxfId="3" priority="3" stopIfTrue="1">
      <formula>#REF!="NO"</formula>
    </cfRule>
  </conditionalFormatting>
  <conditionalFormatting sqref="A5">
    <cfRule type="expression" dxfId="2" priority="2" stopIfTrue="1">
      <formula>#REF!="NO"</formula>
    </cfRule>
  </conditionalFormatting>
  <conditionalFormatting sqref="A8">
    <cfRule type="expression" dxfId="1" priority="1" stopIfTrue="1">
      <formula>#REF!="NO"</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pageSetUpPr fitToPage="1"/>
  </sheetPr>
  <dimension ref="A1:H16"/>
  <sheetViews>
    <sheetView zoomScale="75" zoomScaleNormal="75" workbookViewId="0">
      <selection activeCell="J19" sqref="J19"/>
    </sheetView>
  </sheetViews>
  <sheetFormatPr defaultRowHeight="12.75"/>
  <cols>
    <col min="1" max="1" width="10.42578125" customWidth="1"/>
    <col min="2" max="2" width="9.42578125" customWidth="1"/>
    <col min="3" max="3" width="9.42578125" bestFit="1" customWidth="1"/>
    <col min="6" max="6" width="11.42578125" customWidth="1"/>
  </cols>
  <sheetData>
    <row r="1" spans="1:8" ht="25.5">
      <c r="B1" s="34" t="s">
        <v>143</v>
      </c>
      <c r="C1" s="34" t="s">
        <v>144</v>
      </c>
      <c r="D1" s="34" t="s">
        <v>145</v>
      </c>
      <c r="E1" s="34" t="s">
        <v>139</v>
      </c>
      <c r="F1" s="34" t="s">
        <v>138</v>
      </c>
      <c r="G1" s="34" t="s">
        <v>140</v>
      </c>
      <c r="H1" s="34" t="s">
        <v>305</v>
      </c>
    </row>
    <row r="2" spans="1:8">
      <c r="A2" t="s">
        <v>16</v>
      </c>
      <c r="B2" s="106">
        <v>50.4</v>
      </c>
      <c r="C2" s="106">
        <v>34.299999999999997</v>
      </c>
      <c r="D2" s="106">
        <v>24.7</v>
      </c>
      <c r="E2" s="106">
        <v>18</v>
      </c>
      <c r="F2" s="106">
        <v>3.39</v>
      </c>
      <c r="G2" s="106">
        <v>16</v>
      </c>
      <c r="H2" s="106">
        <f>0.67*G2</f>
        <v>10.72</v>
      </c>
    </row>
    <row r="3" spans="1:8">
      <c r="A3" t="s">
        <v>302</v>
      </c>
      <c r="B3" s="106">
        <v>66.680000000000007</v>
      </c>
      <c r="C3" s="106">
        <v>44.45</v>
      </c>
      <c r="D3" s="106">
        <v>27</v>
      </c>
      <c r="E3" s="106">
        <v>19</v>
      </c>
      <c r="F3" s="106">
        <v>7.91</v>
      </c>
      <c r="G3" s="106">
        <v>18</v>
      </c>
      <c r="H3" s="106">
        <f>0.67*G3</f>
        <v>12.06</v>
      </c>
    </row>
    <row r="4" spans="1:8">
      <c r="A4" t="s">
        <v>118</v>
      </c>
      <c r="B4" s="106">
        <v>63.322147651006709</v>
      </c>
      <c r="C4" s="106">
        <v>35.5</v>
      </c>
      <c r="D4" s="106">
        <v>25.5</v>
      </c>
      <c r="E4" s="106">
        <v>14.5</v>
      </c>
      <c r="F4" s="106">
        <v>3.47</v>
      </c>
      <c r="G4" s="106">
        <v>12.3</v>
      </c>
      <c r="H4" s="106">
        <f>0.67*G4</f>
        <v>8.2410000000000014</v>
      </c>
    </row>
    <row r="5" spans="1:8">
      <c r="A5" t="s">
        <v>119</v>
      </c>
      <c r="B5" s="106">
        <v>74</v>
      </c>
      <c r="C5" s="106">
        <v>47.9</v>
      </c>
      <c r="D5" s="106">
        <v>29.8</v>
      </c>
      <c r="E5" s="106">
        <v>22.7</v>
      </c>
      <c r="F5" s="106">
        <v>9.6</v>
      </c>
      <c r="G5" s="106">
        <v>19.100000000000001</v>
      </c>
      <c r="H5" s="106">
        <f t="shared" ref="H5:H15" si="0">0.67*G5</f>
        <v>12.797000000000002</v>
      </c>
    </row>
    <row r="6" spans="1:8">
      <c r="A6" t="s">
        <v>128</v>
      </c>
      <c r="B6" s="106">
        <v>74.7</v>
      </c>
      <c r="C6" s="106">
        <v>48</v>
      </c>
      <c r="D6" s="106">
        <v>30.7</v>
      </c>
      <c r="E6" s="106">
        <v>21.3</v>
      </c>
      <c r="F6" s="106">
        <v>9.9700000000000006</v>
      </c>
      <c r="G6" s="106">
        <v>17</v>
      </c>
      <c r="H6" s="106">
        <f t="shared" si="0"/>
        <v>11.39</v>
      </c>
    </row>
    <row r="7" spans="1:8">
      <c r="A7" t="s">
        <v>120</v>
      </c>
      <c r="B7" s="106">
        <v>80</v>
      </c>
      <c r="C7" s="106">
        <v>49.9</v>
      </c>
      <c r="D7" s="106">
        <v>30.9</v>
      </c>
      <c r="E7" s="106">
        <v>22.7</v>
      </c>
      <c r="F7" s="106">
        <v>11.1</v>
      </c>
      <c r="G7" s="106">
        <v>19.399999999999999</v>
      </c>
      <c r="H7" s="106">
        <f t="shared" si="0"/>
        <v>12.997999999999999</v>
      </c>
    </row>
    <row r="8" spans="1:8">
      <c r="A8" t="s">
        <v>141</v>
      </c>
      <c r="B8" s="106">
        <v>81.3</v>
      </c>
      <c r="C8" s="106">
        <v>50.5</v>
      </c>
      <c r="D8" s="106">
        <v>32.5</v>
      </c>
      <c r="E8" s="106">
        <v>22.4</v>
      </c>
      <c r="F8" s="106">
        <v>13.5</v>
      </c>
      <c r="G8" s="106">
        <v>17</v>
      </c>
      <c r="H8" s="106">
        <f t="shared" si="0"/>
        <v>11.39</v>
      </c>
    </row>
    <row r="9" spans="1:8">
      <c r="A9" t="s">
        <v>121</v>
      </c>
      <c r="B9" s="106">
        <v>98.5</v>
      </c>
      <c r="C9" s="106">
        <v>54.4</v>
      </c>
      <c r="D9" s="106">
        <v>32.9</v>
      </c>
      <c r="E9" s="106">
        <v>25.9</v>
      </c>
      <c r="F9" s="106">
        <v>14.59</v>
      </c>
      <c r="G9" s="106">
        <v>20</v>
      </c>
      <c r="H9" s="106">
        <f t="shared" si="0"/>
        <v>13.4</v>
      </c>
    </row>
    <row r="10" spans="1:8">
      <c r="A10" t="s">
        <v>114</v>
      </c>
      <c r="B10" s="106">
        <v>94.5</v>
      </c>
      <c r="C10" s="106">
        <v>54.6</v>
      </c>
      <c r="D10" s="106">
        <f>33.4+2.5</f>
        <v>35.9</v>
      </c>
      <c r="E10" s="106">
        <v>24.4</v>
      </c>
      <c r="F10" s="106">
        <v>15.5</v>
      </c>
      <c r="G10" s="106">
        <v>19.5</v>
      </c>
      <c r="H10" s="106">
        <f t="shared" si="0"/>
        <v>13.065000000000001</v>
      </c>
    </row>
    <row r="11" spans="1:8">
      <c r="A11" t="s">
        <v>122</v>
      </c>
      <c r="B11" s="106">
        <v>114.3</v>
      </c>
      <c r="C11" s="106">
        <v>60.1</v>
      </c>
      <c r="D11" s="106">
        <v>36.200000000000003</v>
      </c>
      <c r="E11" s="106">
        <v>30.5</v>
      </c>
      <c r="F11" s="106">
        <v>22.95</v>
      </c>
      <c r="G11" s="106">
        <v>22.3</v>
      </c>
      <c r="H11" s="106">
        <f t="shared" si="0"/>
        <v>14.941000000000001</v>
      </c>
    </row>
    <row r="12" spans="1:8">
      <c r="A12" t="s">
        <v>115</v>
      </c>
      <c r="B12" s="106">
        <v>114.5</v>
      </c>
      <c r="C12" s="106">
        <v>63.5</v>
      </c>
      <c r="D12" s="106">
        <f>35.5+3.75</f>
        <v>39.25</v>
      </c>
      <c r="E12" s="106">
        <v>26.7</v>
      </c>
      <c r="F12" s="106">
        <v>23.4</v>
      </c>
      <c r="G12" s="106">
        <v>21.6</v>
      </c>
      <c r="H12" s="106">
        <f t="shared" si="0"/>
        <v>14.472000000000001</v>
      </c>
    </row>
    <row r="13" spans="1:8">
      <c r="A13" t="s">
        <v>116</v>
      </c>
      <c r="B13" s="106">
        <v>115.25</v>
      </c>
      <c r="C13" s="106">
        <v>64.25</v>
      </c>
      <c r="D13" s="106">
        <f>35.5+3.75+0.75</f>
        <v>40</v>
      </c>
      <c r="E13" s="106">
        <v>26.7</v>
      </c>
      <c r="F13" s="106">
        <v>28.12</v>
      </c>
      <c r="G13" s="106">
        <v>21.6</v>
      </c>
      <c r="H13" s="106">
        <f t="shared" si="0"/>
        <v>14.472000000000001</v>
      </c>
    </row>
    <row r="14" spans="1:8">
      <c r="A14" t="s">
        <v>117</v>
      </c>
      <c r="B14" s="106">
        <v>130</v>
      </c>
      <c r="C14" s="106">
        <v>74</v>
      </c>
      <c r="D14" s="106">
        <v>44.5</v>
      </c>
      <c r="E14" s="106">
        <v>35</v>
      </c>
      <c r="F14" s="106">
        <v>35.19</v>
      </c>
      <c r="G14" s="106">
        <v>26</v>
      </c>
      <c r="H14" s="106">
        <f t="shared" si="0"/>
        <v>17.420000000000002</v>
      </c>
    </row>
    <row r="15" spans="1:8">
      <c r="A15" t="s">
        <v>123</v>
      </c>
      <c r="B15" s="106">
        <v>144.30000000000001</v>
      </c>
      <c r="C15" s="106">
        <v>74.8</v>
      </c>
      <c r="D15" s="106">
        <v>47.3</v>
      </c>
      <c r="E15" s="106">
        <v>33.479999999999997</v>
      </c>
      <c r="F15" s="106">
        <v>35.58</v>
      </c>
      <c r="G15" s="106">
        <v>27</v>
      </c>
      <c r="H15" s="106">
        <f t="shared" si="0"/>
        <v>18.09</v>
      </c>
    </row>
    <row r="16" spans="1:8">
      <c r="H16" s="50"/>
    </row>
  </sheetData>
  <sortState xmlns:xlrd2="http://schemas.microsoft.com/office/spreadsheetml/2017/richdata2" ref="A2:G14">
    <sortCondition ref="D2:D14"/>
  </sortState>
  <phoneticPr fontId="104" type="noConversion"/>
  <pageMargins left="0.7" right="0.7" top="0.75" bottom="0.75" header="0.3" footer="0.3"/>
  <pageSetup paperSize="3"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
  <dimension ref="A6:AK18"/>
  <sheetViews>
    <sheetView workbookViewId="0">
      <selection activeCell="F21" sqref="F21"/>
    </sheetView>
  </sheetViews>
  <sheetFormatPr defaultColWidth="8.85546875" defaultRowHeight="15"/>
  <cols>
    <col min="1" max="1" width="8.28515625" style="2" customWidth="1"/>
    <col min="2" max="37" width="4.140625" style="2" customWidth="1"/>
    <col min="38" max="16384" width="8.85546875" style="2"/>
  </cols>
  <sheetData>
    <row r="6" spans="1:37">
      <c r="W6" s="833" t="s">
        <v>137</v>
      </c>
      <c r="X6" s="834"/>
      <c r="Y6" s="834"/>
      <c r="Z6" s="834"/>
      <c r="AA6" s="829"/>
      <c r="AB6" s="829"/>
      <c r="AC6" s="829"/>
      <c r="AD6" s="829"/>
      <c r="AE6" s="829"/>
      <c r="AF6" s="829"/>
      <c r="AG6" s="829"/>
      <c r="AH6" s="829"/>
      <c r="AI6" s="829"/>
      <c r="AJ6" s="829"/>
      <c r="AK6" s="835"/>
    </row>
    <row r="7" spans="1:37">
      <c r="P7" s="836" t="s">
        <v>136</v>
      </c>
      <c r="Q7" s="837"/>
      <c r="R7" s="837"/>
      <c r="S7" s="837"/>
      <c r="T7" s="838"/>
      <c r="U7" s="838"/>
      <c r="V7" s="838"/>
      <c r="W7" s="838"/>
      <c r="X7" s="838"/>
      <c r="Y7" s="838"/>
      <c r="Z7" s="839"/>
    </row>
    <row r="8" spans="1:37">
      <c r="J8" s="840" t="s">
        <v>135</v>
      </c>
      <c r="K8" s="841"/>
      <c r="L8" s="842"/>
      <c r="M8" s="842"/>
      <c r="N8" s="842"/>
      <c r="O8" s="842"/>
      <c r="P8" s="842"/>
      <c r="Q8" s="842"/>
      <c r="R8" s="842"/>
      <c r="S8" s="843"/>
    </row>
    <row r="9" spans="1:37">
      <c r="B9" s="844" t="s">
        <v>134</v>
      </c>
      <c r="C9" s="845"/>
      <c r="D9" s="845"/>
      <c r="E9" s="845"/>
      <c r="F9" s="845"/>
      <c r="G9" s="845"/>
      <c r="H9" s="845"/>
      <c r="I9" s="845"/>
      <c r="J9" s="845"/>
      <c r="K9" s="846"/>
      <c r="L9" s="847" t="s">
        <v>133</v>
      </c>
      <c r="M9" s="848"/>
      <c r="N9" s="849"/>
    </row>
    <row r="10" spans="1:37">
      <c r="A10" s="3" t="s">
        <v>132</v>
      </c>
      <c r="B10" s="33">
        <v>1</v>
      </c>
      <c r="C10" s="33">
        <v>2</v>
      </c>
      <c r="D10" s="33">
        <v>3</v>
      </c>
      <c r="E10" s="33">
        <v>4</v>
      </c>
      <c r="F10" s="33">
        <v>5</v>
      </c>
      <c r="G10" s="33">
        <v>6</v>
      </c>
      <c r="H10" s="33">
        <v>7</v>
      </c>
      <c r="I10" s="33">
        <v>8</v>
      </c>
      <c r="J10" s="33">
        <v>9</v>
      </c>
      <c r="K10" s="33">
        <v>10</v>
      </c>
      <c r="L10" s="33">
        <v>11</v>
      </c>
      <c r="M10" s="33">
        <v>12</v>
      </c>
      <c r="N10" s="33">
        <v>13</v>
      </c>
      <c r="O10" s="33">
        <v>14</v>
      </c>
      <c r="P10" s="33">
        <v>15</v>
      </c>
      <c r="Q10" s="33">
        <v>16</v>
      </c>
      <c r="R10" s="33">
        <v>17</v>
      </c>
      <c r="S10" s="33">
        <v>18</v>
      </c>
      <c r="T10" s="33">
        <v>19</v>
      </c>
      <c r="U10" s="33">
        <v>20</v>
      </c>
      <c r="V10" s="33">
        <v>21</v>
      </c>
      <c r="W10" s="33">
        <v>22</v>
      </c>
      <c r="X10" s="33">
        <v>23</v>
      </c>
      <c r="Y10" s="33">
        <v>24</v>
      </c>
      <c r="Z10" s="33">
        <v>25</v>
      </c>
      <c r="AA10" s="33">
        <v>26</v>
      </c>
      <c r="AB10" s="33">
        <v>27</v>
      </c>
      <c r="AC10" s="33">
        <v>28</v>
      </c>
      <c r="AD10" s="33">
        <v>29</v>
      </c>
      <c r="AE10" s="33">
        <v>30</v>
      </c>
      <c r="AF10" s="33">
        <v>31</v>
      </c>
      <c r="AG10" s="33">
        <v>32</v>
      </c>
      <c r="AH10" s="33">
        <v>33</v>
      </c>
      <c r="AI10" s="33">
        <v>34</v>
      </c>
      <c r="AJ10" s="33">
        <v>35</v>
      </c>
      <c r="AK10" s="33">
        <v>36</v>
      </c>
    </row>
    <row r="11" spans="1:37">
      <c r="A11" s="3" t="s">
        <v>131</v>
      </c>
      <c r="B11" s="32">
        <f t="shared" ref="B11:AK11" si="0">B10*2.20462</f>
        <v>2.2046199999999998</v>
      </c>
      <c r="C11" s="32">
        <f t="shared" si="0"/>
        <v>4.4092399999999996</v>
      </c>
      <c r="D11" s="32">
        <f t="shared" si="0"/>
        <v>6.613859999999999</v>
      </c>
      <c r="E11" s="32">
        <f t="shared" si="0"/>
        <v>8.8184799999999992</v>
      </c>
      <c r="F11" s="32">
        <f t="shared" si="0"/>
        <v>11.023099999999999</v>
      </c>
      <c r="G11" s="32">
        <f t="shared" si="0"/>
        <v>13.227719999999998</v>
      </c>
      <c r="H11" s="32">
        <f t="shared" si="0"/>
        <v>15.432339999999998</v>
      </c>
      <c r="I11" s="32">
        <f t="shared" si="0"/>
        <v>17.636959999999998</v>
      </c>
      <c r="J11" s="32">
        <f t="shared" si="0"/>
        <v>19.841579999999997</v>
      </c>
      <c r="K11" s="32">
        <f t="shared" si="0"/>
        <v>22.046199999999999</v>
      </c>
      <c r="L11" s="32">
        <f t="shared" si="0"/>
        <v>24.250819999999997</v>
      </c>
      <c r="M11" s="32">
        <f t="shared" si="0"/>
        <v>26.455439999999996</v>
      </c>
      <c r="N11" s="32">
        <f t="shared" si="0"/>
        <v>28.660059999999998</v>
      </c>
      <c r="O11" s="32">
        <f t="shared" si="0"/>
        <v>30.864679999999996</v>
      </c>
      <c r="P11" s="32">
        <f t="shared" si="0"/>
        <v>33.069299999999998</v>
      </c>
      <c r="Q11" s="32">
        <f t="shared" si="0"/>
        <v>35.273919999999997</v>
      </c>
      <c r="R11" s="32">
        <f t="shared" si="0"/>
        <v>37.478539999999995</v>
      </c>
      <c r="S11" s="32">
        <f t="shared" si="0"/>
        <v>39.683159999999994</v>
      </c>
      <c r="T11" s="32">
        <f t="shared" si="0"/>
        <v>41.887779999999999</v>
      </c>
      <c r="U11" s="32">
        <f t="shared" si="0"/>
        <v>44.092399999999998</v>
      </c>
      <c r="V11" s="32">
        <f t="shared" si="0"/>
        <v>46.297019999999996</v>
      </c>
      <c r="W11" s="32">
        <f t="shared" si="0"/>
        <v>48.501639999999995</v>
      </c>
      <c r="X11" s="32">
        <f t="shared" si="0"/>
        <v>50.706259999999993</v>
      </c>
      <c r="Y11" s="32">
        <f t="shared" si="0"/>
        <v>52.910879999999992</v>
      </c>
      <c r="Z11" s="32">
        <f t="shared" si="0"/>
        <v>55.115499999999997</v>
      </c>
      <c r="AA11" s="32">
        <f t="shared" si="0"/>
        <v>57.320119999999996</v>
      </c>
      <c r="AB11" s="32">
        <f t="shared" si="0"/>
        <v>59.524739999999994</v>
      </c>
      <c r="AC11" s="32">
        <f t="shared" si="0"/>
        <v>61.729359999999993</v>
      </c>
      <c r="AD11" s="32">
        <f t="shared" si="0"/>
        <v>63.933979999999991</v>
      </c>
      <c r="AE11" s="32">
        <f t="shared" si="0"/>
        <v>66.138599999999997</v>
      </c>
      <c r="AF11" s="32">
        <f t="shared" si="0"/>
        <v>68.343219999999988</v>
      </c>
      <c r="AG11" s="32">
        <f t="shared" si="0"/>
        <v>70.547839999999994</v>
      </c>
      <c r="AH11" s="32">
        <f t="shared" si="0"/>
        <v>72.752459999999999</v>
      </c>
      <c r="AI11" s="32">
        <f t="shared" si="0"/>
        <v>74.957079999999991</v>
      </c>
      <c r="AJ11" s="32">
        <f t="shared" si="0"/>
        <v>77.161699999999996</v>
      </c>
      <c r="AK11" s="32">
        <f t="shared" si="0"/>
        <v>79.366319999999988</v>
      </c>
    </row>
    <row r="12" spans="1:37">
      <c r="A12" s="3" t="s">
        <v>130</v>
      </c>
      <c r="B12" s="31">
        <f t="shared" ref="B12:AK12" si="1">65-B11</f>
        <v>62.795380000000002</v>
      </c>
      <c r="C12" s="31">
        <f t="shared" si="1"/>
        <v>60.590760000000003</v>
      </c>
      <c r="D12" s="31">
        <f t="shared" si="1"/>
        <v>58.386139999999997</v>
      </c>
      <c r="E12" s="31">
        <f t="shared" si="1"/>
        <v>56.181519999999999</v>
      </c>
      <c r="F12" s="31">
        <f t="shared" si="1"/>
        <v>53.976900000000001</v>
      </c>
      <c r="G12" s="31">
        <f t="shared" si="1"/>
        <v>51.772280000000002</v>
      </c>
      <c r="H12" s="31">
        <f t="shared" si="1"/>
        <v>49.567660000000004</v>
      </c>
      <c r="I12" s="31">
        <f t="shared" si="1"/>
        <v>47.363039999999998</v>
      </c>
      <c r="J12" s="31">
        <f t="shared" si="1"/>
        <v>45.158420000000007</v>
      </c>
      <c r="K12" s="31">
        <f t="shared" si="1"/>
        <v>42.953800000000001</v>
      </c>
      <c r="L12" s="31">
        <f t="shared" si="1"/>
        <v>40.749180000000003</v>
      </c>
      <c r="M12" s="31">
        <f t="shared" si="1"/>
        <v>38.544560000000004</v>
      </c>
      <c r="N12" s="31">
        <f t="shared" si="1"/>
        <v>36.339939999999999</v>
      </c>
      <c r="O12" s="31">
        <f t="shared" si="1"/>
        <v>34.135320000000007</v>
      </c>
      <c r="P12" s="31">
        <f t="shared" si="1"/>
        <v>31.930700000000002</v>
      </c>
      <c r="Q12" s="31">
        <f t="shared" si="1"/>
        <v>29.726080000000003</v>
      </c>
      <c r="R12" s="31">
        <f t="shared" si="1"/>
        <v>27.521460000000005</v>
      </c>
      <c r="S12" s="31">
        <f t="shared" si="1"/>
        <v>25.316840000000006</v>
      </c>
      <c r="T12" s="31">
        <f t="shared" si="1"/>
        <v>23.112220000000001</v>
      </c>
      <c r="U12" s="31">
        <f t="shared" si="1"/>
        <v>20.907600000000002</v>
      </c>
      <c r="V12" s="31">
        <f t="shared" si="1"/>
        <v>18.702980000000004</v>
      </c>
      <c r="W12" s="31">
        <f t="shared" si="1"/>
        <v>16.498360000000005</v>
      </c>
      <c r="X12" s="31">
        <f t="shared" si="1"/>
        <v>14.293740000000007</v>
      </c>
      <c r="Y12" s="31">
        <f t="shared" si="1"/>
        <v>12.089120000000008</v>
      </c>
      <c r="Z12" s="31">
        <f t="shared" si="1"/>
        <v>9.8845000000000027</v>
      </c>
      <c r="AA12" s="31">
        <f t="shared" si="1"/>
        <v>7.6798800000000043</v>
      </c>
      <c r="AB12" s="31">
        <f t="shared" si="1"/>
        <v>5.4752600000000058</v>
      </c>
      <c r="AC12" s="31">
        <f t="shared" si="1"/>
        <v>3.2706400000000073</v>
      </c>
      <c r="AD12" s="31">
        <f t="shared" si="1"/>
        <v>1.0660200000000088</v>
      </c>
      <c r="AE12" s="31">
        <f t="shared" si="1"/>
        <v>-1.1385999999999967</v>
      </c>
      <c r="AF12" s="31">
        <f t="shared" si="1"/>
        <v>-3.3432199999999881</v>
      </c>
      <c r="AG12" s="31">
        <f t="shared" si="1"/>
        <v>-5.5478399999999937</v>
      </c>
      <c r="AH12" s="31">
        <f t="shared" si="1"/>
        <v>-7.7524599999999992</v>
      </c>
      <c r="AI12" s="31">
        <f t="shared" si="1"/>
        <v>-9.9570799999999906</v>
      </c>
      <c r="AJ12" s="31">
        <f t="shared" si="1"/>
        <v>-12.161699999999996</v>
      </c>
      <c r="AK12" s="31">
        <f t="shared" si="1"/>
        <v>-14.366319999999988</v>
      </c>
    </row>
    <row r="13" spans="1:37">
      <c r="B13" s="850" t="s">
        <v>129</v>
      </c>
      <c r="C13" s="851"/>
      <c r="D13" s="851"/>
      <c r="E13" s="851"/>
      <c r="F13" s="851"/>
      <c r="G13" s="851"/>
      <c r="H13" s="851"/>
      <c r="I13" s="851"/>
      <c r="J13" s="851"/>
      <c r="K13" s="852"/>
    </row>
    <row r="14" spans="1:37">
      <c r="G14" s="822" t="s">
        <v>128</v>
      </c>
      <c r="H14" s="823"/>
      <c r="I14" s="823"/>
      <c r="J14" s="823"/>
      <c r="K14" s="823"/>
      <c r="L14" s="823"/>
      <c r="M14" s="823"/>
      <c r="N14" s="823"/>
      <c r="O14" s="823"/>
      <c r="P14" s="823"/>
      <c r="Q14" s="823"/>
      <c r="R14" s="823"/>
      <c r="S14" s="824"/>
    </row>
    <row r="15" spans="1:37">
      <c r="L15" s="825" t="s">
        <v>127</v>
      </c>
      <c r="M15" s="826"/>
      <c r="N15" s="826"/>
      <c r="O15" s="826"/>
      <c r="P15" s="826"/>
      <c r="Q15" s="826"/>
      <c r="R15" s="826"/>
      <c r="S15" s="827"/>
    </row>
    <row r="16" spans="1:37">
      <c r="T16" s="828" t="s">
        <v>126</v>
      </c>
      <c r="U16" s="829"/>
      <c r="V16" s="829"/>
      <c r="W16" s="829"/>
      <c r="X16" s="829"/>
      <c r="Y16" s="829"/>
      <c r="Z16" s="829"/>
      <c r="AA16" s="829"/>
      <c r="AB16" s="829"/>
      <c r="AC16" s="829"/>
      <c r="AD16" s="829"/>
    </row>
    <row r="17" spans="24:37">
      <c r="X17" s="30" t="s">
        <v>125</v>
      </c>
      <c r="Y17" s="29"/>
      <c r="Z17" s="29"/>
      <c r="AA17" s="29"/>
      <c r="AB17" s="29"/>
      <c r="AC17" s="29"/>
      <c r="AD17" s="28"/>
    </row>
    <row r="18" spans="24:37">
      <c r="AE18" s="830" t="s">
        <v>124</v>
      </c>
      <c r="AF18" s="831"/>
      <c r="AG18" s="831"/>
      <c r="AH18" s="831"/>
      <c r="AI18" s="831"/>
      <c r="AJ18" s="831"/>
      <c r="AK18" s="832"/>
    </row>
  </sheetData>
  <mergeCells count="10">
    <mergeCell ref="G14:S14"/>
    <mergeCell ref="L15:S15"/>
    <mergeCell ref="T16:AD16"/>
    <mergeCell ref="AE18:AK18"/>
    <mergeCell ref="W6:AK6"/>
    <mergeCell ref="P7:Z7"/>
    <mergeCell ref="J8:S8"/>
    <mergeCell ref="B9:K9"/>
    <mergeCell ref="L9:N9"/>
    <mergeCell ref="B13:K13"/>
  </mergeCells>
  <phoneticPr fontId="104" type="noConversion"/>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14EEE92EF202B41A8BE4CAD2A1553BB" ma:contentTypeVersion="13" ma:contentTypeDescription="Create a new document." ma:contentTypeScope="" ma:versionID="576d3b18296cb27acc289c9f5cfdfa46">
  <xsd:schema xmlns:xsd="http://www.w3.org/2001/XMLSchema" xmlns:xs="http://www.w3.org/2001/XMLSchema" xmlns:p="http://schemas.microsoft.com/office/2006/metadata/properties" xmlns:ns2="6109e6f0-1ee7-44d2-b8af-268849043f51" xmlns:ns3="5c08340e-5406-4af0-89b4-0241a66b943a" targetNamespace="http://schemas.microsoft.com/office/2006/metadata/properties" ma:root="true" ma:fieldsID="f5a4f59e203ba858f4fa5f5c3e903199" ns2:_="" ns3:_="">
    <xsd:import namespace="6109e6f0-1ee7-44d2-b8af-268849043f51"/>
    <xsd:import namespace="5c08340e-5406-4af0-89b4-0241a66b943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2:MediaServiceOCR"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Date_x0020_and_x0020_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09e6f0-1ee7-44d2-b8af-268849043f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Date_x0020_and_x0020_Time" ma:index="20" nillable="true" ma:displayName="Date and Time" ma:format="DateOnly" ma:internalName="Date_x0020_and_x0020_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c08340e-5406-4af0-89b4-0241a66b943a"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_x0020_and_x0020_Time xmlns="6109e6f0-1ee7-44d2-b8af-268849043f51" xsi:nil="true"/>
  </documentManagement>
</p:properties>
</file>

<file path=customXml/itemProps1.xml><?xml version="1.0" encoding="utf-8"?>
<ds:datastoreItem xmlns:ds="http://schemas.openxmlformats.org/officeDocument/2006/customXml" ds:itemID="{F9E25374-864A-4F14-B566-40A40056E5A6}">
  <ds:schemaRefs>
    <ds:schemaRef ds:uri="http://schemas.microsoft.com/sharepoint/v3/contenttype/forms"/>
  </ds:schemaRefs>
</ds:datastoreItem>
</file>

<file path=customXml/itemProps2.xml><?xml version="1.0" encoding="utf-8"?>
<ds:datastoreItem xmlns:ds="http://schemas.openxmlformats.org/officeDocument/2006/customXml" ds:itemID="{5352FC14-D5F9-43F7-AFB0-EA118C220D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09e6f0-1ee7-44d2-b8af-268849043f51"/>
    <ds:schemaRef ds:uri="5c08340e-5406-4af0-89b4-0241a66b94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4701B3-F6F8-4BC1-BE69-6351E2A75E5A}">
  <ds:schemaRefs>
    <ds:schemaRef ds:uri="6109e6f0-1ee7-44d2-b8af-268849043f51"/>
    <ds:schemaRef ds:uri="http://schemas.openxmlformats.org/package/2006/metadata/core-properties"/>
    <ds:schemaRef ds:uri="http://schemas.microsoft.com/office/infopath/2007/PartnerControls"/>
    <ds:schemaRef ds:uri="5c08340e-5406-4af0-89b4-0241a66b943a"/>
    <ds:schemaRef ds:uri="http://schemas.microsoft.com/office/2006/documentManagement/types"/>
    <ds:schemaRef ds:uri="http://schemas.microsoft.com/office/2006/metadata/properties"/>
    <ds:schemaRef ds:uri="http://purl.org/dc/dcmitype/"/>
    <ds:schemaRef ds:uri="http://purl.org/dc/term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9</vt:i4>
      </vt:variant>
      <vt:variant>
        <vt:lpstr>Named Ranges</vt:lpstr>
      </vt:variant>
      <vt:variant>
        <vt:i4>1</vt:i4>
      </vt:variant>
    </vt:vector>
  </HeadingPairs>
  <TitlesOfParts>
    <vt:vector size="32" baseType="lpstr">
      <vt:lpstr>Big Infant Anthro</vt:lpstr>
      <vt:lpstr>GPS Anthro Tool</vt:lpstr>
      <vt:lpstr>Solution</vt:lpstr>
      <vt:lpstr>Easy Buttons</vt:lpstr>
      <vt:lpstr>GPS-CRS-Source</vt:lpstr>
      <vt:lpstr>Reigon Map</vt:lpstr>
      <vt:lpstr>Applicability Tables</vt:lpstr>
      <vt:lpstr>Biacromal Conversion</vt:lpstr>
      <vt:lpstr>R129 Annex 18 Data</vt:lpstr>
      <vt:lpstr>US Child Data</vt:lpstr>
      <vt:lpstr>Head Anthro</vt:lpstr>
      <vt:lpstr>little Lambs Data</vt:lpstr>
      <vt:lpstr>EU Child Data</vt:lpstr>
      <vt:lpstr>China Child Data</vt:lpstr>
      <vt:lpstr>Big Data</vt:lpstr>
      <vt:lpstr>CFR</vt:lpstr>
      <vt:lpstr>Parking Lot</vt:lpstr>
      <vt:lpstr>GPS Input to NPD Process</vt:lpstr>
      <vt:lpstr>NPD Process Deliverables</vt:lpstr>
      <vt:lpstr>GPS Line Counts</vt:lpstr>
      <vt:lpstr>Dummies</vt:lpstr>
      <vt:lpstr>US vs Euro Group</vt:lpstr>
      <vt:lpstr>Chart w-ATDs</vt:lpstr>
      <vt:lpstr>Output Map</vt:lpstr>
      <vt:lpstr>Lambs Chart</vt:lpstr>
      <vt:lpstr>Infant</vt:lpstr>
      <vt:lpstr>Infant (2)</vt:lpstr>
      <vt:lpstr>Infant (3)</vt:lpstr>
      <vt:lpstr>Infant (4)</vt:lpstr>
      <vt:lpstr>Infant (5)</vt:lpstr>
      <vt:lpstr>Anthro Lambs</vt:lpstr>
      <vt:lpstr>'GPS Anthro Tool'!Print_Area</vt:lpstr>
    </vt:vector>
  </TitlesOfParts>
  <Company>Dorel Juvenile Group USA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Steve Oltman</dc:creator>
  <cp:keywords>Anthropometry</cp:keywords>
  <dc:description>Created From Public Available Data</dc:description>
  <cp:lastModifiedBy>ZM-TDL063</cp:lastModifiedBy>
  <cp:lastPrinted>2018-12-03T20:40:32Z</cp:lastPrinted>
  <dcterms:created xsi:type="dcterms:W3CDTF">2018-09-14T18:30:54Z</dcterms:created>
  <dcterms:modified xsi:type="dcterms:W3CDTF">2025-06-24T00:29:44Z</dcterms:modified>
  <cp:category>Anthropometry</cp:category>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0x010100514EEE92EF202B41A8BE4CAD2A1553BB</vt:lpwstr>
  </property>
  <property fmtid="{D5CDD505-2E9C-101B-9397-08002B2CF9AE}" pid="3" name="AuthorIds_UIVersion_512">
    <vt:lpwstr>15</vt:lpwstr>
  </property>
</Properties>
</file>