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" sheetId="1" state="visible" r:id="rId2"/>
    <sheet name="2020" sheetId="2" state="visible" r:id="rId3"/>
    <sheet name="2019" sheetId="3" state="visible" r:id="rId4"/>
    <sheet name="2018" sheetId="4" state="visible" r:id="rId5"/>
    <sheet name="2017" sheetId="5" state="visible" r:id="rId6"/>
    <sheet name="Alugue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<sst xmlns="http://schemas.openxmlformats.org/spreadsheetml/2006/main" count="435" uniqueCount="185">
  <si>
    <t xml:space="preserve">AWR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</si>
  <si>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</si>
  <si>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</si>
  <si>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</si>
  <si>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</si>
  <si>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</si>
  <si>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</si>
  <si>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</si>
  <si>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</si>
  <si>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</si>
  <si>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</si>
  <si>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</si>
  <si>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</si>
  <si>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renda</t>
  </si>
  <si>
    <t xml:space="preserve">salario/seguro</t>
  </si>
  <si>
    <t xml:space="preserve">13º/férias/rv/investimentos</t>
  </si>
  <si>
    <t xml:space="preserve">inss</t>
  </si>
  <si>
    <t xml:space="preserve">outros/indenizações</t>
  </si>
  <si>
    <t xml:space="preserve">despesas</t>
  </si>
  <si>
    <t xml:space="preserve">aluguel</t>
  </si>
  <si>
    <t xml:space="preserve">condominio</t>
  </si>
  <si>
    <t xml:space="preserve">agua / iptu / bombeiro</t>
  </si>
  <si>
    <t xml:space="preserve">luz</t>
  </si>
  <si>
    <t xml:space="preserve">internet</t>
  </si>
  <si>
    <t xml:space="preserve">fixo</t>
  </si>
  <si>
    <t xml:space="preserve">celular / tablet</t>
  </si>
  <si>
    <t xml:space="preserve">credicard / conectcar</t>
  </si>
  <si>
    <t xml:space="preserve">nu / seguro / icloud / amazon</t>
  </si>
  <si>
    <t xml:space="preserve">seguro / empréstimo</t>
  </si>
  <si>
    <t xml:space="preserve">crea / art / honorário</t>
  </si>
  <si>
    <t xml:space="preserve">cotas / fapi / corretora</t>
  </si>
  <si>
    <t xml:space="preserve">tx bb</t>
  </si>
  <si>
    <t xml:space="preserve">saque</t>
  </si>
  <si>
    <t xml:space="preserve">outros</t>
  </si>
  <si>
    <t xml:space="preserve">Saldo mês CC / Nubank</t>
  </si>
  <si>
    <t xml:space="preserve">CDB</t>
  </si>
  <si>
    <t xml:space="preserve">Saldo anterior</t>
  </si>
  <si>
    <t xml:space="preserve">Yield</t>
  </si>
  <si>
    <t xml:space="preserve">funsejem</t>
  </si>
  <si>
    <t xml:space="preserve">saldo anterior</t>
  </si>
  <si>
    <t xml:space="preserve">FGTS</t>
  </si>
  <si>
    <t xml:space="preserve">credcrea</t>
  </si>
  <si>
    <t xml:space="preserve">POA x BC x POA</t>
  </si>
  <si>
    <t xml:space="preserve">distancia km</t>
  </si>
  <si>
    <t xml:space="preserve">autonomia km/l</t>
  </si>
  <si>
    <t xml:space="preserve">gasolina R$</t>
  </si>
  <si>
    <t xml:space="preserve">trabalho</t>
  </si>
  <si>
    <t xml:space="preserve">abastecimento</t>
  </si>
  <si>
    <t xml:space="preserve">rotina</t>
  </si>
  <si>
    <t xml:space="preserve">pedagio ida</t>
  </si>
  <si>
    <t xml:space="preserve">sanca</t>
  </si>
  <si>
    <t xml:space="preserve">pedagio volta</t>
  </si>
  <si>
    <t xml:space="preserve">consumo médio</t>
  </si>
  <si>
    <t xml:space="preserve">depreciação</t>
  </si>
  <si>
    <t xml:space="preserve">total</t>
  </si>
  <si>
    <t xml:space="preserve">custo médio</t>
  </si>
  <si>
    <t xml:space="preserve">manutenção 10000km</t>
  </si>
  <si>
    <t xml:space="preserve">mensal</t>
  </si>
  <si>
    <t xml:space="preserve">depreciação / km</t>
  </si>
  <si>
    <t xml:space="preserve">Meses+13</t>
  </si>
  <si>
    <t xml:space="preserve">Folha</t>
  </si>
  <si>
    <t xml:space="preserve">Anual</t>
  </si>
  <si>
    <t xml:space="preserve">Engenheiro</t>
  </si>
  <si>
    <t xml:space="preserve">Diferença</t>
  </si>
  <si>
    <t xml:space="preserve">13o</t>
  </si>
  <si>
    <t xml:space="preserve">1/3 Férias</t>
  </si>
  <si>
    <t xml:space="preserve">INSS</t>
  </si>
  <si>
    <t xml:space="preserve">Indenização</t>
  </si>
  <si>
    <t xml:space="preserve">salario 2014</t>
  </si>
  <si>
    <t xml:space="preserve">salario 2015</t>
  </si>
  <si>
    <t xml:space="preserve">salario 2016</t>
  </si>
  <si>
    <t xml:space="preserve">salario 2017</t>
  </si>
  <si>
    <t xml:space="preserve">salario 2018</t>
  </si>
  <si>
    <t xml:space="preserve">salario 2019</t>
  </si>
  <si>
    <t xml:space="preserve">salario 2020</t>
  </si>
  <si>
    <t xml:space="preserve">salario 2021</t>
  </si>
  <si>
    <t xml:space="preserve">Total</t>
  </si>
  <si>
    <t xml:space="preserve">13º/férias/rv</t>
  </si>
  <si>
    <t xml:space="preserve">ctao angeloni / renner</t>
  </si>
  <si>
    <t xml:space="preserve">ctao nu / prime / apple</t>
  </si>
  <si>
    <t xml:space="preserve">ctao credicard / conectcar</t>
  </si>
  <si>
    <t xml:space="preserve">carro / ipva / revisão</t>
  </si>
  <si>
    <t xml:space="preserve">Mycap</t>
  </si>
  <si>
    <t xml:space="preserve">2018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</si>
  <si>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</si>
  <si>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</si>
  <si>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</si>
  <si>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</si>
  <si>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</si>
  <si>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</si>
  <si>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</si>
  <si>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</si>
  <si>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</si>
  <si>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</si>
  <si>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</si>
  <si>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</si>
  <si>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salario</t>
  </si>
  <si>
    <t xml:space="preserve">irpf</t>
  </si>
  <si>
    <t xml:space="preserve">liquido</t>
  </si>
  <si>
    <t xml:space="preserve">locacao</t>
  </si>
  <si>
    <t xml:space="preserve">deposito</t>
  </si>
  <si>
    <t xml:space="preserve">nubank</t>
  </si>
  <si>
    <t xml:space="preserve">BB</t>
  </si>
  <si>
    <t xml:space="preserve">iptu+seg incendio</t>
  </si>
  <si>
    <t xml:space="preserve">vivo controle</t>
  </si>
  <si>
    <t xml:space="preserve">trajeto</t>
  </si>
  <si>
    <t xml:space="preserve">km</t>
  </si>
  <si>
    <t xml:space="preserve">vivo easy</t>
  </si>
  <si>
    <t xml:space="preserve">netflix</t>
  </si>
  <si>
    <t xml:space="preserve">ctao angeloni</t>
  </si>
  <si>
    <t xml:space="preserve">autonomia</t>
  </si>
  <si>
    <t xml:space="preserve">km/l</t>
  </si>
  <si>
    <t xml:space="preserve">ctao nubank</t>
  </si>
  <si>
    <t xml:space="preserve">gasolina</t>
  </si>
  <si>
    <t xml:space="preserve">l</t>
  </si>
  <si>
    <t xml:space="preserve">ctao credicard</t>
  </si>
  <si>
    <t xml:space="preserve">R$</t>
  </si>
  <si>
    <t xml:space="preserve">carro/ipva/seg/multas</t>
  </si>
  <si>
    <t xml:space="preserve">R$/km</t>
  </si>
  <si>
    <t xml:space="preserve">conectcar</t>
  </si>
  <si>
    <t xml:space="preserve">emp crea (pai)</t>
  </si>
  <si>
    <t xml:space="preserve">distrato</t>
  </si>
  <si>
    <t xml:space="preserve">manutenção</t>
  </si>
  <si>
    <t xml:space="preserve">pedagio</t>
  </si>
  <si>
    <t xml:space="preserve">tx credcrea</t>
  </si>
  <si>
    <t xml:space="preserve">trecho</t>
  </si>
  <si>
    <t xml:space="preserve">saldo mês</t>
  </si>
  <si>
    <t xml:space="preserve">saldo ACC</t>
  </si>
  <si>
    <t xml:space="preserve">RF jan/19</t>
  </si>
  <si>
    <t xml:space="preserve">modalmais</t>
  </si>
  <si>
    <t xml:space="preserve">iptu</t>
  </si>
  <si>
    <t xml:space="preserve">celular</t>
  </si>
  <si>
    <t xml:space="preserve">curso</t>
  </si>
  <si>
    <t xml:space="preserve">pai</t>
  </si>
  <si>
    <t xml:space="preserve">-</t>
  </si>
  <si>
    <t xml:space="preserve">telefone</t>
  </si>
  <si>
    <t xml:space="preserve">plano odonto</t>
  </si>
  <si>
    <t xml:space="preserve">karine</t>
  </si>
  <si>
    <t xml:space="preserve">Data</t>
  </si>
  <si>
    <t xml:space="preserve">Histórico</t>
  </si>
  <si>
    <t xml:space="preserve">Documento</t>
  </si>
  <si>
    <t xml:space="preserve">Contrato</t>
  </si>
  <si>
    <t xml:space="preserve">D/C</t>
  </si>
  <si>
    <t xml:space="preserve">Valor</t>
  </si>
  <si>
    <t xml:space="preserve">Saldo</t>
  </si>
  <si>
    <t xml:space="preserve">Doc.</t>
  </si>
  <si>
    <t xml:space="preserve">Dt.Vencto</t>
  </si>
  <si>
    <t xml:space="preserve">Dt. Car</t>
  </si>
  <si>
    <t xml:space="preserve">Liberado</t>
  </si>
  <si>
    <t xml:space="preserve">Taxa</t>
  </si>
  <si>
    <t xml:space="preserve">SALDO ANTERIOR</t>
  </si>
  <si>
    <t xml:space="preserve">RDC0030</t>
  </si>
  <si>
    <t xml:space="preserve">JUROS S/ CAP</t>
  </si>
  <si>
    <t xml:space="preserve">C</t>
  </si>
  <si>
    <t xml:space="preserve">RDC0060</t>
  </si>
  <si>
    <t xml:space="preserve">RDC0181</t>
  </si>
  <si>
    <t xml:space="preserve">Janeiro</t>
  </si>
  <si>
    <t xml:space="preserve">Fevereiro</t>
  </si>
  <si>
    <t xml:space="preserve">Março</t>
  </si>
  <si>
    <t xml:space="preserve">Saldo disponível para resgate</t>
  </si>
  <si>
    <t xml:space="preserve">Abril</t>
  </si>
  <si>
    <t xml:space="preserve">Maio</t>
  </si>
  <si>
    <t xml:space="preserve">Junho</t>
  </si>
  <si>
    <t xml:space="preserve">Carência</t>
  </si>
  <si>
    <t xml:space="preserve">(%CDI)</t>
  </si>
  <si>
    <t xml:space="preserve">CDI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</si>
  <si>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</si>
  <si>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</si>
  <si>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</si>
  <si>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</si>
  <si>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</si>
  <si>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</si>
  <si>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Custeio</t>
  </si>
  <si>
    <t xml:space="preserve">Ano</t>
  </si>
  <si>
    <t xml:space="preserve">Deco</t>
  </si>
  <si>
    <t xml:space="preserve">IPTU</t>
  </si>
  <si>
    <t xml:space="preserve">Tx limpeza</t>
  </si>
  <si>
    <t xml:space="preserve">Condominio</t>
  </si>
  <si>
    <t xml:space="preserve">Luz</t>
  </si>
  <si>
    <t xml:space="preserve">Internet</t>
  </si>
  <si>
    <t xml:space="preserve">Aluguel Palmas</t>
  </si>
  <si>
    <t xml:space="preserve">dias</t>
  </si>
  <si>
    <t xml:space="preserve">custeio</t>
  </si>
  <si>
    <t xml:space="preserve">imobiliaria</t>
  </si>
  <si>
    <t xml:space="preserve">diaria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</si>
</sst>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&quot;R$ &quot;* #,##0.00_-;&quot;-R$ &quot;* #,##0.00_-;_-&quot;R$ &quot;* \-??_-;_-@_-"/>
    <numFmt numFmtId="166" formatCode="_-* #,##0.00_-;\-* #,##0.00_-;_-* \-??_-;_-@_-"/>
    <numFmt numFmtId="167" formatCode="General"/>
    <numFmt numFmtId="168" formatCode="_-* #,##0_-;\-* #,##0_-;_-* \-??_-;_-@_-"/>
    <numFmt numFmtId="169" formatCode="#,##0.00"/>
    <numFmt numFmtId="170" formatCode="0.00"/>
    <numFmt numFmtId="171" formatCode="0.000"/>
    <numFmt numFmtId="172" formatCode="@"/>
    <numFmt numFmtId="173" formatCode="_-* #,##0.000_-;\-* #,##0.000_-;_-* \-??_-;_-@_-"/>
    <numFmt numFmtId="174" formatCode="d/m/yyyy"/>
    <numFmt numFmtId="175" formatCode="0%"/>
    <numFmt numFmtId="176" formatCode="0.00%"/>
    <numFmt numFmtId="177" formatCode="#,##0"/>
    <numFmt numFmtId="178" formatCode="0.0000%"/>
    <numFmt numFmtId="179" formatCode="_-* #,##0.0000_-;\-* #,##0.0000_-;_-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FFFF"/>
      <name val="Courier New"/>
      <family val="3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44546A"/>
        <bgColor rgb="FF333399"/>
      </patternFill>
    </fill>
    <fill>
      <patternFill patternType="solid">
        <fgColor rgb="FFD0CECE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BDD7EE"/>
        <bgColor rgb="FFD0CECE"/>
      </patternFill>
    </fill>
    <fill>
      <patternFill patternType="solid">
        <fgColor rgb="FFDEEBF7"/>
        <bgColor rgb="FFDAE3F3"/>
      </patternFill>
    </fill>
    <fill>
      <patternFill patternType="solid">
        <fgColor rgb="FFC5E0B4"/>
        <bgColor rgb="FFD0CE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C5E0B4"/>
      <rgbColor rgb="FFE7E6E6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I7" activeCellId="0" sqref="I7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24.86"/>
    <col collapsed="false" customWidth="true" hidden="true" outlineLevel="0" max="3" min="2" style="0" width="13.43"/>
    <col collapsed="false" customWidth="true" hidden="true" outlineLevel="0" max="4" min="4" style="0" width="15.15"/>
    <col collapsed="false" customWidth="true" hidden="true" outlineLevel="0" max="7" min="5" style="0" width="13.43"/>
    <col collapsed="false" customWidth="true" hidden="false" outlineLevel="0" max="9" min="8" style="0" width="13.43"/>
    <col collapsed="false" customWidth="true" hidden="false" outlineLevel="0" max="19" min="10" style="0" width="14.57"/>
  </cols>
  <sheetData>
    <row r="1" s="1" customFormat="true" ht="27" hidden="false" customHeight="false" outlineLevel="0" collapsed="false">
      <c r="A1" s="1" t="s">
        <v>0</v>
      </c>
      <c r="B1" s="2" t="n">
        <v>2020</v>
      </c>
      <c r="C1" s="2"/>
      <c r="D1" s="2"/>
      <c r="E1" s="2"/>
      <c r="F1" s="2"/>
      <c r="G1" s="2"/>
      <c r="H1" s="2" t="n">
        <v>2021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1" customFormat="true" ht="27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</row>
    <row r="3" s="3" customFormat="true" ht="3" hidden="false" customHeight="true" outlineLevel="0" collapsed="false"/>
    <row r="4" s="4" customFormat="true" ht="12.75" hidden="false" customHeight="false" outlineLevel="0" collapsed="false">
      <c r="A4" s="4" t="s">
        <v>13</v>
      </c>
      <c r="B4" s="5" t="n">
        <f aca="false">SUM(B5:B8)</f>
        <v>4616.94</v>
      </c>
      <c r="C4" s="5" t="n">
        <f aca="false">SUM(C5:C8)</f>
        <v>4616.94</v>
      </c>
      <c r="D4" s="5" t="n">
        <f aca="false">SUM(D5:D8)</f>
        <v>4616.94</v>
      </c>
      <c r="E4" s="5" t="n">
        <f aca="false">SUM(E5:E8)</f>
        <v>4616.94</v>
      </c>
      <c r="F4" s="5" t="n">
        <f aca="false">SUM(F5:F8)</f>
        <v>6455.94</v>
      </c>
      <c r="G4" s="5" t="n">
        <f aca="false">SUM(G5:G8)</f>
        <v>6455.94</v>
      </c>
      <c r="H4" s="5" t="n">
        <f aca="false">SUM(H5:H8)</f>
        <v>4616.94</v>
      </c>
      <c r="I4" s="5" t="n">
        <f aca="false">SUM(I5:I8)</f>
        <v>19657.6</v>
      </c>
      <c r="J4" s="5" t="n">
        <f aca="false">SUM(J5:J8)</f>
        <v>5767.17</v>
      </c>
      <c r="K4" s="5" t="n">
        <f aca="false">SUM(K5:K8)</f>
        <v>11867.17</v>
      </c>
      <c r="L4" s="5" t="n">
        <f aca="false">SUM(L5:L8)</f>
        <v>5767.17</v>
      </c>
      <c r="M4" s="5" t="n">
        <f aca="false">SUM(M5:M8)</f>
        <v>5767.17</v>
      </c>
      <c r="N4" s="5" t="n">
        <f aca="false">SUM(N5:N8)</f>
        <v>5767.17</v>
      </c>
      <c r="O4" s="5" t="n">
        <f aca="false">SUM(O5:O8)</f>
        <v>6262.225</v>
      </c>
      <c r="P4" s="5" t="n">
        <f aca="false">SUM(P5:P8)</f>
        <v>4668.11</v>
      </c>
      <c r="Q4" s="5" t="n">
        <f aca="false">SUM(Q5:Q8)</f>
        <v>4668.11</v>
      </c>
      <c r="R4" s="5" t="n">
        <f aca="false">SUM(R5:R8)</f>
        <v>6507.11</v>
      </c>
      <c r="S4" s="5" t="n">
        <f aca="false">SUM(S5:S8)</f>
        <v>7002.165</v>
      </c>
    </row>
    <row r="5" s="6" customFormat="true" ht="12.75" hidden="false" customHeight="false" outlineLevel="0" collapsed="false">
      <c r="A5" s="6" t="s">
        <v>14</v>
      </c>
      <c r="B5" s="6" t="n">
        <f aca="false">1852+1826</f>
        <v>3678</v>
      </c>
      <c r="C5" s="6" t="n">
        <f aca="false">1852+1826</f>
        <v>3678</v>
      </c>
      <c r="D5" s="6" t="n">
        <f aca="false">1852+1826</f>
        <v>3678</v>
      </c>
      <c r="E5" s="6" t="n">
        <f aca="false">1852+1826</f>
        <v>3678</v>
      </c>
      <c r="F5" s="6" t="n">
        <f aca="false">1852+1826</f>
        <v>3678</v>
      </c>
      <c r="G5" s="6" t="n">
        <f aca="false">1852+1826</f>
        <v>3678</v>
      </c>
      <c r="H5" s="6" t="n">
        <f aca="false">1852+1826</f>
        <v>3678</v>
      </c>
      <c r="I5" s="6" t="n">
        <f aca="false">1852+1826</f>
        <v>3678</v>
      </c>
      <c r="J5" s="6" t="n">
        <f aca="false">1852+1826</f>
        <v>3678</v>
      </c>
      <c r="K5" s="6" t="n">
        <f aca="false">1852+1826</f>
        <v>3678</v>
      </c>
      <c r="L5" s="6" t="n">
        <f aca="false">1852+1826</f>
        <v>3678</v>
      </c>
      <c r="M5" s="6" t="n">
        <f aca="false">1852+1826</f>
        <v>3678</v>
      </c>
      <c r="N5" s="6" t="n">
        <f aca="false">1852+1826</f>
        <v>3678</v>
      </c>
      <c r="O5" s="6" t="n">
        <f aca="false">1852+1826</f>
        <v>3678</v>
      </c>
      <c r="P5" s="6" t="n">
        <f aca="false">1852+1826</f>
        <v>3678</v>
      </c>
      <c r="Q5" s="6" t="n">
        <f aca="false">1852+1826</f>
        <v>3678</v>
      </c>
      <c r="R5" s="6" t="n">
        <f aca="false">(1852+1826)</f>
        <v>3678</v>
      </c>
      <c r="S5" s="6" t="n">
        <f aca="false">(1852+1826)</f>
        <v>3678</v>
      </c>
    </row>
    <row r="6" s="6" customFormat="true" ht="12.75" hidden="false" customHeight="false" outlineLevel="0" collapsed="false">
      <c r="A6" s="6" t="s">
        <v>15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f aca="false">F5/2</f>
        <v>1839</v>
      </c>
      <c r="G6" s="6" t="n">
        <f aca="false">G5/2</f>
        <v>1839</v>
      </c>
      <c r="H6" s="6" t="n">
        <v>0</v>
      </c>
      <c r="I6" s="6" t="n">
        <v>13890.43</v>
      </c>
      <c r="J6" s="6" t="n">
        <v>0</v>
      </c>
      <c r="K6" s="6" t="n">
        <v>6100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f aca="false">R5/2</f>
        <v>1839</v>
      </c>
      <c r="S6" s="6" t="n">
        <f aca="false">S5/2</f>
        <v>1839</v>
      </c>
    </row>
    <row r="7" s="6" customFormat="true" ht="12.75" hidden="false" customHeight="false" outlineLevel="0" collapsed="false">
      <c r="A7" s="6" t="s">
        <v>16</v>
      </c>
      <c r="B7" s="6" t="n">
        <v>938.94</v>
      </c>
      <c r="C7" s="6" t="n">
        <v>938.94</v>
      </c>
      <c r="D7" s="6" t="n">
        <v>938.94</v>
      </c>
      <c r="E7" s="6" t="n">
        <v>938.94</v>
      </c>
      <c r="F7" s="6" t="n">
        <v>938.94</v>
      </c>
      <c r="G7" s="6" t="n">
        <v>938.94</v>
      </c>
      <c r="H7" s="6" t="n">
        <v>938.94</v>
      </c>
      <c r="I7" s="6" t="n">
        <v>990.11</v>
      </c>
      <c r="J7" s="6" t="n">
        <f aca="false">I7</f>
        <v>990.11</v>
      </c>
      <c r="K7" s="6" t="n">
        <f aca="false">J7</f>
        <v>990.11</v>
      </c>
      <c r="L7" s="6" t="n">
        <f aca="false">K7</f>
        <v>990.11</v>
      </c>
      <c r="M7" s="6" t="n">
        <f aca="false">L7</f>
        <v>990.11</v>
      </c>
      <c r="N7" s="6" t="n">
        <f aca="false">M7</f>
        <v>990.11</v>
      </c>
      <c r="O7" s="6" t="n">
        <f aca="false">N7*1.5</f>
        <v>1485.165</v>
      </c>
      <c r="P7" s="6" t="n">
        <v>990.11</v>
      </c>
      <c r="Q7" s="6" t="n">
        <v>990.11</v>
      </c>
      <c r="R7" s="6" t="n">
        <v>990.11</v>
      </c>
      <c r="S7" s="6" t="n">
        <f aca="false">R7*1.5</f>
        <v>1485.165</v>
      </c>
    </row>
    <row r="8" s="6" customFormat="true" ht="12.8" hidden="false" customHeight="false" outlineLevel="0" collapsed="false">
      <c r="A8" s="6" t="s">
        <v>17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I8" s="6" t="n">
        <v>1099.06</v>
      </c>
      <c r="J8" s="6" t="n">
        <v>1099.06</v>
      </c>
      <c r="K8" s="6" t="n">
        <v>1099.06</v>
      </c>
      <c r="L8" s="6" t="n">
        <v>1099.06</v>
      </c>
      <c r="M8" s="6" t="n">
        <v>1099.06</v>
      </c>
      <c r="N8" s="6" t="n">
        <v>1099.06</v>
      </c>
      <c r="O8" s="6" t="n">
        <v>1099.06</v>
      </c>
    </row>
    <row r="9" s="3" customFormat="true" ht="3" hidden="false" customHeight="true" outlineLevel="0" collapsed="false">
      <c r="B9" s="7"/>
      <c r="C9" s="7"/>
      <c r="D9" s="7"/>
      <c r="E9" s="7"/>
      <c r="F9" s="7"/>
      <c r="G9" s="7"/>
    </row>
    <row r="10" s="4" customFormat="true" ht="12.75" hidden="false" customHeight="false" outlineLevel="0" collapsed="false">
      <c r="A10" s="4" t="s">
        <v>18</v>
      </c>
      <c r="B10" s="5" t="e">
        <f aca="false">SUM(B11:B25)</f>
        <v>#REF!</v>
      </c>
      <c r="C10" s="5" t="e">
        <f aca="false">SUM(C11:C25)</f>
        <v>#REF!</v>
      </c>
      <c r="D10" s="5" t="e">
        <f aca="false">SUM(D11:D25)</f>
        <v>#REF!</v>
      </c>
      <c r="E10" s="5" t="e">
        <f aca="false">SUM(E11:E25)</f>
        <v>#REF!</v>
      </c>
      <c r="F10" s="5" t="e">
        <f aca="false">SUM(F11:F25)</f>
        <v>#REF!</v>
      </c>
      <c r="G10" s="5" t="e">
        <f aca="false">SUM(G11:G25)</f>
        <v>#REF!</v>
      </c>
      <c r="H10" s="5" t="n">
        <f aca="false">SUM(H11:H25)</f>
        <v>4045.57</v>
      </c>
      <c r="I10" s="5" t="n">
        <f aca="false">SUM(I11:I25)</f>
        <v>16083.378</v>
      </c>
      <c r="J10" s="5" t="n">
        <f aca="false">SUM(J11:J25)</f>
        <v>6447.65</v>
      </c>
      <c r="K10" s="5" t="n">
        <f aca="false">SUM(K11:K25)</f>
        <v>6447.65</v>
      </c>
      <c r="L10" s="5" t="n">
        <f aca="false">SUM(L11:L25)</f>
        <v>6447.65</v>
      </c>
      <c r="M10" s="5" t="n">
        <f aca="false">SUM(M11:M25)</f>
        <v>6403.71</v>
      </c>
      <c r="N10" s="5" t="n">
        <f aca="false">SUM(N11:N25)</f>
        <v>6403.71</v>
      </c>
      <c r="O10" s="5" t="n">
        <f aca="false">SUM(O11:O25)</f>
        <v>6307.53</v>
      </c>
      <c r="P10" s="5" t="n">
        <f aca="false">SUM(P11:P25)</f>
        <v>5208.47</v>
      </c>
      <c r="Q10" s="5" t="n">
        <f aca="false">SUM(Q11:Q25)</f>
        <v>5208.47</v>
      </c>
      <c r="R10" s="5" t="n">
        <f aca="false">SUM(R11:R25)</f>
        <v>5112.68</v>
      </c>
      <c r="S10" s="5" t="n">
        <f aca="false">SUM(S11:S25)</f>
        <v>5112.68</v>
      </c>
    </row>
    <row r="11" s="8" customFormat="true" ht="12.75" hidden="false" customHeight="false" outlineLevel="0" collapsed="false">
      <c r="A11" s="8" t="s">
        <v>19</v>
      </c>
      <c r="B11" s="8" t="n">
        <v>935</v>
      </c>
      <c r="C11" s="8" t="n">
        <v>935</v>
      </c>
      <c r="D11" s="8" t="n">
        <v>935</v>
      </c>
      <c r="E11" s="8" t="n">
        <v>935</v>
      </c>
      <c r="F11" s="8" t="n">
        <v>935</v>
      </c>
      <c r="G11" s="8" t="n">
        <v>935</v>
      </c>
      <c r="H11" s="8" t="n">
        <v>960</v>
      </c>
      <c r="I11" s="8" t="n">
        <v>1120</v>
      </c>
      <c r="J11" s="8" t="n">
        <f aca="false">I11</f>
        <v>1120</v>
      </c>
      <c r="K11" s="8" t="n">
        <f aca="false">J11</f>
        <v>1120</v>
      </c>
      <c r="L11" s="8" t="n">
        <f aca="false">K11</f>
        <v>1120</v>
      </c>
      <c r="M11" s="8" t="n">
        <f aca="false">L11</f>
        <v>1120</v>
      </c>
      <c r="N11" s="8" t="n">
        <f aca="false">M11</f>
        <v>1120</v>
      </c>
      <c r="O11" s="8" t="n">
        <f aca="false">N11</f>
        <v>1120</v>
      </c>
      <c r="P11" s="8" t="n">
        <f aca="false">O11</f>
        <v>1120</v>
      </c>
      <c r="Q11" s="8" t="n">
        <f aca="false">P11</f>
        <v>1120</v>
      </c>
      <c r="R11" s="8" t="n">
        <f aca="false">Q11</f>
        <v>1120</v>
      </c>
      <c r="S11" s="8" t="n">
        <f aca="false">R11</f>
        <v>1120</v>
      </c>
    </row>
    <row r="12" s="8" customFormat="true" ht="12.75" hidden="false" customHeight="false" outlineLevel="0" collapsed="false">
      <c r="A12" s="8" t="s">
        <v>20</v>
      </c>
      <c r="B12" s="8" t="n">
        <v>120</v>
      </c>
      <c r="C12" s="8" t="n">
        <v>120</v>
      </c>
      <c r="D12" s="8" t="n">
        <v>120</v>
      </c>
      <c r="E12" s="8" t="n">
        <v>120</v>
      </c>
      <c r="F12" s="8" t="n">
        <v>120</v>
      </c>
      <c r="G12" s="8" t="n">
        <v>120</v>
      </c>
      <c r="H12" s="8" t="n">
        <v>120</v>
      </c>
      <c r="I12" s="8" t="n">
        <v>120</v>
      </c>
      <c r="J12" s="8" t="n">
        <v>120</v>
      </c>
      <c r="K12" s="8" t="n">
        <v>120</v>
      </c>
      <c r="L12" s="8" t="n">
        <v>120</v>
      </c>
      <c r="M12" s="8" t="n">
        <v>120</v>
      </c>
      <c r="N12" s="8" t="n">
        <v>120</v>
      </c>
      <c r="O12" s="8" t="n">
        <v>120</v>
      </c>
      <c r="P12" s="8" t="n">
        <v>120</v>
      </c>
      <c r="Q12" s="8" t="n">
        <v>120</v>
      </c>
      <c r="R12" s="8" t="n">
        <v>120</v>
      </c>
      <c r="S12" s="8" t="n">
        <v>120</v>
      </c>
    </row>
    <row r="13" s="8" customFormat="true" ht="12.75" hidden="false" customHeight="false" outlineLevel="0" collapsed="false">
      <c r="A13" s="8" t="s">
        <v>21</v>
      </c>
      <c r="B13" s="8" t="n">
        <f aca="false">11.4+63.4+3.5+65.6</f>
        <v>143.9</v>
      </c>
      <c r="C13" s="8" t="n">
        <f aca="false">11.4+63.4+3.5</f>
        <v>78.3</v>
      </c>
      <c r="D13" s="8" t="n">
        <f aca="false">11.4+63.4+3.5</f>
        <v>78.3</v>
      </c>
      <c r="E13" s="8" t="n">
        <f aca="false">11.4+63.4+3.5</f>
        <v>78.3</v>
      </c>
      <c r="F13" s="8" t="n">
        <f aca="false">11.4+63.4+3.5</f>
        <v>78.3</v>
      </c>
      <c r="G13" s="8" t="n">
        <f aca="false">11.4+63.4+3.5</f>
        <v>78.3</v>
      </c>
      <c r="H13" s="8" t="n">
        <f aca="false">11.4+63.4+3.5</f>
        <v>78.3</v>
      </c>
      <c r="I13" s="8" t="n">
        <f aca="false">85.28+5.67+3.5</f>
        <v>94.45</v>
      </c>
      <c r="J13" s="8" t="n">
        <f aca="false">I13</f>
        <v>94.45</v>
      </c>
      <c r="K13" s="8" t="n">
        <f aca="false">J13</f>
        <v>94.45</v>
      </c>
      <c r="L13" s="8" t="n">
        <f aca="false">K13</f>
        <v>94.45</v>
      </c>
      <c r="M13" s="8" t="n">
        <f aca="false">L13</f>
        <v>94.45</v>
      </c>
      <c r="N13" s="8" t="n">
        <f aca="false">M13</f>
        <v>94.45</v>
      </c>
      <c r="O13" s="8" t="n">
        <f aca="false">N13</f>
        <v>94.45</v>
      </c>
      <c r="P13" s="8" t="n">
        <f aca="false">O13</f>
        <v>94.45</v>
      </c>
      <c r="Q13" s="8" t="n">
        <f aca="false">P13</f>
        <v>94.45</v>
      </c>
      <c r="R13" s="8" t="n">
        <f aca="false">Q13</f>
        <v>94.45</v>
      </c>
      <c r="S13" s="8" t="n">
        <f aca="false">R13</f>
        <v>94.45</v>
      </c>
    </row>
    <row r="14" s="8" customFormat="true" ht="12.75" hidden="false" customHeight="false" outlineLevel="0" collapsed="false">
      <c r="A14" s="8" t="s">
        <v>22</v>
      </c>
      <c r="B14" s="8" t="n">
        <v>140.58</v>
      </c>
      <c r="C14" s="8" t="n">
        <f aca="false">B14</f>
        <v>140.58</v>
      </c>
      <c r="D14" s="8" t="n">
        <f aca="false">C14</f>
        <v>140.58</v>
      </c>
      <c r="E14" s="8" t="n">
        <f aca="false">D14</f>
        <v>140.58</v>
      </c>
      <c r="F14" s="8" t="n">
        <f aca="false">E14</f>
        <v>140.58</v>
      </c>
      <c r="G14" s="8" t="n">
        <f aca="false">F14</f>
        <v>140.58</v>
      </c>
      <c r="H14" s="8" t="n">
        <f aca="false">G14</f>
        <v>140.58</v>
      </c>
      <c r="I14" s="8" t="n">
        <v>87.58</v>
      </c>
      <c r="J14" s="8" t="n">
        <f aca="false">I14</f>
        <v>87.58</v>
      </c>
      <c r="K14" s="8" t="n">
        <f aca="false">J14</f>
        <v>87.58</v>
      </c>
      <c r="L14" s="8" t="n">
        <f aca="false">K14</f>
        <v>87.58</v>
      </c>
      <c r="M14" s="8" t="n">
        <f aca="false">L14</f>
        <v>87.58</v>
      </c>
      <c r="N14" s="8" t="n">
        <f aca="false">M14</f>
        <v>87.58</v>
      </c>
      <c r="O14" s="8" t="n">
        <f aca="false">N14</f>
        <v>87.58</v>
      </c>
      <c r="P14" s="8" t="n">
        <f aca="false">O14</f>
        <v>87.58</v>
      </c>
      <c r="Q14" s="8" t="n">
        <f aca="false">P14</f>
        <v>87.58</v>
      </c>
      <c r="R14" s="8" t="n">
        <f aca="false">Q14</f>
        <v>87.58</v>
      </c>
      <c r="S14" s="8" t="n">
        <f aca="false">R14</f>
        <v>87.58</v>
      </c>
    </row>
    <row r="15" s="8" customFormat="true" ht="12.75" hidden="false" customHeight="false" outlineLevel="0" collapsed="false">
      <c r="A15" s="8" t="s">
        <v>23</v>
      </c>
      <c r="B15" s="8" t="n">
        <v>99.99</v>
      </c>
      <c r="C15" s="8" t="n">
        <v>99.99</v>
      </c>
      <c r="D15" s="8" t="n">
        <v>99.99</v>
      </c>
      <c r="E15" s="8" t="n">
        <v>99.99</v>
      </c>
      <c r="F15" s="8" t="n">
        <v>99.99</v>
      </c>
      <c r="G15" s="8" t="n">
        <v>99.99</v>
      </c>
      <c r="H15" s="8" t="n">
        <v>99.99</v>
      </c>
      <c r="I15" s="8" t="n">
        <v>99.99</v>
      </c>
      <c r="J15" s="8" t="n">
        <v>99.99</v>
      </c>
      <c r="K15" s="8" t="n">
        <v>99.99</v>
      </c>
      <c r="L15" s="8" t="n">
        <v>99.99</v>
      </c>
      <c r="M15" s="8" t="n">
        <v>99.99</v>
      </c>
      <c r="N15" s="8" t="n">
        <v>99.99</v>
      </c>
      <c r="O15" s="8" t="n">
        <v>99.99</v>
      </c>
      <c r="P15" s="8" t="n">
        <v>99.99</v>
      </c>
      <c r="Q15" s="8" t="n">
        <v>99.99</v>
      </c>
      <c r="R15" s="8" t="n">
        <v>99.99</v>
      </c>
      <c r="S15" s="8" t="n">
        <v>99.99</v>
      </c>
    </row>
    <row r="16" s="8" customFormat="true" ht="12.75" hidden="false" customHeight="false" outlineLevel="0" collapsed="false">
      <c r="A16" s="8" t="s">
        <v>24</v>
      </c>
      <c r="B16" s="8" t="n">
        <v>45.99</v>
      </c>
      <c r="C16" s="8" t="n">
        <v>45.99</v>
      </c>
      <c r="D16" s="8" t="n">
        <v>45.99</v>
      </c>
      <c r="E16" s="8" t="n">
        <v>45.99</v>
      </c>
      <c r="F16" s="8" t="n">
        <v>45.99</v>
      </c>
      <c r="G16" s="8" t="n">
        <v>45.99</v>
      </c>
      <c r="H16" s="8" t="n">
        <v>50</v>
      </c>
      <c r="I16" s="8" t="n">
        <v>50</v>
      </c>
      <c r="J16" s="8" t="n">
        <v>50</v>
      </c>
      <c r="K16" s="8" t="n">
        <v>50</v>
      </c>
      <c r="L16" s="8" t="n">
        <v>50</v>
      </c>
      <c r="M16" s="8" t="n">
        <v>50</v>
      </c>
      <c r="N16" s="8" t="n">
        <v>50</v>
      </c>
      <c r="O16" s="8" t="n">
        <v>50</v>
      </c>
      <c r="P16" s="8" t="n">
        <v>50</v>
      </c>
      <c r="Q16" s="8" t="n">
        <v>50</v>
      </c>
      <c r="R16" s="8" t="n">
        <v>50</v>
      </c>
      <c r="S16" s="8" t="n">
        <v>50</v>
      </c>
    </row>
    <row r="17" s="8" customFormat="true" ht="12.75" hidden="false" customHeight="false" outlineLevel="0" collapsed="false">
      <c r="A17" s="8" t="s">
        <v>25</v>
      </c>
      <c r="B17" s="8" t="n">
        <v>54.99</v>
      </c>
      <c r="C17" s="8" t="n">
        <v>54.99</v>
      </c>
      <c r="D17" s="8" t="n">
        <v>54.99</v>
      </c>
      <c r="E17" s="8" t="n">
        <v>54.99</v>
      </c>
      <c r="F17" s="8" t="n">
        <v>54.99</v>
      </c>
      <c r="G17" s="8" t="n">
        <v>54.99</v>
      </c>
      <c r="H17" s="8" t="n">
        <v>59.99</v>
      </c>
      <c r="I17" s="8" t="n">
        <v>59.99</v>
      </c>
      <c r="J17" s="8" t="n">
        <v>59.99</v>
      </c>
      <c r="K17" s="8" t="n">
        <v>59.99</v>
      </c>
      <c r="L17" s="8" t="n">
        <v>59.99</v>
      </c>
      <c r="M17" s="8" t="n">
        <v>59.99</v>
      </c>
      <c r="N17" s="8" t="n">
        <v>59.99</v>
      </c>
      <c r="O17" s="8" t="n">
        <v>59.99</v>
      </c>
      <c r="P17" s="8" t="n">
        <v>59.99</v>
      </c>
      <c r="Q17" s="8" t="n">
        <v>59.99</v>
      </c>
      <c r="R17" s="8" t="n">
        <v>59.99</v>
      </c>
      <c r="S17" s="8" t="n">
        <v>59.99</v>
      </c>
    </row>
    <row r="18" s="8" customFormat="true" ht="12.8" hidden="false" customHeight="false" outlineLevel="0" collapsed="false">
      <c r="A18" s="8" t="s">
        <v>26</v>
      </c>
      <c r="B18" s="8" t="n">
        <v>1298.73</v>
      </c>
      <c r="C18" s="8" t="n">
        <f aca="false">2*(133.56+18.5+80+4+80+4+80+4+80)+50</f>
        <v>1018.12</v>
      </c>
      <c r="D18" s="8" t="n">
        <f aca="false">C18</f>
        <v>1018.12</v>
      </c>
      <c r="E18" s="8" t="n">
        <f aca="false">D18</f>
        <v>1018.12</v>
      </c>
      <c r="F18" s="8" t="n">
        <f aca="false">E18</f>
        <v>1018.12</v>
      </c>
      <c r="G18" s="8" t="n">
        <f aca="false">F18</f>
        <v>1018.12</v>
      </c>
      <c r="H18" s="8" t="n">
        <f aca="false">G18</f>
        <v>1018.12</v>
      </c>
      <c r="I18" s="8" t="n">
        <v>3101.47</v>
      </c>
      <c r="J18" s="8" t="n">
        <v>1800</v>
      </c>
      <c r="K18" s="8" t="n">
        <f aca="false">J18</f>
        <v>1800</v>
      </c>
      <c r="L18" s="8" t="n">
        <f aca="false">K18</f>
        <v>1800</v>
      </c>
      <c r="M18" s="8" t="n">
        <f aca="false">L18</f>
        <v>1800</v>
      </c>
      <c r="N18" s="8" t="n">
        <f aca="false">M18</f>
        <v>1800</v>
      </c>
      <c r="O18" s="8" t="n">
        <f aca="false">N18</f>
        <v>1800</v>
      </c>
      <c r="P18" s="8" t="n">
        <f aca="false">O18</f>
        <v>1800</v>
      </c>
      <c r="Q18" s="8" t="n">
        <f aca="false">P18</f>
        <v>1800</v>
      </c>
      <c r="R18" s="8" t="n">
        <f aca="false">Q18</f>
        <v>1800</v>
      </c>
      <c r="S18" s="8" t="n">
        <f aca="false">R18</f>
        <v>1800</v>
      </c>
    </row>
    <row r="19" s="8" customFormat="true" ht="12.8" hidden="false" customHeight="false" outlineLevel="0" collapsed="false">
      <c r="A19" s="8" t="s">
        <v>27</v>
      </c>
      <c r="B19" s="8" t="n">
        <f aca="false">149.9</f>
        <v>149.9</v>
      </c>
      <c r="C19" s="8" t="n">
        <f aca="false">279.26+5.23+149.9</f>
        <v>434.39</v>
      </c>
      <c r="D19" s="8" t="n">
        <f aca="false">279.26+149.9</f>
        <v>429.16</v>
      </c>
      <c r="E19" s="8" t="n">
        <f aca="false">279.26+149.9</f>
        <v>429.16</v>
      </c>
      <c r="F19" s="8" t="n">
        <f aca="false">110+123.53+149.9</f>
        <v>383.43</v>
      </c>
      <c r="G19" s="8" t="n">
        <f aca="false">149.9</f>
        <v>149.9</v>
      </c>
      <c r="H19" s="8" t="n">
        <f aca="false">3.5+9.9+95.79+244.4</f>
        <v>353.59</v>
      </c>
      <c r="I19" s="8" t="n">
        <f aca="false">356.76+3.5+9.9+95.79+244.4</f>
        <v>710.35</v>
      </c>
      <c r="J19" s="8" t="n">
        <f aca="false">356.76+3.5+9.9+95.79+244.4</f>
        <v>710.35</v>
      </c>
      <c r="K19" s="8" t="n">
        <f aca="false">356.76+3.5+9.9+95.79+244.4</f>
        <v>710.35</v>
      </c>
      <c r="L19" s="8" t="n">
        <f aca="false">356.76+3.5+9.9+95.79+244.4</f>
        <v>710.35</v>
      </c>
      <c r="M19" s="8" t="n">
        <f aca="false">356.76+3.5+9.9+95.79+200.46</f>
        <v>666.41</v>
      </c>
      <c r="N19" s="8" t="n">
        <f aca="false">356.76+3.5+9.9+95.79+200.46</f>
        <v>666.41</v>
      </c>
      <c r="O19" s="8" t="n">
        <f aca="false">356.76+3.5+9.9+95.79+200.46</f>
        <v>666.41</v>
      </c>
      <c r="P19" s="8" t="n">
        <f aca="false">356.76+3.5+9.9+95.79+200.46</f>
        <v>666.41</v>
      </c>
      <c r="Q19" s="8" t="n">
        <f aca="false">356.76+3.5+9.9+95.79+200.46</f>
        <v>666.41</v>
      </c>
      <c r="R19" s="8" t="n">
        <f aca="false">356.76+3.5+9.9+200.46</f>
        <v>570.62</v>
      </c>
      <c r="S19" s="8" t="n">
        <f aca="false">356.76+3.5+9.9+200.46</f>
        <v>570.62</v>
      </c>
    </row>
    <row r="20" s="8" customFormat="true" ht="12.75" hidden="false" customHeight="false" outlineLevel="0" collapsed="false">
      <c r="A20" s="8" t="s">
        <v>28</v>
      </c>
      <c r="B20" s="8" t="n">
        <v>0</v>
      </c>
      <c r="C20" s="8" t="n">
        <v>0</v>
      </c>
      <c r="D20" s="8" t="n">
        <v>0</v>
      </c>
      <c r="E20" s="8" t="n">
        <v>0</v>
      </c>
      <c r="F20" s="8" t="n">
        <v>0</v>
      </c>
      <c r="G20" s="8" t="n">
        <v>0</v>
      </c>
      <c r="H20" s="8" t="n">
        <f aca="false">0.0038*7000+140</f>
        <v>166.6</v>
      </c>
      <c r="I20" s="8" t="n">
        <f aca="false">1099.06+521.25</f>
        <v>1620.31</v>
      </c>
      <c r="J20" s="8" t="n">
        <f aca="false">1099.06+521.25</f>
        <v>1620.31</v>
      </c>
      <c r="K20" s="8" t="n">
        <f aca="false">1099.06+521.25</f>
        <v>1620.31</v>
      </c>
      <c r="L20" s="8" t="n">
        <f aca="false">1099.06+521.25</f>
        <v>1620.31</v>
      </c>
      <c r="M20" s="8" t="n">
        <f aca="false">1099.06+521.25</f>
        <v>1620.31</v>
      </c>
      <c r="N20" s="8" t="n">
        <f aca="false">1099.06+521.25</f>
        <v>1620.31</v>
      </c>
      <c r="O20" s="8" t="n">
        <f aca="false">1099.06+521.25</f>
        <v>1620.31</v>
      </c>
      <c r="P20" s="8" t="n">
        <f aca="false">521.25</f>
        <v>521.25</v>
      </c>
      <c r="Q20" s="8" t="n">
        <f aca="false">521.25</f>
        <v>521.25</v>
      </c>
      <c r="R20" s="8" t="n">
        <f aca="false">521.25</f>
        <v>521.25</v>
      </c>
      <c r="S20" s="8" t="n">
        <f aca="false">521.25</f>
        <v>521.25</v>
      </c>
    </row>
    <row r="21" s="8" customFormat="true" ht="12.75" hidden="false" customHeight="false" outlineLevel="0" collapsed="false">
      <c r="A21" s="8" t="s">
        <v>29</v>
      </c>
      <c r="B21" s="8" t="n">
        <v>0</v>
      </c>
      <c r="C21" s="8" t="n">
        <v>0</v>
      </c>
      <c r="D21" s="8" t="n">
        <v>0</v>
      </c>
      <c r="E21" s="8" t="n">
        <v>0</v>
      </c>
      <c r="F21" s="8" t="n">
        <v>96.18</v>
      </c>
      <c r="G21" s="8" t="n">
        <v>96.18</v>
      </c>
      <c r="H21" s="8" t="n">
        <v>0</v>
      </c>
      <c r="I21" s="8" t="n">
        <v>96.18</v>
      </c>
      <c r="J21" s="8" t="n">
        <v>96.18</v>
      </c>
      <c r="K21" s="8" t="n">
        <v>96.18</v>
      </c>
      <c r="L21" s="8" t="n">
        <v>96.18</v>
      </c>
      <c r="M21" s="8" t="n">
        <v>96.18</v>
      </c>
      <c r="N21" s="8" t="n">
        <v>96.18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</row>
    <row r="22" s="8" customFormat="true" ht="12.75" hidden="false" customHeight="false" outlineLevel="0" collapsed="false">
      <c r="A22" s="8" t="s">
        <v>30</v>
      </c>
      <c r="B22" s="8" t="e">
        <f aca="false">B38+#REF!</f>
        <v>#REF!</v>
      </c>
      <c r="C22" s="8" t="e">
        <f aca="false">C38+#REF!</f>
        <v>#REF!</v>
      </c>
      <c r="D22" s="8" t="e">
        <f aca="false">D38+#REF!</f>
        <v>#REF!</v>
      </c>
      <c r="E22" s="8" t="e">
        <f aca="false">E38+#REF!</f>
        <v>#REF!</v>
      </c>
      <c r="F22" s="8" t="e">
        <f aca="false">F38+#REF!</f>
        <v>#REF!</v>
      </c>
      <c r="G22" s="8" t="e">
        <f aca="false">G38+#REF!</f>
        <v>#REF!</v>
      </c>
      <c r="H22" s="8" t="n">
        <f aca="false">H38</f>
        <v>25</v>
      </c>
      <c r="I22" s="8" t="n">
        <f aca="false">I38+I32</f>
        <v>8429.658</v>
      </c>
      <c r="J22" s="8" t="n">
        <f aca="false">J38+J32</f>
        <v>95.4</v>
      </c>
      <c r="K22" s="8" t="n">
        <f aca="false">K38+K32</f>
        <v>95.4</v>
      </c>
      <c r="L22" s="8" t="n">
        <f aca="false">L38+L32</f>
        <v>95.4</v>
      </c>
      <c r="M22" s="8" t="n">
        <f aca="false">M38+M32</f>
        <v>95.4</v>
      </c>
      <c r="N22" s="8" t="n">
        <f aca="false">N38+N32</f>
        <v>95.4</v>
      </c>
      <c r="O22" s="8" t="n">
        <f aca="false">O38+O32</f>
        <v>95.4</v>
      </c>
      <c r="P22" s="8" t="n">
        <f aca="false">P38+P32</f>
        <v>95.4</v>
      </c>
      <c r="Q22" s="8" t="n">
        <f aca="false">Q38+Q32</f>
        <v>95.4</v>
      </c>
      <c r="R22" s="8" t="n">
        <f aca="false">R38+R32</f>
        <v>95.4</v>
      </c>
      <c r="S22" s="8" t="n">
        <f aca="false">S38+S32</f>
        <v>95.4</v>
      </c>
    </row>
    <row r="23" s="8" customFormat="true" ht="12.75" hidden="false" customHeight="false" outlineLevel="0" collapsed="false">
      <c r="A23" s="8" t="s">
        <v>31</v>
      </c>
      <c r="B23" s="8" t="n">
        <v>13.4</v>
      </c>
      <c r="C23" s="8" t="n">
        <v>13.4</v>
      </c>
      <c r="D23" s="8" t="n">
        <v>13.4</v>
      </c>
      <c r="E23" s="8" t="n">
        <v>13.4</v>
      </c>
      <c r="F23" s="8" t="n">
        <v>13.4</v>
      </c>
      <c r="G23" s="8" t="n">
        <v>13.4</v>
      </c>
      <c r="H23" s="8" t="n">
        <v>13.4</v>
      </c>
      <c r="I23" s="8" t="n">
        <v>13.4</v>
      </c>
      <c r="J23" s="8" t="n">
        <v>13.4</v>
      </c>
      <c r="K23" s="8" t="n">
        <v>13.4</v>
      </c>
      <c r="L23" s="8" t="n">
        <v>13.4</v>
      </c>
      <c r="M23" s="8" t="n">
        <v>13.4</v>
      </c>
      <c r="N23" s="8" t="n">
        <v>13.4</v>
      </c>
      <c r="O23" s="8" t="n">
        <v>13.4</v>
      </c>
      <c r="P23" s="8" t="n">
        <v>13.4</v>
      </c>
      <c r="Q23" s="8" t="n">
        <v>13.4</v>
      </c>
      <c r="R23" s="8" t="n">
        <v>13.4</v>
      </c>
      <c r="S23" s="8" t="n">
        <v>13.4</v>
      </c>
    </row>
    <row r="24" s="8" customFormat="true" ht="12.8" hidden="false" customHeight="false" outlineLevel="0" collapsed="false">
      <c r="A24" s="8" t="s">
        <v>32</v>
      </c>
      <c r="B24" s="8" t="n">
        <f aca="false">240*3</f>
        <v>720</v>
      </c>
      <c r="C24" s="8" t="n">
        <f aca="false">240*3</f>
        <v>720</v>
      </c>
      <c r="D24" s="8" t="n">
        <f aca="false">240*3</f>
        <v>720</v>
      </c>
      <c r="E24" s="8" t="n">
        <f aca="false">240*3</f>
        <v>720</v>
      </c>
      <c r="F24" s="8" t="n">
        <f aca="false">240*3</f>
        <v>720</v>
      </c>
      <c r="G24" s="8" t="n">
        <f aca="false">240*3</f>
        <v>720</v>
      </c>
      <c r="H24" s="8" t="n">
        <v>960</v>
      </c>
      <c r="I24" s="8" t="n">
        <v>480</v>
      </c>
      <c r="J24" s="8" t="n">
        <v>480</v>
      </c>
      <c r="K24" s="8" t="n">
        <v>480</v>
      </c>
      <c r="L24" s="8" t="n">
        <v>480</v>
      </c>
      <c r="M24" s="8" t="n">
        <v>480</v>
      </c>
      <c r="N24" s="8" t="n">
        <v>480</v>
      </c>
      <c r="O24" s="8" t="n">
        <v>480</v>
      </c>
      <c r="P24" s="8" t="n">
        <v>480</v>
      </c>
      <c r="Q24" s="8" t="n">
        <v>480</v>
      </c>
      <c r="R24" s="8" t="n">
        <v>480</v>
      </c>
      <c r="S24" s="8" t="n">
        <v>480</v>
      </c>
    </row>
    <row r="25" s="8" customFormat="true" ht="12.75" hidden="false" customHeight="false" outlineLevel="0" collapsed="false">
      <c r="A25" s="8" t="s">
        <v>33</v>
      </c>
      <c r="B25" s="8" t="n">
        <v>0</v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</row>
    <row r="26" s="3" customFormat="true" ht="3" hidden="false" customHeight="true" outlineLevel="0" collapsed="false">
      <c r="B26" s="7"/>
      <c r="C26" s="7"/>
      <c r="D26" s="7"/>
      <c r="E26" s="7"/>
      <c r="F26" s="7"/>
      <c r="G26" s="7"/>
    </row>
    <row r="27" s="5" customFormat="true" ht="12.75" hidden="false" customHeight="false" outlineLevel="0" collapsed="false">
      <c r="A27" s="5" t="s">
        <v>34</v>
      </c>
      <c r="B27" s="5" t="e">
        <f aca="false">B4-B10</f>
        <v>#REF!</v>
      </c>
      <c r="C27" s="5" t="e">
        <f aca="false">C4-C10</f>
        <v>#REF!</v>
      </c>
      <c r="D27" s="5" t="e">
        <f aca="false">D4-D10</f>
        <v>#REF!</v>
      </c>
      <c r="E27" s="5" t="e">
        <f aca="false">E4-E10</f>
        <v>#REF!</v>
      </c>
      <c r="F27" s="5" t="e">
        <f aca="false">F4-F10</f>
        <v>#REF!</v>
      </c>
      <c r="G27" s="5" t="e">
        <f aca="false">G4-G10</f>
        <v>#REF!</v>
      </c>
      <c r="H27" s="5" t="n">
        <f aca="false">H4-H10</f>
        <v>571.37</v>
      </c>
      <c r="I27" s="5" t="n">
        <f aca="false">I4-I10</f>
        <v>3574.222</v>
      </c>
      <c r="J27" s="5" t="n">
        <f aca="false">J4-J10</f>
        <v>-680.48</v>
      </c>
      <c r="K27" s="5" t="n">
        <f aca="false">K4-K10</f>
        <v>5419.52</v>
      </c>
      <c r="L27" s="5" t="n">
        <f aca="false">L4-L10</f>
        <v>-680.48</v>
      </c>
      <c r="M27" s="5" t="n">
        <f aca="false">M4-M10</f>
        <v>-636.539999999999</v>
      </c>
      <c r="N27" s="5" t="n">
        <f aca="false">N4-N10</f>
        <v>-636.539999999999</v>
      </c>
      <c r="O27" s="5" t="n">
        <f aca="false">O4-O10</f>
        <v>-45.3049999999985</v>
      </c>
      <c r="P27" s="5" t="n">
        <f aca="false">P4-P10</f>
        <v>-540.360000000001</v>
      </c>
      <c r="Q27" s="5" t="n">
        <f aca="false">Q4-Q10</f>
        <v>-540.360000000001</v>
      </c>
      <c r="R27" s="5" t="n">
        <f aca="false">R4-R10</f>
        <v>1394.43</v>
      </c>
      <c r="S27" s="5" t="n">
        <f aca="false">S4-S10</f>
        <v>1889.485</v>
      </c>
    </row>
    <row r="28" s="9" customFormat="true" ht="12.75" hidden="false" customHeight="false" outlineLevel="0" collapsed="false">
      <c r="A28" s="9" t="s">
        <v>35</v>
      </c>
      <c r="B28" s="9" t="n">
        <f aca="false">B29*2.15%/12</f>
        <v>11.7486033333333</v>
      </c>
      <c r="C28" s="9" t="e">
        <f aca="false">C29*2.15%/12</f>
        <v>#REF!</v>
      </c>
      <c r="D28" s="9" t="e">
        <f aca="false">D29*2.15%/12</f>
        <v>#REF!</v>
      </c>
      <c r="E28" s="9" t="e">
        <f aca="false">E29*2.15%/12</f>
        <v>#REF!</v>
      </c>
      <c r="F28" s="9" t="e">
        <f aca="false">F29*2.15%/12</f>
        <v>#REF!</v>
      </c>
      <c r="G28" s="9" t="e">
        <f aca="false">G29*2.15%/12</f>
        <v>#REF!</v>
      </c>
      <c r="H28" s="9" t="n">
        <v>0</v>
      </c>
      <c r="I28" s="9" t="n">
        <f aca="false">I29*2.15%/12</f>
        <v>1.02370458333333</v>
      </c>
      <c r="J28" s="9" t="n">
        <f aca="false">J29*2.15%/12</f>
        <v>7.42935313737847</v>
      </c>
      <c r="K28" s="9" t="n">
        <f aca="false">K29*2.15%/12</f>
        <v>6.22347072841628</v>
      </c>
      <c r="L28" s="9" t="n">
        <f aca="false">L29*2.15%/12</f>
        <v>15.9445944468047</v>
      </c>
      <c r="M28" s="9" t="n">
        <f aca="false">M29*2.15%/12</f>
        <v>14.7539685118552</v>
      </c>
      <c r="N28" s="9" t="n">
        <f aca="false">N29*2.15%/12</f>
        <v>13.639935205439</v>
      </c>
      <c r="O28" s="9" t="n">
        <f aca="false">O29*2.15%/12</f>
        <v>12.523905922682</v>
      </c>
      <c r="P28" s="9" t="n">
        <f aca="false">P29*2.15%/12</f>
        <v>12.4651731291268</v>
      </c>
      <c r="Q28" s="9" t="n">
        <f aca="false">Q29*2.15%/12</f>
        <v>11.5193615643165</v>
      </c>
      <c r="R28" s="9" t="n">
        <f aca="false">R29*2.15%/12</f>
        <v>10.5718554204526</v>
      </c>
      <c r="S28" s="9" t="n">
        <f aca="false">S29*2.15%/12</f>
        <v>13.0891504114142</v>
      </c>
    </row>
    <row r="29" s="9" customFormat="true" ht="12.75" hidden="false" customHeight="false" outlineLevel="0" collapsed="false">
      <c r="A29" s="9" t="s">
        <v>36</v>
      </c>
      <c r="B29" s="9" t="n">
        <v>6557.36</v>
      </c>
      <c r="C29" s="9" t="e">
        <f aca="false">B29+B27+B28</f>
        <v>#REF!</v>
      </c>
      <c r="D29" s="9" t="e">
        <f aca="false">C29+C27+C28</f>
        <v>#REF!</v>
      </c>
      <c r="E29" s="9" t="e">
        <f aca="false">D29+D27+D28</f>
        <v>#REF!</v>
      </c>
      <c r="F29" s="9" t="e">
        <f aca="false">E29+E27+E28</f>
        <v>#REF!</v>
      </c>
      <c r="G29" s="9" t="e">
        <f aca="false">F29+F27+F28</f>
        <v>#REF!</v>
      </c>
      <c r="H29" s="9" t="n">
        <v>0</v>
      </c>
      <c r="I29" s="9" t="n">
        <f aca="false">H29+H27+H28</f>
        <v>571.37</v>
      </c>
      <c r="J29" s="9" t="n">
        <f aca="false">I29+I27+I28</f>
        <v>4146.61570458333</v>
      </c>
      <c r="K29" s="9" t="n">
        <f aca="false">J29+J27+J28</f>
        <v>3473.56505772071</v>
      </c>
      <c r="L29" s="9" t="n">
        <f aca="false">K29+K27+K28</f>
        <v>8899.30852844913</v>
      </c>
      <c r="M29" s="9" t="n">
        <f aca="false">L29+L27+L28</f>
        <v>8234.77312289593</v>
      </c>
      <c r="N29" s="9" t="n">
        <f aca="false">M29+M27+M28</f>
        <v>7612.98709140779</v>
      </c>
      <c r="O29" s="9" t="n">
        <f aca="false">N29+N27+N28</f>
        <v>6990.08702661323</v>
      </c>
      <c r="P29" s="9" t="n">
        <f aca="false">O29+O27+O28</f>
        <v>6957.30593253591</v>
      </c>
      <c r="Q29" s="9" t="n">
        <f aca="false">P29+P27+P28</f>
        <v>6429.41110566504</v>
      </c>
      <c r="R29" s="9" t="n">
        <f aca="false">Q29+Q27+Q28</f>
        <v>5900.57046722936</v>
      </c>
      <c r="S29" s="9" t="n">
        <f aca="false">R29+R27+R28</f>
        <v>7305.57232264981</v>
      </c>
    </row>
    <row r="30" s="3" customFormat="true" ht="3" hidden="false" customHeight="true" outlineLevel="0" collapsed="false">
      <c r="B30" s="7"/>
      <c r="C30" s="7"/>
      <c r="D30" s="7"/>
      <c r="E30" s="7"/>
      <c r="F30" s="7"/>
      <c r="G30" s="7"/>
    </row>
    <row r="31" s="4" customFormat="true" ht="12.75" hidden="false" customHeight="false" outlineLevel="0" collapsed="false">
      <c r="A31" s="4" t="s">
        <v>37</v>
      </c>
      <c r="B31" s="5" t="e">
        <f aca="false">SUM(B34+B37+B29+#REF!+B40)</f>
        <v>#REF!</v>
      </c>
      <c r="C31" s="5" t="e">
        <f aca="false">SUM(C34+C37+C29+#REF!+C40)</f>
        <v>#REF!</v>
      </c>
      <c r="D31" s="5" t="e">
        <f aca="false">SUM(D34+D37+D29+#REF!+D40)</f>
        <v>#REF!</v>
      </c>
      <c r="E31" s="5" t="e">
        <f aca="false">SUM(E34+E37+E29+#REF!+E40)</f>
        <v>#REF!</v>
      </c>
      <c r="F31" s="5" t="e">
        <f aca="false">SUM(F34+F37+F29+#REF!+F40)</f>
        <v>#REF!</v>
      </c>
      <c r="G31" s="5" t="e">
        <f aca="false">SUM(G34+G37+G29+#REF!+G40)</f>
        <v>#REF!</v>
      </c>
      <c r="H31" s="5" t="n">
        <f aca="false">SUM(H34+H37+H29+H40)</f>
        <v>58428.11</v>
      </c>
      <c r="I31" s="5" t="n">
        <f aca="false">SUM(I34+I37+I29+I40)</f>
        <v>60142.77553696</v>
      </c>
      <c r="J31" s="5" t="n">
        <f aca="false">SUM(J34+J37+J29+J40)</f>
        <v>72969.6938314391</v>
      </c>
      <c r="K31" s="5" t="n">
        <f aca="false">SUM(K34+K37+K29+K40)</f>
        <v>73046.1009748816</v>
      </c>
      <c r="L31" s="5" t="n">
        <f aca="false">SUM(L34+L37+L29+L40)</f>
        <v>79222.3942042898</v>
      </c>
      <c r="M31" s="5" t="n">
        <f aca="false">SUM(M34+M37+M29+M40)</f>
        <v>79311.686482217</v>
      </c>
      <c r="N31" s="5" t="n">
        <f aca="false">SUM(N34+N37+N29+N40)</f>
        <v>79447.0262188725</v>
      </c>
      <c r="O31" s="5" t="n">
        <f aca="false">SUM(O34+O37+O29+O40)</f>
        <v>79584.5703134737</v>
      </c>
      <c r="P31" s="5" t="n">
        <f aca="false">SUM(P34+P37+P29+P40)</f>
        <v>80315.5722244987</v>
      </c>
      <c r="Q31" s="5" t="n">
        <f aca="false">SUM(Q34+Q37+Q29+Q40)</f>
        <v>80554.8198519041</v>
      </c>
      <c r="R31" s="5" t="n">
        <f aca="false">SUM(R34+R37+R29+R40)</f>
        <v>80796.5018705563</v>
      </c>
      <c r="S31" s="5" t="n">
        <f aca="false">SUM(S34+S37+S29+S40)</f>
        <v>82975.4274908505</v>
      </c>
    </row>
    <row r="32" s="10" customFormat="true" ht="12.75" hidden="false" customHeight="false" outlineLevel="0" collapsed="false">
      <c r="A32" s="10" t="s">
        <v>38</v>
      </c>
      <c r="B32" s="10" t="n">
        <v>69.45</v>
      </c>
      <c r="C32" s="10" t="n">
        <v>69.45</v>
      </c>
      <c r="D32" s="10" t="n">
        <v>69.45</v>
      </c>
      <c r="E32" s="10" t="n">
        <v>69.45</v>
      </c>
      <c r="F32" s="10" t="n">
        <f aca="false">69.45*1.5</f>
        <v>104.175</v>
      </c>
      <c r="G32" s="10" t="n">
        <f aca="false">69.45*1.5</f>
        <v>104.175</v>
      </c>
      <c r="H32" s="10" t="n">
        <v>70.4</v>
      </c>
      <c r="I32" s="10" t="n">
        <f aca="false">H32+0.6*I6</f>
        <v>8404.658</v>
      </c>
      <c r="J32" s="10" t="n">
        <f aca="false">H32</f>
        <v>70.4</v>
      </c>
      <c r="K32" s="10" t="n">
        <f aca="false">J32</f>
        <v>70.4</v>
      </c>
      <c r="L32" s="10" t="n">
        <f aca="false">K32</f>
        <v>70.4</v>
      </c>
      <c r="M32" s="10" t="n">
        <f aca="false">L32</f>
        <v>70.4</v>
      </c>
      <c r="N32" s="10" t="n">
        <f aca="false">M32</f>
        <v>70.4</v>
      </c>
      <c r="O32" s="10" t="n">
        <f aca="false">N32</f>
        <v>70.4</v>
      </c>
      <c r="P32" s="10" t="n">
        <f aca="false">O32</f>
        <v>70.4</v>
      </c>
      <c r="Q32" s="10" t="n">
        <f aca="false">P32</f>
        <v>70.4</v>
      </c>
      <c r="R32" s="10" t="n">
        <f aca="false">Q32</f>
        <v>70.4</v>
      </c>
      <c r="S32" s="10" t="n">
        <f aca="false">R32</f>
        <v>70.4</v>
      </c>
    </row>
    <row r="33" s="10" customFormat="true" ht="12.75" hidden="false" customHeight="false" outlineLevel="0" collapsed="false">
      <c r="A33" s="10" t="s">
        <v>13</v>
      </c>
      <c r="B33" s="10" t="n">
        <f aca="false">B34*0.8%</f>
        <v>124.70016</v>
      </c>
      <c r="C33" s="10" t="n">
        <f aca="false">C34*0.8%</f>
        <v>126.25336128</v>
      </c>
      <c r="D33" s="10" t="n">
        <f aca="false">D34*0.8%</f>
        <v>127.81898817024</v>
      </c>
      <c r="E33" s="10" t="n">
        <f aca="false">E34*0.8%</f>
        <v>129.397140075602</v>
      </c>
      <c r="F33" s="10" t="n">
        <f aca="false">F34*0.8%</f>
        <v>130.987917196207</v>
      </c>
      <c r="G33" s="10" t="n">
        <f aca="false">G34*0.8%</f>
        <v>132.869220533776</v>
      </c>
      <c r="H33" s="10" t="n">
        <f aca="false">H34*0.8%</f>
        <v>131.8924</v>
      </c>
      <c r="I33" s="10" t="n">
        <f aca="false">I34*0.8%</f>
        <v>133.5107392</v>
      </c>
      <c r="J33" s="10" t="n">
        <f aca="false">J34*0.8%</f>
        <v>201.8160891136</v>
      </c>
      <c r="K33" s="10" t="n">
        <f aca="false">K34*0.8%</f>
        <v>203.993817826509</v>
      </c>
      <c r="L33" s="10" t="n">
        <f aca="false">L34*0.8%</f>
        <v>206.188968369121</v>
      </c>
      <c r="M33" s="10" t="n">
        <f aca="false">M34*0.8%</f>
        <v>208.401680116074</v>
      </c>
      <c r="N33" s="10" t="n">
        <f aca="false">N34*0.8%</f>
        <v>210.632093557002</v>
      </c>
      <c r="O33" s="10" t="n">
        <f aca="false">O34*0.8%</f>
        <v>212.880350305459</v>
      </c>
      <c r="P33" s="10" t="n">
        <f aca="false">P34*0.8%</f>
        <v>215.146593107902</v>
      </c>
      <c r="Q33" s="10" t="n">
        <f aca="false">Q34*0.8%</f>
        <v>217.430965852765</v>
      </c>
      <c r="R33" s="10" t="n">
        <f aca="false">R34*0.8%</f>
        <v>219.733613579588</v>
      </c>
      <c r="S33" s="10" t="n">
        <f aca="false">S34*0.8%</f>
        <v>222.054682488224</v>
      </c>
    </row>
    <row r="34" s="10" customFormat="true" ht="12.75" hidden="false" customHeight="false" outlineLevel="0" collapsed="false">
      <c r="A34" s="10" t="s">
        <v>39</v>
      </c>
      <c r="B34" s="10" t="n">
        <v>15587.52</v>
      </c>
      <c r="C34" s="10" t="n">
        <f aca="false">B34+B32+B33</f>
        <v>15781.67016</v>
      </c>
      <c r="D34" s="10" t="n">
        <f aca="false">C34+C32+C33</f>
        <v>15977.37352128</v>
      </c>
      <c r="E34" s="10" t="n">
        <f aca="false">D34+D32+D33</f>
        <v>16174.6425094502</v>
      </c>
      <c r="F34" s="10" t="n">
        <f aca="false">E34+E32+E33</f>
        <v>16373.4896495258</v>
      </c>
      <c r="G34" s="10" t="n">
        <f aca="false">F34+F32+F33</f>
        <v>16608.6525667221</v>
      </c>
      <c r="H34" s="10" t="n">
        <f aca="false">16416.15+70.4</f>
        <v>16486.55</v>
      </c>
      <c r="I34" s="10" t="n">
        <f aca="false">H34+H32+H33</f>
        <v>16688.8424</v>
      </c>
      <c r="J34" s="10" t="n">
        <f aca="false">I34+I32+I33</f>
        <v>25227.0111392</v>
      </c>
      <c r="K34" s="10" t="n">
        <f aca="false">J34+J32+J33</f>
        <v>25499.2272283136</v>
      </c>
      <c r="L34" s="10" t="n">
        <f aca="false">K34+K32+K33</f>
        <v>25773.6210461401</v>
      </c>
      <c r="M34" s="10" t="n">
        <f aca="false">L34+L32+L33</f>
        <v>26050.2100145092</v>
      </c>
      <c r="N34" s="10" t="n">
        <f aca="false">M34+M32+M33</f>
        <v>26329.0116946253</v>
      </c>
      <c r="O34" s="10" t="n">
        <f aca="false">N34+N32+N33</f>
        <v>26610.0437881823</v>
      </c>
      <c r="P34" s="10" t="n">
        <f aca="false">O34+O32+O33</f>
        <v>26893.3241384878</v>
      </c>
      <c r="Q34" s="10" t="n">
        <f aca="false">P34+P32+P33</f>
        <v>27178.8707315957</v>
      </c>
      <c r="R34" s="10" t="n">
        <f aca="false">Q34+Q32+Q33</f>
        <v>27466.7016974485</v>
      </c>
      <c r="S34" s="10" t="n">
        <f aca="false">R34+R32+R33</f>
        <v>27756.835311028</v>
      </c>
    </row>
    <row r="35" s="10" customFormat="true" ht="12.75" hidden="false" customHeight="false" outlineLevel="0" collapsed="false">
      <c r="A35" s="10" t="s">
        <v>40</v>
      </c>
      <c r="B35" s="10" t="n">
        <v>370.4</v>
      </c>
      <c r="C35" s="10" t="n">
        <v>370.4</v>
      </c>
      <c r="D35" s="10" t="n">
        <v>370.4</v>
      </c>
      <c r="E35" s="10" t="n">
        <v>370.4</v>
      </c>
      <c r="F35" s="10" t="n">
        <f aca="false">$E$35*2</f>
        <v>740.8</v>
      </c>
      <c r="G35" s="10" t="n">
        <f aca="false">$E$35*2</f>
        <v>740.8</v>
      </c>
      <c r="H35" s="10" t="n">
        <f aca="false">563.16</f>
        <v>563.16</v>
      </c>
      <c r="I35" s="10" t="n">
        <v>609.08</v>
      </c>
      <c r="J35" s="10" t="n">
        <f aca="false">8/100*4639</f>
        <v>371.12</v>
      </c>
      <c r="K35" s="10" t="n">
        <f aca="false">8/100*4639</f>
        <v>371.12</v>
      </c>
      <c r="L35" s="10" t="n">
        <f aca="false">8/100*4639</f>
        <v>371.12</v>
      </c>
      <c r="M35" s="10" t="n">
        <f aca="false">8/100*4639</f>
        <v>371.12</v>
      </c>
      <c r="N35" s="10" t="n">
        <f aca="false">8/100*4639</f>
        <v>371.12</v>
      </c>
      <c r="O35" s="10" t="n">
        <f aca="false">8/100*4639</f>
        <v>371.12</v>
      </c>
      <c r="P35" s="10" t="n">
        <f aca="false">8/100*4639</f>
        <v>371.12</v>
      </c>
      <c r="Q35" s="10" t="n">
        <f aca="false">8/100*4639</f>
        <v>371.12</v>
      </c>
      <c r="R35" s="10" t="n">
        <f aca="false">8/100*4639</f>
        <v>371.12</v>
      </c>
      <c r="S35" s="10" t="n">
        <f aca="false">8/100*4639</f>
        <v>371.12</v>
      </c>
    </row>
    <row r="36" s="10" customFormat="true" ht="12.75" hidden="false" customHeight="false" outlineLevel="0" collapsed="false">
      <c r="A36" s="10" t="s">
        <v>13</v>
      </c>
      <c r="B36" s="10" t="n">
        <f aca="false">B37*0.24%</f>
        <v>67.524096</v>
      </c>
      <c r="C36" s="10" t="n">
        <f aca="false">C37*0.24%</f>
        <v>68.5751138304</v>
      </c>
      <c r="D36" s="10" t="n">
        <f aca="false">D37*0.24%</f>
        <v>69.628654103593</v>
      </c>
      <c r="E36" s="10" t="n">
        <f aca="false">E37*0.24%</f>
        <v>70.6847228734416</v>
      </c>
      <c r="F36" s="10" t="n">
        <f aca="false">F37*0.24%</f>
        <v>71.7433262083379</v>
      </c>
      <c r="G36" s="10" t="n">
        <f aca="false">G37*0.24%</f>
        <v>73.6934301912379</v>
      </c>
      <c r="H36" s="10" t="n">
        <f aca="false">H37*0.2466%</f>
        <v>77.84313696</v>
      </c>
      <c r="I36" s="10" t="n">
        <f aca="false">I37*0.2466%</f>
        <v>79.4238506957434</v>
      </c>
      <c r="J36" s="10" t="n">
        <f aca="false">J37*0.2466%</f>
        <v>81.1217011915591</v>
      </c>
      <c r="K36" s="10" t="n">
        <f aca="false">K37*0.24%</f>
        <v>80.0359408532335</v>
      </c>
      <c r="L36" s="10" t="n">
        <f aca="false">L37*0.24%</f>
        <v>81.1187151112813</v>
      </c>
      <c r="M36" s="10" t="n">
        <f aca="false">M37*0.24%</f>
        <v>82.2040880275484</v>
      </c>
      <c r="N36" s="10" t="n">
        <f aca="false">N37*0.24%</f>
        <v>83.2920658388145</v>
      </c>
      <c r="O36" s="10" t="n">
        <f aca="false">O37*0.24%</f>
        <v>84.3826547968277</v>
      </c>
      <c r="P36" s="10" t="n">
        <f aca="false">P37*0.24%</f>
        <v>85.47586116834</v>
      </c>
      <c r="Q36" s="10" t="n">
        <f aca="false">Q37*0.24%</f>
        <v>86.5716912351441</v>
      </c>
      <c r="R36" s="10" t="n">
        <f aca="false">R37*0.24%</f>
        <v>87.6701512941084</v>
      </c>
      <c r="S36" s="10" t="n">
        <f aca="false">S37*0.24%</f>
        <v>88.7712476572143</v>
      </c>
    </row>
    <row r="37" s="10" customFormat="true" ht="12.75" hidden="false" customHeight="false" outlineLevel="0" collapsed="false">
      <c r="A37" s="10" t="s">
        <v>39</v>
      </c>
      <c r="B37" s="10" t="n">
        <v>28135.04</v>
      </c>
      <c r="C37" s="10" t="n">
        <f aca="false">B37+B35+B36</f>
        <v>28572.964096</v>
      </c>
      <c r="D37" s="10" t="n">
        <f aca="false">C37+C35+C36</f>
        <v>29011.9392098304</v>
      </c>
      <c r="E37" s="10" t="n">
        <f aca="false">D37+D35+D36</f>
        <v>29451.967863934</v>
      </c>
      <c r="F37" s="10" t="n">
        <f aca="false">E37+E35+E36</f>
        <v>29893.0525868074</v>
      </c>
      <c r="G37" s="10" t="n">
        <f aca="false">F37+F35+F36</f>
        <v>30705.5959130158</v>
      </c>
      <c r="H37" s="10" t="n">
        <v>31566.56</v>
      </c>
      <c r="I37" s="10" t="n">
        <f aca="false">H37+H35+H36</f>
        <v>32207.56313696</v>
      </c>
      <c r="J37" s="10" t="n">
        <f aca="false">I37+I35+I36</f>
        <v>32896.0669876557</v>
      </c>
      <c r="K37" s="10" t="n">
        <f aca="false">J37+J35+J36</f>
        <v>33348.3086888473</v>
      </c>
      <c r="L37" s="10" t="n">
        <f aca="false">K37+K35+K36</f>
        <v>33799.4646297005</v>
      </c>
      <c r="M37" s="10" t="n">
        <f aca="false">L37+L35+L36</f>
        <v>34251.7033448118</v>
      </c>
      <c r="N37" s="10" t="n">
        <f aca="false">M37+M35+M36</f>
        <v>34705.0274328394</v>
      </c>
      <c r="O37" s="10" t="n">
        <f aca="false">N37+N35+N36</f>
        <v>35159.4394986782</v>
      </c>
      <c r="P37" s="10" t="n">
        <f aca="false">O37+O35+O36</f>
        <v>35614.942153475</v>
      </c>
      <c r="Q37" s="10" t="n">
        <f aca="false">P37+P35+P36</f>
        <v>36071.5380146434</v>
      </c>
      <c r="R37" s="10" t="n">
        <f aca="false">Q37+Q35+Q36</f>
        <v>36529.2297058785</v>
      </c>
      <c r="S37" s="10" t="n">
        <f aca="false">R37+R35+R36</f>
        <v>36988.0198571726</v>
      </c>
    </row>
    <row r="38" s="10" customFormat="true" ht="12.75" hidden="false" customHeight="false" outlineLevel="0" collapsed="false">
      <c r="A38" s="10" t="s">
        <v>41</v>
      </c>
      <c r="B38" s="10" t="n">
        <v>25</v>
      </c>
      <c r="C38" s="10" t="n">
        <v>25</v>
      </c>
      <c r="D38" s="10" t="n">
        <v>25</v>
      </c>
      <c r="E38" s="10" t="n">
        <v>25</v>
      </c>
      <c r="F38" s="10" t="n">
        <v>25</v>
      </c>
      <c r="G38" s="10" t="n">
        <v>25</v>
      </c>
      <c r="H38" s="10" t="n">
        <v>25</v>
      </c>
      <c r="I38" s="10" t="n">
        <v>25</v>
      </c>
      <c r="J38" s="10" t="n">
        <v>25</v>
      </c>
      <c r="K38" s="10" t="n">
        <v>25</v>
      </c>
      <c r="L38" s="10" t="n">
        <v>25</v>
      </c>
      <c r="M38" s="10" t="n">
        <v>25</v>
      </c>
      <c r="N38" s="10" t="n">
        <v>25</v>
      </c>
      <c r="O38" s="10" t="n">
        <v>25</v>
      </c>
      <c r="P38" s="10" t="n">
        <v>25</v>
      </c>
      <c r="Q38" s="10" t="n">
        <v>25</v>
      </c>
      <c r="R38" s="10" t="n">
        <v>25</v>
      </c>
      <c r="S38" s="10" t="n">
        <v>25</v>
      </c>
    </row>
    <row r="39" s="10" customFormat="true" ht="12.75" hidden="false" customHeight="false" outlineLevel="0" collapsed="false">
      <c r="A39" s="10" t="s">
        <v>13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275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</row>
    <row r="40" s="10" customFormat="true" ht="12.75" hidden="false" customHeight="false" outlineLevel="0" collapsed="false">
      <c r="A40" s="10" t="s">
        <v>39</v>
      </c>
      <c r="B40" s="10" t="n">
        <v>10150</v>
      </c>
      <c r="C40" s="10" t="n">
        <f aca="false">B40+B38+B39</f>
        <v>10175</v>
      </c>
      <c r="D40" s="10" t="n">
        <f aca="false">C40+C38+C39</f>
        <v>10200</v>
      </c>
      <c r="E40" s="10" t="n">
        <f aca="false">D40+D38+D39</f>
        <v>10225</v>
      </c>
      <c r="F40" s="10" t="n">
        <f aca="false">E40+E38+E39</f>
        <v>10250</v>
      </c>
      <c r="G40" s="10" t="n">
        <f aca="false">F40+F38+F39</f>
        <v>10275</v>
      </c>
      <c r="H40" s="10" t="n">
        <v>10375</v>
      </c>
      <c r="I40" s="10" t="n">
        <f aca="false">H40+H38+H39</f>
        <v>10675</v>
      </c>
      <c r="J40" s="10" t="n">
        <f aca="false">I40+I38+I39</f>
        <v>10700</v>
      </c>
      <c r="K40" s="10" t="n">
        <f aca="false">J40+J38+J39</f>
        <v>10725</v>
      </c>
      <c r="L40" s="10" t="n">
        <f aca="false">K40+K38+K39</f>
        <v>10750</v>
      </c>
      <c r="M40" s="10" t="n">
        <f aca="false">L40+L38+L39</f>
        <v>10775</v>
      </c>
      <c r="N40" s="10" t="n">
        <f aca="false">M40+M38+M39</f>
        <v>10800</v>
      </c>
      <c r="O40" s="10" t="n">
        <f aca="false">N40+N38+N39</f>
        <v>10825</v>
      </c>
      <c r="P40" s="10" t="n">
        <f aca="false">O40+O38+O39</f>
        <v>10850</v>
      </c>
      <c r="Q40" s="10" t="n">
        <f aca="false">P40+P38+P39</f>
        <v>10875</v>
      </c>
      <c r="R40" s="10" t="n">
        <f aca="false">Q40+Q38+Q39</f>
        <v>10900</v>
      </c>
      <c r="S40" s="10" t="n">
        <f aca="false">R40+R38+R39</f>
        <v>10925</v>
      </c>
    </row>
    <row r="41" customFormat="false" ht="15" hidden="false" customHeight="false" outlineLevel="0" collapsed="false">
      <c r="S41" s="11"/>
    </row>
    <row r="42" customFormat="false" ht="15" hidden="false" customHeight="false" outlineLevel="0" collapsed="false">
      <c r="A42" s="12" t="s">
        <v>42</v>
      </c>
      <c r="B42" s="12"/>
      <c r="D42" s="13"/>
      <c r="E42" s="13"/>
    </row>
    <row r="43" customFormat="false" ht="15" hidden="false" customHeight="false" outlineLevel="0" collapsed="false">
      <c r="A43" s="14" t="s">
        <v>43</v>
      </c>
      <c r="B43" s="15" t="n">
        <f aca="false">1050</f>
        <v>1050</v>
      </c>
      <c r="D43" s="16"/>
      <c r="E43" s="13"/>
      <c r="H43" s="0" t="n">
        <v>1040</v>
      </c>
    </row>
    <row r="44" customFormat="false" ht="15" hidden="false" customHeight="false" outlineLevel="0" collapsed="false">
      <c r="A44" s="17" t="s">
        <v>44</v>
      </c>
      <c r="B44" s="18" t="n">
        <v>13</v>
      </c>
      <c r="D44" s="16"/>
      <c r="E44" s="13"/>
      <c r="H44" s="0" t="n">
        <v>12.8</v>
      </c>
    </row>
    <row r="45" customFormat="false" ht="15" hidden="false" customHeight="false" outlineLevel="0" collapsed="false">
      <c r="A45" s="17" t="s">
        <v>45</v>
      </c>
      <c r="B45" s="19" t="n">
        <v>4.19</v>
      </c>
      <c r="C45" s="0" t="s">
        <v>46</v>
      </c>
      <c r="D45" s="16" t="n">
        <v>5</v>
      </c>
      <c r="E45" s="0" t="n">
        <v>20</v>
      </c>
      <c r="F45" s="20" t="n">
        <f aca="false">E45*D45</f>
        <v>100</v>
      </c>
      <c r="H45" s="0" t="n">
        <v>5.49</v>
      </c>
    </row>
    <row r="46" customFormat="false" ht="15" hidden="false" customHeight="false" outlineLevel="0" collapsed="false">
      <c r="A46" s="21" t="s">
        <v>47</v>
      </c>
      <c r="B46" s="22" t="n">
        <f aca="false">B43/B44*B45</f>
        <v>338.423076923077</v>
      </c>
      <c r="C46" s="0" t="s">
        <v>48</v>
      </c>
      <c r="D46" s="16" t="n">
        <v>70</v>
      </c>
      <c r="E46" s="0" t="n">
        <v>6</v>
      </c>
      <c r="F46" s="20" t="n">
        <f aca="false">E46*D46</f>
        <v>420</v>
      </c>
      <c r="H46" s="23" t="n">
        <f aca="false">H43/H44*H45</f>
        <v>446.0625</v>
      </c>
    </row>
    <row r="47" customFormat="false" ht="15" hidden="false" customHeight="false" outlineLevel="0" collapsed="false">
      <c r="A47" s="21" t="s">
        <v>49</v>
      </c>
      <c r="B47" s="24" t="n">
        <f aca="false">9.2+4.6+4.6+2.7+2.7</f>
        <v>23.8</v>
      </c>
      <c r="C47" s="0" t="s">
        <v>50</v>
      </c>
      <c r="D47" s="16" t="n">
        <v>1050</v>
      </c>
      <c r="E47" s="0" t="n">
        <v>2</v>
      </c>
      <c r="F47" s="20" t="n">
        <f aca="false">E47*D47</f>
        <v>2100</v>
      </c>
      <c r="H47" s="23" t="n">
        <f aca="false">(4.6+4.6+3+3)</f>
        <v>15.2</v>
      </c>
    </row>
    <row r="48" customFormat="false" ht="15" hidden="false" customHeight="false" outlineLevel="0" collapsed="false">
      <c r="A48" s="21" t="s">
        <v>51</v>
      </c>
      <c r="B48" s="24" t="n">
        <f aca="false">2.7+2.7+4.6+4.6</f>
        <v>14.6</v>
      </c>
      <c r="F48" s="0" t="n">
        <v>9.8</v>
      </c>
      <c r="G48" s="0" t="s">
        <v>52</v>
      </c>
      <c r="H48" s="23" t="n">
        <f aca="false">(4.6+4.6+3+3)</f>
        <v>15.2</v>
      </c>
    </row>
    <row r="49" customFormat="false" ht="15" hidden="false" customHeight="false" outlineLevel="0" collapsed="false">
      <c r="A49" s="21" t="s">
        <v>53</v>
      </c>
      <c r="B49" s="24" t="n">
        <f aca="false">2.7+2.7+4.6+4.6</f>
        <v>14.6</v>
      </c>
      <c r="F49" s="0" t="n">
        <v>9.8</v>
      </c>
      <c r="G49" s="0" t="s">
        <v>52</v>
      </c>
      <c r="H49" s="23" t="n">
        <f aca="false">H52*H43</f>
        <v>97.46672</v>
      </c>
    </row>
    <row r="50" customFormat="false" ht="15" hidden="false" customHeight="false" outlineLevel="0" collapsed="false">
      <c r="A50" s="25" t="s">
        <v>54</v>
      </c>
      <c r="B50" s="26" t="n">
        <f aca="false">SUM(B46:B49)</f>
        <v>391.423076923077</v>
      </c>
      <c r="F50" s="0" t="n">
        <v>4.19</v>
      </c>
      <c r="G50" s="0" t="s">
        <v>55</v>
      </c>
      <c r="H50" s="23" t="n">
        <f aca="false">SUM(H46:H49)</f>
        <v>573.92922</v>
      </c>
    </row>
    <row r="51" customFormat="false" ht="15" hidden="false" customHeight="false" outlineLevel="0" collapsed="false">
      <c r="A51" s="27" t="s">
        <v>56</v>
      </c>
      <c r="B51" s="28" t="n">
        <v>450</v>
      </c>
      <c r="D51" s="13"/>
      <c r="E51" s="13"/>
      <c r="F51" s="20" t="n">
        <f aca="false">F47/F49*F50</f>
        <v>897.857142857143</v>
      </c>
      <c r="G51" s="0" t="s">
        <v>57</v>
      </c>
      <c r="H51" s="0" t="n">
        <v>937.18</v>
      </c>
    </row>
    <row r="52" customFormat="false" ht="15" hidden="false" customHeight="false" outlineLevel="0" collapsed="false">
      <c r="A52" s="29" t="s">
        <v>58</v>
      </c>
      <c r="B52" s="30" t="n">
        <f aca="false">B51*B43/10000</f>
        <v>47.25</v>
      </c>
      <c r="H52" s="31" t="n">
        <f aca="false">H51/10000</f>
        <v>0.093718</v>
      </c>
    </row>
    <row r="53" customFormat="false" ht="15" hidden="false" customHeight="false" outlineLevel="0" collapsed="false">
      <c r="A53" s="31"/>
      <c r="B53" s="32"/>
      <c r="H53" s="31"/>
    </row>
    <row r="54" customFormat="false" ht="15" hidden="false" customHeight="false" outlineLevel="0" collapsed="false">
      <c r="H54" s="33" t="s">
        <v>59</v>
      </c>
      <c r="I54" s="33" t="s">
        <v>60</v>
      </c>
      <c r="J54" s="33" t="s">
        <v>61</v>
      </c>
      <c r="K54" s="33" t="s">
        <v>62</v>
      </c>
      <c r="L54" s="33" t="s">
        <v>61</v>
      </c>
      <c r="M54" s="33" t="s">
        <v>63</v>
      </c>
      <c r="N54" s="33" t="s">
        <v>64</v>
      </c>
      <c r="O54" s="33" t="s">
        <v>65</v>
      </c>
      <c r="P54" s="33" t="s">
        <v>40</v>
      </c>
      <c r="Q54" s="33" t="s">
        <v>66</v>
      </c>
      <c r="R54" s="33" t="s">
        <v>67</v>
      </c>
    </row>
    <row r="55" customFormat="false" ht="15" hidden="false" customHeight="false" outlineLevel="0" collapsed="false">
      <c r="A55" s="0" t="s">
        <v>68</v>
      </c>
      <c r="H55" s="0" t="n">
        <v>6</v>
      </c>
      <c r="I55" s="23" t="n">
        <v>4040</v>
      </c>
      <c r="J55" s="23" t="n">
        <f aca="false">H55*I55</f>
        <v>24240</v>
      </c>
      <c r="K55" s="23" t="n">
        <f aca="false">8.5*788</f>
        <v>6698</v>
      </c>
      <c r="L55" s="23" t="n">
        <f aca="false">K55*H55</f>
        <v>40188</v>
      </c>
      <c r="M55" s="23" t="n">
        <f aca="false">L55-J55</f>
        <v>15948</v>
      </c>
      <c r="N55" s="23" t="n">
        <f aca="false">M55/12</f>
        <v>1329</v>
      </c>
      <c r="O55" s="23" t="n">
        <f aca="false">N55/3</f>
        <v>443</v>
      </c>
      <c r="P55" s="23" t="n">
        <f aca="false">M55*8%</f>
        <v>1275.84</v>
      </c>
      <c r="Q55" s="23" t="n">
        <f aca="false">M55*11%</f>
        <v>1754.28</v>
      </c>
      <c r="R55" s="23" t="n">
        <f aca="false">SUM(M55:Q55)</f>
        <v>20750.12</v>
      </c>
    </row>
    <row r="56" customFormat="false" ht="15" hidden="false" customHeight="false" outlineLevel="0" collapsed="false">
      <c r="A56" s="0" t="s">
        <v>69</v>
      </c>
      <c r="H56" s="0" t="n">
        <v>13</v>
      </c>
      <c r="I56" s="23" t="n">
        <f aca="false">I55*1.03</f>
        <v>4161.2</v>
      </c>
      <c r="J56" s="23" t="n">
        <f aca="false">H56*I56</f>
        <v>54095.6</v>
      </c>
      <c r="K56" s="23" t="n">
        <f aca="false">8.5*880</f>
        <v>7480</v>
      </c>
      <c r="L56" s="23" t="n">
        <f aca="false">K56*H56</f>
        <v>97240</v>
      </c>
      <c r="M56" s="23" t="n">
        <f aca="false">L56-J56</f>
        <v>43144.4</v>
      </c>
      <c r="N56" s="23" t="n">
        <f aca="false">M56/12</f>
        <v>3595.36666666667</v>
      </c>
      <c r="O56" s="23" t="n">
        <f aca="false">N56/3</f>
        <v>1198.45555555556</v>
      </c>
      <c r="P56" s="23" t="n">
        <f aca="false">M56*8%</f>
        <v>3451.552</v>
      </c>
      <c r="Q56" s="23" t="n">
        <f aca="false">M56*11%</f>
        <v>4745.884</v>
      </c>
      <c r="R56" s="23" t="n">
        <f aca="false">SUM(M56:Q56)</f>
        <v>56135.6582222222</v>
      </c>
    </row>
    <row r="57" customFormat="false" ht="15" hidden="false" customHeight="false" outlineLevel="0" collapsed="false">
      <c r="A57" s="0" t="s">
        <v>70</v>
      </c>
      <c r="H57" s="0" t="n">
        <v>13</v>
      </c>
      <c r="I57" s="23" t="n">
        <f aca="false">I56*1.028</f>
        <v>4277.7136</v>
      </c>
      <c r="J57" s="23" t="n">
        <f aca="false">H57*I57</f>
        <v>55610.2768</v>
      </c>
      <c r="K57" s="23" t="n">
        <f aca="false">8.5*937</f>
        <v>7964.5</v>
      </c>
      <c r="L57" s="23" t="n">
        <f aca="false">K57*H57</f>
        <v>103538.5</v>
      </c>
      <c r="M57" s="23" t="n">
        <f aca="false">L57-J57</f>
        <v>47928.2232</v>
      </c>
      <c r="N57" s="23" t="n">
        <f aca="false">M57/12</f>
        <v>3994.0186</v>
      </c>
      <c r="O57" s="23" t="n">
        <f aca="false">N57/3</f>
        <v>1331.33953333333</v>
      </c>
      <c r="P57" s="23" t="n">
        <f aca="false">M57*8%</f>
        <v>3834.257856</v>
      </c>
      <c r="Q57" s="23" t="n">
        <f aca="false">M57*11%</f>
        <v>5272.104552</v>
      </c>
      <c r="R57" s="23" t="n">
        <f aca="false">SUM(M57:Q57)</f>
        <v>62359.9437413333</v>
      </c>
    </row>
    <row r="58" customFormat="false" ht="15" hidden="false" customHeight="false" outlineLevel="0" collapsed="false">
      <c r="A58" s="0" t="s">
        <v>71</v>
      </c>
      <c r="H58" s="0" t="n">
        <v>13</v>
      </c>
      <c r="I58" s="23" t="n">
        <f aca="false">I57*1.028</f>
        <v>4397.4895808</v>
      </c>
      <c r="J58" s="23" t="n">
        <f aca="false">H58*I58</f>
        <v>57167.3645504</v>
      </c>
      <c r="K58" s="23" t="n">
        <f aca="false">8.5*954</f>
        <v>8109</v>
      </c>
      <c r="L58" s="23" t="n">
        <f aca="false">K58*H58</f>
        <v>105417</v>
      </c>
      <c r="M58" s="23" t="n">
        <f aca="false">L58-J58</f>
        <v>48249.6354496</v>
      </c>
      <c r="N58" s="23" t="n">
        <f aca="false">M58/12</f>
        <v>4020.80295413333</v>
      </c>
      <c r="O58" s="23" t="n">
        <f aca="false">N58/3</f>
        <v>1340.26765137778</v>
      </c>
      <c r="P58" s="23" t="n">
        <f aca="false">M58*8%</f>
        <v>3859.970835968</v>
      </c>
      <c r="Q58" s="23" t="n">
        <f aca="false">M58*11%</f>
        <v>5307.459899456</v>
      </c>
      <c r="R58" s="23" t="n">
        <f aca="false">SUM(M58:Q58)</f>
        <v>62778.1367905351</v>
      </c>
    </row>
    <row r="59" customFormat="false" ht="15" hidden="false" customHeight="false" outlineLevel="0" collapsed="false">
      <c r="A59" s="0" t="s">
        <v>72</v>
      </c>
      <c r="H59" s="0" t="n">
        <v>13</v>
      </c>
      <c r="I59" s="23" t="n">
        <f aca="false">I58*1.028</f>
        <v>4520.6192890624</v>
      </c>
      <c r="J59" s="23" t="n">
        <f aca="false">H59*I59</f>
        <v>58768.0507578112</v>
      </c>
      <c r="K59" s="23" t="n">
        <f aca="false">8.5*998</f>
        <v>8483</v>
      </c>
      <c r="L59" s="23" t="n">
        <f aca="false">K59*H59</f>
        <v>110279</v>
      </c>
      <c r="M59" s="23" t="n">
        <f aca="false">L59-J59</f>
        <v>51510.9492421888</v>
      </c>
      <c r="N59" s="23" t="n">
        <f aca="false">M59/12</f>
        <v>4292.57910351573</v>
      </c>
      <c r="O59" s="23" t="n">
        <f aca="false">N59/3</f>
        <v>1430.85970117191</v>
      </c>
      <c r="P59" s="23" t="n">
        <f aca="false">M59*8%</f>
        <v>4120.8759393751</v>
      </c>
      <c r="Q59" s="23" t="n">
        <f aca="false">M59*11%</f>
        <v>5666.20441664077</v>
      </c>
      <c r="R59" s="23" t="n">
        <f aca="false">SUM(M59:Q59)</f>
        <v>67021.4684028923</v>
      </c>
    </row>
    <row r="60" customFormat="false" ht="15" hidden="false" customHeight="false" outlineLevel="0" collapsed="false">
      <c r="A60" s="0" t="s">
        <v>73</v>
      </c>
      <c r="H60" s="0" t="n">
        <v>13</v>
      </c>
      <c r="I60" s="23" t="n">
        <f aca="false">I59*1.028</f>
        <v>4647.19662915615</v>
      </c>
      <c r="J60" s="23" t="n">
        <f aca="false">H60*I60</f>
        <v>60413.5561790299</v>
      </c>
      <c r="K60" s="23" t="n">
        <f aca="false">8.5*1039</f>
        <v>8831.5</v>
      </c>
      <c r="L60" s="23" t="n">
        <f aca="false">K60*H60</f>
        <v>114809.5</v>
      </c>
      <c r="M60" s="23" t="n">
        <f aca="false">L60-J60</f>
        <v>54395.9438209701</v>
      </c>
      <c r="N60" s="23" t="n">
        <f aca="false">M60/12</f>
        <v>4532.99531841417</v>
      </c>
      <c r="O60" s="23" t="n">
        <f aca="false">N60/3</f>
        <v>1510.99843947139</v>
      </c>
      <c r="P60" s="23" t="n">
        <f aca="false">M60*8%</f>
        <v>4351.67550567761</v>
      </c>
      <c r="Q60" s="23" t="n">
        <f aca="false">M60*11%</f>
        <v>5983.55382030671</v>
      </c>
      <c r="R60" s="23" t="n">
        <f aca="false">SUM(M60:Q60)</f>
        <v>70775.16690484</v>
      </c>
    </row>
    <row r="61" customFormat="false" ht="15" hidden="false" customHeight="false" outlineLevel="0" collapsed="false">
      <c r="A61" s="0" t="s">
        <v>74</v>
      </c>
      <c r="H61" s="0" t="n">
        <v>13</v>
      </c>
      <c r="I61" s="23" t="n">
        <f aca="false">I60*1.028</f>
        <v>4777.31813477252</v>
      </c>
      <c r="J61" s="23" t="n">
        <f aca="false">H61*I61</f>
        <v>62105.1357520428</v>
      </c>
      <c r="K61" s="23" t="n">
        <f aca="false">8.5*1045</f>
        <v>8882.5</v>
      </c>
      <c r="L61" s="23" t="n">
        <f aca="false">K61*H61</f>
        <v>115472.5</v>
      </c>
      <c r="M61" s="23" t="n">
        <f aca="false">L61-J61</f>
        <v>53367.3642479572</v>
      </c>
      <c r="N61" s="23" t="n">
        <f aca="false">M61/12</f>
        <v>4447.28035399644</v>
      </c>
      <c r="O61" s="23" t="n">
        <f aca="false">N61/3</f>
        <v>1482.42678466548</v>
      </c>
      <c r="P61" s="23" t="n">
        <f aca="false">M61*8%</f>
        <v>4269.38913983658</v>
      </c>
      <c r="Q61" s="23" t="n">
        <f aca="false">M61*11%</f>
        <v>5870.4100672753</v>
      </c>
      <c r="R61" s="23" t="n">
        <f aca="false">SUM(M61:Q61)</f>
        <v>69436.870593731</v>
      </c>
    </row>
    <row r="62" customFormat="false" ht="15" hidden="false" customHeight="false" outlineLevel="0" collapsed="false">
      <c r="A62" s="0" t="s">
        <v>75</v>
      </c>
      <c r="H62" s="0" t="n">
        <v>3</v>
      </c>
      <c r="I62" s="23" t="n">
        <f aca="false">I61*1.028</f>
        <v>4911.08304254615</v>
      </c>
      <c r="J62" s="23" t="n">
        <f aca="false">H62*I62</f>
        <v>14733.2491276385</v>
      </c>
      <c r="K62" s="23" t="n">
        <f aca="false">8.5*1100</f>
        <v>9350</v>
      </c>
      <c r="L62" s="23" t="n">
        <f aca="false">K62*H62</f>
        <v>28050</v>
      </c>
      <c r="M62" s="23" t="n">
        <f aca="false">L62-J62</f>
        <v>13316.7508723616</v>
      </c>
      <c r="N62" s="23" t="n">
        <f aca="false">M62/12</f>
        <v>1109.72923936346</v>
      </c>
      <c r="O62" s="23" t="n">
        <f aca="false">N62/3</f>
        <v>369.909746454487</v>
      </c>
      <c r="P62" s="23" t="n">
        <f aca="false">M62*8%</f>
        <v>1065.34006978892</v>
      </c>
      <c r="Q62" s="23" t="n">
        <f aca="false">M62*11%</f>
        <v>1464.84259595977</v>
      </c>
      <c r="R62" s="23" t="n">
        <f aca="false">SUM(M62:Q62)</f>
        <v>17326.5725239282</v>
      </c>
    </row>
    <row r="63" customFormat="false" ht="15" hidden="false" customHeight="false" outlineLevel="0" collapsed="false">
      <c r="A63" s="0" t="s">
        <v>76</v>
      </c>
      <c r="J63" s="23" t="n">
        <f aca="false">SUM(J55:J62)</f>
        <v>387133.233166922</v>
      </c>
      <c r="L63" s="23" t="n">
        <f aca="false">SUM(L55:L62)</f>
        <v>714994.5</v>
      </c>
      <c r="M63" s="23" t="n">
        <f aca="false">SUM(M55:M62)</f>
        <v>327861.266833078</v>
      </c>
      <c r="N63" s="23" t="n">
        <f aca="false">SUM(N55:N62)</f>
        <v>27321.7722360898</v>
      </c>
      <c r="O63" s="23" t="n">
        <f aca="false">SUM(O55:O62)</f>
        <v>9107.25741202994</v>
      </c>
      <c r="P63" s="23" t="n">
        <f aca="false">SUM(P55:P62)</f>
        <v>26228.9013466462</v>
      </c>
      <c r="Q63" s="23" t="n">
        <f aca="false">SUM(Q55:Q62)</f>
        <v>36064.7393516385</v>
      </c>
      <c r="R63" s="23" t="n">
        <f aca="false">SUM(R55:R62)</f>
        <v>426583.937179482</v>
      </c>
    </row>
    <row r="1048576" customFormat="false" ht="12.8" hidden="false" customHeight="false" outlineLevel="0" collapsed="false"/>
  </sheetData>
  <mergeCells count="4">
    <mergeCell ref="A1:A2"/>
    <mergeCell ref="B1:G1"/>
    <mergeCell ref="H1:S1"/>
    <mergeCell ref="A42:B4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3" topLeftCell="G6" activePane="bottomRight" state="frozen"/>
      <selection pane="topLeft" activeCell="A1" activeCellId="0" sqref="A1"/>
      <selection pane="topRight" activeCell="G1" activeCellId="0" sqref="G1"/>
      <selection pane="bottomLeft" activeCell="A6" activeCellId="0" sqref="A6"/>
      <selection pane="bottomRight" activeCell="H2" activeCellId="0" sqref="H2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24.86"/>
    <col collapsed="false" customWidth="true" hidden="false" outlineLevel="0" max="3" min="2" style="0" width="13.43"/>
    <col collapsed="false" customWidth="true" hidden="false" outlineLevel="0" max="4" min="4" style="0" width="15.15"/>
    <col collapsed="false" customWidth="true" hidden="false" outlineLevel="0" max="10" min="5" style="0" width="13.43"/>
    <col collapsed="false" customWidth="true" hidden="false" outlineLevel="0" max="19" min="11" style="0" width="14.57"/>
  </cols>
  <sheetData>
    <row r="1" s="1" customFormat="true" ht="27" hidden="false" customHeight="false" outlineLevel="0" collapsed="false">
      <c r="A1" s="1" t="s">
        <v>0</v>
      </c>
      <c r="B1" s="2" t="n">
        <v>2020</v>
      </c>
      <c r="C1" s="2"/>
      <c r="D1" s="2"/>
      <c r="E1" s="2"/>
      <c r="F1" s="2"/>
      <c r="G1" s="2"/>
      <c r="H1" s="2" t="n">
        <v>2021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1" customFormat="true" ht="27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</row>
    <row r="3" s="3" customFormat="true" ht="3" hidden="false" customHeight="true" outlineLevel="0" collapsed="false"/>
    <row r="4" s="4" customFormat="true" ht="12.75" hidden="false" customHeight="false" outlineLevel="0" collapsed="false">
      <c r="A4" s="4" t="s">
        <v>13</v>
      </c>
      <c r="B4" s="5" t="n">
        <f aca="false">SUM(B5:B8)</f>
        <v>4616.94</v>
      </c>
      <c r="C4" s="5" t="n">
        <f aca="false">SUM(C5:C8)</f>
        <v>4616.94</v>
      </c>
      <c r="D4" s="5" t="n">
        <f aca="false">SUM(D5:D8)</f>
        <v>4616.94</v>
      </c>
      <c r="E4" s="5" t="n">
        <f aca="false">SUM(E5:E8)</f>
        <v>4616.94</v>
      </c>
      <c r="F4" s="5" t="n">
        <f aca="false">SUM(F5:F8)</f>
        <v>6455.94</v>
      </c>
      <c r="G4" s="5" t="n">
        <f aca="false">SUM(G5:G8)</f>
        <v>6455.94</v>
      </c>
      <c r="H4" s="5" t="n">
        <f aca="false">SUM(H5:H8)</f>
        <v>4616.94</v>
      </c>
      <c r="I4" s="5" t="n">
        <f aca="false">SUM(I5:I8)</f>
        <v>4668.11</v>
      </c>
      <c r="J4" s="5" t="n">
        <f aca="false">SUM(J5:J8)</f>
        <v>4668.11</v>
      </c>
      <c r="K4" s="5" t="n">
        <f aca="false">SUM(K5:K8)</f>
        <v>4668.11</v>
      </c>
      <c r="L4" s="5" t="n">
        <f aca="false">SUM(L5:L8)</f>
        <v>4668.11</v>
      </c>
      <c r="M4" s="5" t="n">
        <f aca="false">SUM(M5:M8)</f>
        <v>4668.11</v>
      </c>
      <c r="N4" s="5" t="n">
        <f aca="false">SUM(N5:N8)</f>
        <v>4668.11</v>
      </c>
      <c r="O4" s="5" t="n">
        <f aca="false">SUM(O5:O8)</f>
        <v>4668.11</v>
      </c>
      <c r="P4" s="5" t="n">
        <f aca="false">SUM(P5:P8)</f>
        <v>4668.11</v>
      </c>
      <c r="Q4" s="5" t="n">
        <f aca="false">SUM(Q5:Q8)</f>
        <v>4668.11</v>
      </c>
      <c r="R4" s="5" t="n">
        <f aca="false">SUM(R5:R8)</f>
        <v>7002.165</v>
      </c>
      <c r="S4" s="5" t="n">
        <f aca="false">SUM(S5:S8)</f>
        <v>7002.165</v>
      </c>
    </row>
    <row r="5" s="6" customFormat="true" ht="12.75" hidden="false" customHeight="false" outlineLevel="0" collapsed="false">
      <c r="A5" s="6" t="s">
        <v>14</v>
      </c>
      <c r="B5" s="6" t="n">
        <f aca="false">1852+1826</f>
        <v>3678</v>
      </c>
      <c r="C5" s="6" t="n">
        <f aca="false">1852+1826</f>
        <v>3678</v>
      </c>
      <c r="D5" s="6" t="n">
        <f aca="false">1852+1826</f>
        <v>3678</v>
      </c>
      <c r="E5" s="6" t="n">
        <f aca="false">1852+1826</f>
        <v>3678</v>
      </c>
      <c r="F5" s="6" t="n">
        <f aca="false">1852+1826</f>
        <v>3678</v>
      </c>
      <c r="G5" s="6" t="n">
        <f aca="false">1852+1826</f>
        <v>3678</v>
      </c>
      <c r="H5" s="6" t="n">
        <f aca="false">1852+1826</f>
        <v>3678</v>
      </c>
      <c r="I5" s="6" t="n">
        <f aca="false">1852+1826</f>
        <v>3678</v>
      </c>
      <c r="J5" s="6" t="n">
        <f aca="false">1852+1826</f>
        <v>3678</v>
      </c>
      <c r="K5" s="6" t="n">
        <f aca="false">1852+1826</f>
        <v>3678</v>
      </c>
      <c r="L5" s="6" t="n">
        <f aca="false">1852+1826</f>
        <v>3678</v>
      </c>
      <c r="M5" s="6" t="n">
        <f aca="false">1852+1826</f>
        <v>3678</v>
      </c>
      <c r="N5" s="6" t="n">
        <f aca="false">1852+1826</f>
        <v>3678</v>
      </c>
      <c r="O5" s="6" t="n">
        <f aca="false">1852+1826</f>
        <v>3678</v>
      </c>
      <c r="P5" s="6" t="n">
        <f aca="false">1852+1826</f>
        <v>3678</v>
      </c>
      <c r="Q5" s="6" t="n">
        <f aca="false">1852+1826</f>
        <v>3678</v>
      </c>
      <c r="R5" s="6" t="n">
        <f aca="false">1852+1826</f>
        <v>3678</v>
      </c>
      <c r="S5" s="6" t="n">
        <f aca="false">1852+1826</f>
        <v>3678</v>
      </c>
    </row>
    <row r="6" s="6" customFormat="true" ht="12.75" hidden="false" customHeight="false" outlineLevel="0" collapsed="false">
      <c r="A6" s="6" t="s">
        <v>77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f aca="false">F5/2</f>
        <v>1839</v>
      </c>
      <c r="G6" s="6" t="n">
        <f aca="false">G5/2</f>
        <v>1839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f aca="false">R5/2</f>
        <v>1839</v>
      </c>
      <c r="S6" s="6" t="n">
        <f aca="false">S5/2</f>
        <v>1839</v>
      </c>
    </row>
    <row r="7" s="6" customFormat="true" ht="12.75" hidden="false" customHeight="false" outlineLevel="0" collapsed="false">
      <c r="A7" s="6" t="s">
        <v>16</v>
      </c>
      <c r="B7" s="6" t="n">
        <v>938.94</v>
      </c>
      <c r="C7" s="6" t="n">
        <v>938.94</v>
      </c>
      <c r="D7" s="6" t="n">
        <v>938.94</v>
      </c>
      <c r="E7" s="6" t="n">
        <v>938.94</v>
      </c>
      <c r="F7" s="6" t="n">
        <v>938.94</v>
      </c>
      <c r="G7" s="6" t="n">
        <v>938.94</v>
      </c>
      <c r="H7" s="6" t="n">
        <v>938.94</v>
      </c>
      <c r="I7" s="6" t="n">
        <v>990.11</v>
      </c>
      <c r="J7" s="6" t="n">
        <f aca="false">I7</f>
        <v>990.11</v>
      </c>
      <c r="K7" s="6" t="n">
        <f aca="false">J7</f>
        <v>990.11</v>
      </c>
      <c r="L7" s="6" t="n">
        <f aca="false">K7</f>
        <v>990.11</v>
      </c>
      <c r="M7" s="6" t="n">
        <f aca="false">L7</f>
        <v>990.11</v>
      </c>
      <c r="N7" s="6" t="n">
        <f aca="false">M7</f>
        <v>990.11</v>
      </c>
      <c r="O7" s="6" t="n">
        <f aca="false">N7</f>
        <v>990.11</v>
      </c>
      <c r="P7" s="6" t="n">
        <f aca="false">O7</f>
        <v>990.11</v>
      </c>
      <c r="Q7" s="6" t="n">
        <f aca="false">P7</f>
        <v>990.11</v>
      </c>
      <c r="R7" s="6" t="n">
        <f aca="false">Q7</f>
        <v>990.11</v>
      </c>
      <c r="S7" s="6" t="n">
        <f aca="false">R7</f>
        <v>990.11</v>
      </c>
    </row>
    <row r="8" s="6" customFormat="true" ht="12.75" hidden="false" customHeight="false" outlineLevel="0" collapsed="false">
      <c r="A8" s="6" t="s">
        <v>17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R8" s="6" t="n">
        <f aca="false">R7/2</f>
        <v>495.055</v>
      </c>
      <c r="S8" s="6" t="n">
        <f aca="false">S7/2</f>
        <v>495.055</v>
      </c>
    </row>
    <row r="9" s="3" customFormat="true" ht="3" hidden="false" customHeight="true" outlineLevel="0" collapsed="false">
      <c r="B9" s="7"/>
      <c r="C9" s="7"/>
      <c r="D9" s="7"/>
      <c r="E9" s="7"/>
      <c r="F9" s="7"/>
      <c r="G9" s="7"/>
    </row>
    <row r="10" s="4" customFormat="true" ht="12.75" hidden="false" customHeight="false" outlineLevel="0" collapsed="false">
      <c r="A10" s="4" t="s">
        <v>18</v>
      </c>
      <c r="B10" s="5" t="n">
        <f aca="false">SUM(B11:B27)</f>
        <v>4685.2</v>
      </c>
      <c r="C10" s="5" t="n">
        <f aca="false">SUM(C11:C27)</f>
        <v>4456.47</v>
      </c>
      <c r="D10" s="5" t="n">
        <f aca="false">SUM(D11:D27)</f>
        <v>4345.58</v>
      </c>
      <c r="E10" s="5" t="n">
        <f aca="false">SUM(E11:E27)</f>
        <v>4314.06</v>
      </c>
      <c r="F10" s="5" t="n">
        <f aca="false">SUM(F11:F27)</f>
        <v>3799.59</v>
      </c>
      <c r="G10" s="5" t="n">
        <f aca="false">SUM(G11:G27)</f>
        <v>3523.42</v>
      </c>
      <c r="H10" s="5" t="n">
        <f aca="false">SUM(H11:H27)</f>
        <v>3433.6</v>
      </c>
      <c r="I10" s="5" t="n">
        <f aca="false">SUM(I11:I27)</f>
        <v>3433.6</v>
      </c>
      <c r="J10" s="5" t="n">
        <f aca="false">SUM(J11:J27)</f>
        <v>9978.6316</v>
      </c>
      <c r="K10" s="5" t="n">
        <f aca="false">SUM(K11:K27)</f>
        <v>3529.78</v>
      </c>
      <c r="L10" s="5" t="n">
        <f aca="false">SUM(L11:L27)</f>
        <v>3372.55</v>
      </c>
      <c r="M10" s="5" t="n">
        <f aca="false">SUM(M11:M27)</f>
        <v>3372.55</v>
      </c>
      <c r="N10" s="5" t="n">
        <f aca="false">SUM(N11:N27)</f>
        <v>3372.55</v>
      </c>
      <c r="O10" s="5" t="n">
        <f aca="false">SUM(O11:O27)</f>
        <v>3767.04</v>
      </c>
      <c r="P10" s="5" t="n">
        <f aca="false">SUM(P11:P27)</f>
        <v>3665.63</v>
      </c>
      <c r="Q10" s="5" t="n">
        <f aca="false">SUM(Q11:Q27)</f>
        <v>3555.63</v>
      </c>
      <c r="R10" s="5" t="n">
        <f aca="false">SUM(R11:R27)</f>
        <v>3509.9</v>
      </c>
      <c r="S10" s="5" t="n">
        <f aca="false">SUM(S11:S27)</f>
        <v>3386.37</v>
      </c>
    </row>
    <row r="11" s="8" customFormat="true" ht="12.75" hidden="false" customHeight="false" outlineLevel="0" collapsed="false">
      <c r="A11" s="8" t="s">
        <v>19</v>
      </c>
      <c r="B11" s="8" t="n">
        <v>935</v>
      </c>
      <c r="C11" s="8" t="n">
        <v>935</v>
      </c>
      <c r="D11" s="8" t="n">
        <v>935</v>
      </c>
      <c r="E11" s="8" t="n">
        <v>935</v>
      </c>
      <c r="F11" s="8" t="n">
        <v>935</v>
      </c>
      <c r="G11" s="8" t="n">
        <v>935</v>
      </c>
      <c r="H11" s="8" t="n">
        <v>960</v>
      </c>
      <c r="I11" s="8" t="n">
        <f aca="false">H11</f>
        <v>960</v>
      </c>
      <c r="J11" s="8" t="n">
        <f aca="false">I11</f>
        <v>960</v>
      </c>
      <c r="K11" s="8" t="n">
        <f aca="false">J11</f>
        <v>960</v>
      </c>
      <c r="L11" s="8" t="n">
        <f aca="false">K11</f>
        <v>960</v>
      </c>
      <c r="M11" s="8" t="n">
        <f aca="false">L11</f>
        <v>960</v>
      </c>
      <c r="N11" s="8" t="n">
        <f aca="false">M11</f>
        <v>960</v>
      </c>
      <c r="O11" s="8" t="n">
        <f aca="false">N11</f>
        <v>960</v>
      </c>
      <c r="P11" s="8" t="n">
        <f aca="false">O11</f>
        <v>960</v>
      </c>
      <c r="Q11" s="8" t="n">
        <f aca="false">P11</f>
        <v>960</v>
      </c>
      <c r="R11" s="8" t="n">
        <f aca="false">Q11</f>
        <v>960</v>
      </c>
      <c r="S11" s="8" t="n">
        <f aca="false">R11</f>
        <v>960</v>
      </c>
    </row>
    <row r="12" s="8" customFormat="true" ht="12.75" hidden="false" customHeight="false" outlineLevel="0" collapsed="false">
      <c r="A12" s="8" t="s">
        <v>20</v>
      </c>
      <c r="B12" s="8" t="n">
        <v>120</v>
      </c>
      <c r="C12" s="8" t="n">
        <v>120</v>
      </c>
      <c r="D12" s="8" t="n">
        <v>120</v>
      </c>
      <c r="E12" s="8" t="n">
        <v>120</v>
      </c>
      <c r="F12" s="8" t="n">
        <v>120</v>
      </c>
      <c r="G12" s="8" t="n">
        <v>120</v>
      </c>
      <c r="H12" s="8" t="n">
        <v>120</v>
      </c>
      <c r="I12" s="8" t="n">
        <v>120</v>
      </c>
      <c r="J12" s="8" t="n">
        <v>120</v>
      </c>
      <c r="K12" s="8" t="n">
        <v>120</v>
      </c>
      <c r="L12" s="8" t="n">
        <v>120</v>
      </c>
      <c r="M12" s="8" t="n">
        <v>120</v>
      </c>
      <c r="N12" s="8" t="n">
        <v>120</v>
      </c>
      <c r="O12" s="8" t="n">
        <v>120</v>
      </c>
      <c r="P12" s="8" t="n">
        <v>120</v>
      </c>
      <c r="Q12" s="8" t="n">
        <v>120</v>
      </c>
      <c r="R12" s="8" t="n">
        <v>120</v>
      </c>
      <c r="S12" s="8" t="n">
        <v>120</v>
      </c>
    </row>
    <row r="13" s="8" customFormat="true" ht="12.75" hidden="false" customHeight="false" outlineLevel="0" collapsed="false">
      <c r="A13" s="8" t="s">
        <v>21</v>
      </c>
      <c r="B13" s="8" t="n">
        <f aca="false">11.4+63.4+3.5+65.6</f>
        <v>143.9</v>
      </c>
      <c r="C13" s="8" t="n">
        <f aca="false">11.4+63.4+3.5</f>
        <v>78.3</v>
      </c>
      <c r="D13" s="8" t="n">
        <f aca="false">11.4+63.4+3.5</f>
        <v>78.3</v>
      </c>
      <c r="E13" s="8" t="n">
        <f aca="false">11.4+63.4+3.5</f>
        <v>78.3</v>
      </c>
      <c r="F13" s="8" t="n">
        <f aca="false">11.4+63.4+3.5</f>
        <v>78.3</v>
      </c>
      <c r="G13" s="8" t="n">
        <f aca="false">11.4+63.4+3.5</f>
        <v>78.3</v>
      </c>
      <c r="H13" s="8" t="n">
        <f aca="false">11.4+63.4+3.5</f>
        <v>78.3</v>
      </c>
      <c r="I13" s="8" t="n">
        <f aca="false">11.4+63.4+3.5</f>
        <v>78.3</v>
      </c>
      <c r="J13" s="8" t="n">
        <f aca="false">11.4+63.4+3.5</f>
        <v>78.3</v>
      </c>
      <c r="K13" s="8" t="n">
        <f aca="false">11.4+63.4+3.5</f>
        <v>78.3</v>
      </c>
      <c r="L13" s="8" t="n">
        <f aca="false">11.4+63.4+3.5</f>
        <v>78.3</v>
      </c>
      <c r="M13" s="8" t="n">
        <f aca="false">11.4+63.4+3.5</f>
        <v>78.3</v>
      </c>
      <c r="N13" s="8" t="n">
        <f aca="false">11.4+63.4+3.5</f>
        <v>78.3</v>
      </c>
      <c r="O13" s="8" t="n">
        <f aca="false">11.4+63.4+3.5</f>
        <v>78.3</v>
      </c>
      <c r="P13" s="8" t="n">
        <f aca="false">11.4+63.4+3.5</f>
        <v>78.3</v>
      </c>
      <c r="Q13" s="8" t="n">
        <f aca="false">11.4+63.4+3.5</f>
        <v>78.3</v>
      </c>
      <c r="R13" s="8" t="n">
        <f aca="false">11.4+63.4+3.5</f>
        <v>78.3</v>
      </c>
      <c r="S13" s="8" t="n">
        <f aca="false">11.4+63.4+3.5</f>
        <v>78.3</v>
      </c>
    </row>
    <row r="14" s="8" customFormat="true" ht="12.75" hidden="false" customHeight="false" outlineLevel="0" collapsed="false">
      <c r="A14" s="8" t="s">
        <v>22</v>
      </c>
      <c r="B14" s="8" t="n">
        <v>140.58</v>
      </c>
      <c r="C14" s="8" t="n">
        <f aca="false">B14</f>
        <v>140.58</v>
      </c>
      <c r="D14" s="8" t="n">
        <f aca="false">C14</f>
        <v>140.58</v>
      </c>
      <c r="E14" s="8" t="n">
        <f aca="false">D14</f>
        <v>140.58</v>
      </c>
      <c r="F14" s="8" t="n">
        <f aca="false">E14</f>
        <v>140.58</v>
      </c>
      <c r="G14" s="8" t="n">
        <f aca="false">F14</f>
        <v>140.58</v>
      </c>
      <c r="H14" s="8" t="n">
        <f aca="false">G14</f>
        <v>140.58</v>
      </c>
      <c r="I14" s="8" t="n">
        <f aca="false">H14</f>
        <v>140.58</v>
      </c>
      <c r="J14" s="8" t="n">
        <f aca="false">I14</f>
        <v>140.58</v>
      </c>
      <c r="K14" s="8" t="n">
        <f aca="false">J14</f>
        <v>140.58</v>
      </c>
      <c r="L14" s="8" t="n">
        <f aca="false">K14</f>
        <v>140.58</v>
      </c>
      <c r="M14" s="8" t="n">
        <f aca="false">L14</f>
        <v>140.58</v>
      </c>
      <c r="N14" s="8" t="n">
        <f aca="false">M14</f>
        <v>140.58</v>
      </c>
      <c r="O14" s="8" t="n">
        <f aca="false">N14</f>
        <v>140.58</v>
      </c>
      <c r="P14" s="8" t="n">
        <f aca="false">O14</f>
        <v>140.58</v>
      </c>
      <c r="Q14" s="8" t="n">
        <f aca="false">P14</f>
        <v>140.58</v>
      </c>
      <c r="R14" s="8" t="n">
        <f aca="false">Q14</f>
        <v>140.58</v>
      </c>
      <c r="S14" s="8" t="n">
        <f aca="false">R14</f>
        <v>140.58</v>
      </c>
    </row>
    <row r="15" s="8" customFormat="true" ht="12.75" hidden="false" customHeight="false" outlineLevel="0" collapsed="false">
      <c r="A15" s="8" t="s">
        <v>23</v>
      </c>
      <c r="B15" s="8" t="n">
        <v>99.99</v>
      </c>
      <c r="C15" s="8" t="n">
        <v>99.99</v>
      </c>
      <c r="D15" s="8" t="n">
        <v>99.99</v>
      </c>
      <c r="E15" s="8" t="n">
        <v>99.99</v>
      </c>
      <c r="F15" s="8" t="n">
        <v>99.99</v>
      </c>
      <c r="G15" s="8" t="n">
        <v>99.99</v>
      </c>
      <c r="H15" s="8" t="n">
        <v>99.99</v>
      </c>
      <c r="I15" s="8" t="n">
        <v>99.99</v>
      </c>
      <c r="J15" s="8" t="n">
        <v>99.99</v>
      </c>
      <c r="K15" s="8" t="n">
        <v>99.99</v>
      </c>
      <c r="L15" s="8" t="n">
        <v>99.99</v>
      </c>
      <c r="M15" s="8" t="n">
        <v>99.99</v>
      </c>
      <c r="N15" s="8" t="n">
        <v>99.99</v>
      </c>
      <c r="O15" s="8" t="n">
        <v>99.99</v>
      </c>
      <c r="P15" s="8" t="n">
        <v>99.99</v>
      </c>
      <c r="Q15" s="8" t="n">
        <v>99.99</v>
      </c>
      <c r="R15" s="8" t="n">
        <v>99.99</v>
      </c>
      <c r="S15" s="8" t="n">
        <v>99.99</v>
      </c>
    </row>
    <row r="16" s="8" customFormat="true" ht="12.75" hidden="false" customHeight="false" outlineLevel="0" collapsed="false">
      <c r="A16" s="8" t="s">
        <v>24</v>
      </c>
      <c r="B16" s="8" t="n">
        <v>45.99</v>
      </c>
      <c r="C16" s="8" t="n">
        <v>45.99</v>
      </c>
      <c r="D16" s="8" t="n">
        <v>45.99</v>
      </c>
      <c r="E16" s="8" t="n">
        <v>45.99</v>
      </c>
      <c r="F16" s="8" t="n">
        <v>45.99</v>
      </c>
      <c r="G16" s="8" t="n">
        <v>45.99</v>
      </c>
      <c r="H16" s="8" t="n">
        <v>45.99</v>
      </c>
      <c r="I16" s="8" t="n">
        <v>45.99</v>
      </c>
      <c r="J16" s="8" t="n">
        <v>45.99</v>
      </c>
      <c r="K16" s="8" t="n">
        <v>45.99</v>
      </c>
      <c r="L16" s="8" t="n">
        <v>45.99</v>
      </c>
      <c r="M16" s="8" t="n">
        <v>45.99</v>
      </c>
      <c r="N16" s="8" t="n">
        <v>45.99</v>
      </c>
      <c r="O16" s="8" t="n">
        <v>45.99</v>
      </c>
      <c r="P16" s="8" t="n">
        <v>45.99</v>
      </c>
      <c r="Q16" s="8" t="n">
        <v>45.99</v>
      </c>
      <c r="R16" s="8" t="n">
        <v>45.99</v>
      </c>
      <c r="S16" s="8" t="n">
        <v>45.99</v>
      </c>
    </row>
    <row r="17" s="8" customFormat="true" ht="12.75" hidden="false" customHeight="false" outlineLevel="0" collapsed="false">
      <c r="A17" s="8" t="s">
        <v>25</v>
      </c>
      <c r="B17" s="8" t="n">
        <v>54.99</v>
      </c>
      <c r="C17" s="8" t="n">
        <v>54.99</v>
      </c>
      <c r="D17" s="8" t="n">
        <v>54.99</v>
      </c>
      <c r="E17" s="8" t="n">
        <v>54.99</v>
      </c>
      <c r="F17" s="8" t="n">
        <v>54.99</v>
      </c>
      <c r="G17" s="8" t="n">
        <v>54.99</v>
      </c>
      <c r="H17" s="8" t="n">
        <v>54.99</v>
      </c>
      <c r="I17" s="8" t="n">
        <v>54.99</v>
      </c>
      <c r="J17" s="8" t="n">
        <v>54.99</v>
      </c>
      <c r="K17" s="8" t="n">
        <v>54.99</v>
      </c>
      <c r="L17" s="8" t="n">
        <v>54.99</v>
      </c>
      <c r="M17" s="8" t="n">
        <v>54.99</v>
      </c>
      <c r="N17" s="8" t="n">
        <v>54.99</v>
      </c>
      <c r="O17" s="8" t="n">
        <v>54.99</v>
      </c>
      <c r="P17" s="8" t="n">
        <v>54.99</v>
      </c>
      <c r="Q17" s="8" t="n">
        <v>54.99</v>
      </c>
      <c r="R17" s="8" t="n">
        <v>54.99</v>
      </c>
      <c r="S17" s="8" t="n">
        <v>54.99</v>
      </c>
    </row>
    <row r="18" s="8" customFormat="true" ht="12.75" hidden="false" customHeight="false" outlineLevel="0" collapsed="false">
      <c r="A18" s="8" t="s">
        <v>78</v>
      </c>
      <c r="B18" s="8" t="n">
        <v>69.01</v>
      </c>
      <c r="C18" s="8" t="n">
        <v>69.01</v>
      </c>
      <c r="D18" s="8" t="n">
        <v>69.01</v>
      </c>
      <c r="E18" s="8" t="n">
        <v>69.01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</row>
    <row r="19" s="8" customFormat="true" ht="12.75" hidden="false" customHeight="false" outlineLevel="0" collapsed="false">
      <c r="A19" s="8" t="s">
        <v>79</v>
      </c>
      <c r="B19" s="8" t="n">
        <v>868.71</v>
      </c>
      <c r="C19" s="8" t="n">
        <v>701.7</v>
      </c>
      <c r="D19" s="8" t="n">
        <v>596.04</v>
      </c>
      <c r="E19" s="8" t="n">
        <v>564.52</v>
      </c>
      <c r="F19" s="8" t="n">
        <v>68.61</v>
      </c>
      <c r="G19" s="8" t="n">
        <f aca="false">25.97</f>
        <v>25.97</v>
      </c>
      <c r="H19" s="8" t="n">
        <f aca="false">7.33</f>
        <v>7.33</v>
      </c>
      <c r="I19" s="8" t="n">
        <f aca="false">7.33</f>
        <v>7.33</v>
      </c>
      <c r="J19" s="8" t="n">
        <f aca="false">7.33</f>
        <v>7.33</v>
      </c>
      <c r="K19" s="8" t="n">
        <f aca="false">7.33</f>
        <v>7.33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</row>
    <row r="20" s="8" customFormat="true" ht="12.75" hidden="false" customHeight="false" outlineLevel="0" collapsed="false">
      <c r="A20" s="8" t="s">
        <v>80</v>
      </c>
      <c r="B20" s="8" t="n">
        <v>1298.73</v>
      </c>
      <c r="C20" s="8" t="n">
        <f aca="false">2*(133.56+18.5+80+4+80+4+80+4+80)+50</f>
        <v>1018.12</v>
      </c>
      <c r="D20" s="8" t="n">
        <f aca="false">C20</f>
        <v>1018.12</v>
      </c>
      <c r="E20" s="8" t="n">
        <f aca="false">D20</f>
        <v>1018.12</v>
      </c>
      <c r="F20" s="8" t="n">
        <f aca="false">E20</f>
        <v>1018.12</v>
      </c>
      <c r="G20" s="8" t="n">
        <f aca="false">F20</f>
        <v>1018.12</v>
      </c>
      <c r="H20" s="8" t="n">
        <f aca="false">G20</f>
        <v>1018.12</v>
      </c>
      <c r="I20" s="8" t="n">
        <f aca="false">H20</f>
        <v>1018.12</v>
      </c>
      <c r="J20" s="8" t="n">
        <f aca="false">I20</f>
        <v>1018.12</v>
      </c>
      <c r="K20" s="8" t="n">
        <f aca="false">J20</f>
        <v>1018.12</v>
      </c>
      <c r="L20" s="8" t="n">
        <f aca="false">K20</f>
        <v>1018.12</v>
      </c>
      <c r="M20" s="8" t="n">
        <f aca="false">L20</f>
        <v>1018.12</v>
      </c>
      <c r="N20" s="8" t="n">
        <f aca="false">M20</f>
        <v>1018.12</v>
      </c>
      <c r="O20" s="8" t="n">
        <f aca="false">N20</f>
        <v>1018.12</v>
      </c>
      <c r="P20" s="8" t="n">
        <f aca="false">O20</f>
        <v>1018.12</v>
      </c>
      <c r="Q20" s="8" t="n">
        <f aca="false">P20</f>
        <v>1018.12</v>
      </c>
      <c r="R20" s="8" t="n">
        <f aca="false">Q20</f>
        <v>1018.12</v>
      </c>
      <c r="S20" s="8" t="n">
        <f aca="false">R20</f>
        <v>1018.12</v>
      </c>
    </row>
    <row r="21" s="8" customFormat="true" ht="12.75" hidden="false" customHeight="false" outlineLevel="0" collapsed="false">
      <c r="A21" s="8" t="s">
        <v>81</v>
      </c>
      <c r="B21" s="8" t="n">
        <f aca="false">149.9</f>
        <v>149.9</v>
      </c>
      <c r="C21" s="8" t="n">
        <f aca="false">279.26+5.23+149.9</f>
        <v>434.39</v>
      </c>
      <c r="D21" s="8" t="n">
        <f aca="false">279.26+149.9</f>
        <v>429.16</v>
      </c>
      <c r="E21" s="8" t="n">
        <f aca="false">279.26+149.9</f>
        <v>429.16</v>
      </c>
      <c r="F21" s="8" t="n">
        <f aca="false">110+123.53+149.9</f>
        <v>383.43</v>
      </c>
      <c r="G21" s="8" t="n">
        <f aca="false">149.9</f>
        <v>149.9</v>
      </c>
      <c r="H21" s="8" t="n">
        <f aca="false">149.9</f>
        <v>149.9</v>
      </c>
      <c r="I21" s="8" t="n">
        <f aca="false">149.9</f>
        <v>149.9</v>
      </c>
      <c r="J21" s="8" t="n">
        <f aca="false">149.9</f>
        <v>149.9</v>
      </c>
      <c r="K21" s="8" t="n">
        <f aca="false">149.9</f>
        <v>149.9</v>
      </c>
      <c r="O21" s="8" t="n">
        <f aca="false">110+279.26+5.23</f>
        <v>394.49</v>
      </c>
      <c r="P21" s="8" t="n">
        <f aca="false">110+279.26</f>
        <v>389.26</v>
      </c>
      <c r="Q21" s="8" t="n">
        <f aca="false">279.26</f>
        <v>279.26</v>
      </c>
      <c r="R21" s="8" t="n">
        <f aca="false">110+123.53</f>
        <v>233.53</v>
      </c>
      <c r="S21" s="8" t="n">
        <f aca="false">110</f>
        <v>110</v>
      </c>
    </row>
    <row r="22" s="8" customFormat="true" ht="12.75" hidden="false" customHeight="false" outlineLevel="0" collapsed="false">
      <c r="A22" s="8" t="s">
        <v>28</v>
      </c>
      <c r="B22" s="8" t="n">
        <v>0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</row>
    <row r="23" s="8" customFormat="true" ht="12.75" hidden="false" customHeight="false" outlineLevel="0" collapsed="false">
      <c r="A23" s="8" t="s">
        <v>29</v>
      </c>
      <c r="B23" s="8" t="n">
        <v>0</v>
      </c>
      <c r="C23" s="8" t="n">
        <v>0</v>
      </c>
      <c r="D23" s="8" t="n">
        <v>0</v>
      </c>
      <c r="E23" s="8" t="n">
        <v>0</v>
      </c>
      <c r="F23" s="8" t="n">
        <v>96.18</v>
      </c>
      <c r="G23" s="8" t="n">
        <v>96.18</v>
      </c>
      <c r="H23" s="8" t="n">
        <v>0</v>
      </c>
      <c r="I23" s="8" t="n">
        <v>0</v>
      </c>
      <c r="J23" s="8" t="n">
        <v>96.18</v>
      </c>
      <c r="K23" s="8" t="n">
        <v>96.18</v>
      </c>
      <c r="L23" s="8" t="n">
        <v>96.18</v>
      </c>
      <c r="M23" s="8" t="n">
        <v>96.18</v>
      </c>
      <c r="N23" s="8" t="n">
        <v>96.18</v>
      </c>
      <c r="O23" s="8" t="n">
        <v>96.18</v>
      </c>
      <c r="P23" s="8" t="n">
        <v>0</v>
      </c>
      <c r="Q23" s="8" t="n">
        <v>0</v>
      </c>
      <c r="R23" s="8" t="n">
        <v>0</v>
      </c>
      <c r="S23" s="8" t="n">
        <v>0</v>
      </c>
    </row>
    <row r="24" s="8" customFormat="true" ht="12.75" hidden="false" customHeight="false" outlineLevel="0" collapsed="false">
      <c r="A24" s="8" t="s">
        <v>30</v>
      </c>
      <c r="B24" s="8" t="n">
        <f aca="false">B43+B40</f>
        <v>25</v>
      </c>
      <c r="C24" s="8" t="n">
        <f aca="false">C43+C40</f>
        <v>25</v>
      </c>
      <c r="D24" s="8" t="n">
        <f aca="false">D43+D40</f>
        <v>25</v>
      </c>
      <c r="E24" s="8" t="n">
        <f aca="false">E43+E40</f>
        <v>25</v>
      </c>
      <c r="F24" s="8" t="n">
        <f aca="false">F43+F40</f>
        <v>25</v>
      </c>
      <c r="G24" s="8" t="n">
        <f aca="false">G43+G40</f>
        <v>25</v>
      </c>
      <c r="H24" s="8" t="n">
        <f aca="false">H43+H40</f>
        <v>25</v>
      </c>
      <c r="I24" s="8" t="n">
        <f aca="false">I43+I40</f>
        <v>25</v>
      </c>
      <c r="J24" s="8" t="n">
        <f aca="false">J43+J40+J34</f>
        <v>6473.8516</v>
      </c>
      <c r="K24" s="8" t="n">
        <f aca="false">K43+K40</f>
        <v>25</v>
      </c>
      <c r="L24" s="8" t="n">
        <f aca="false">L43+L40</f>
        <v>25</v>
      </c>
      <c r="M24" s="8" t="n">
        <f aca="false">M43+M40</f>
        <v>25</v>
      </c>
      <c r="N24" s="8" t="n">
        <f aca="false">N43+N40</f>
        <v>25</v>
      </c>
      <c r="O24" s="8" t="n">
        <f aca="false">O43+O40</f>
        <v>25</v>
      </c>
      <c r="P24" s="8" t="n">
        <f aca="false">P43+P40</f>
        <v>25</v>
      </c>
      <c r="Q24" s="8" t="n">
        <f aca="false">Q43+Q40</f>
        <v>25</v>
      </c>
      <c r="R24" s="8" t="n">
        <f aca="false">R43+R40</f>
        <v>25</v>
      </c>
      <c r="S24" s="8" t="n">
        <f aca="false">S43+S40</f>
        <v>25</v>
      </c>
    </row>
    <row r="25" s="8" customFormat="true" ht="12.75" hidden="false" customHeight="false" outlineLevel="0" collapsed="false">
      <c r="A25" s="8" t="s">
        <v>31</v>
      </c>
      <c r="B25" s="8" t="n">
        <v>13.4</v>
      </c>
      <c r="C25" s="8" t="n">
        <v>13.4</v>
      </c>
      <c r="D25" s="8" t="n">
        <v>13.4</v>
      </c>
      <c r="E25" s="8" t="n">
        <v>13.4</v>
      </c>
      <c r="F25" s="8" t="n">
        <v>13.4</v>
      </c>
      <c r="G25" s="8" t="n">
        <v>13.4</v>
      </c>
      <c r="H25" s="8" t="n">
        <v>13.4</v>
      </c>
      <c r="I25" s="8" t="n">
        <v>13.4</v>
      </c>
      <c r="J25" s="8" t="n">
        <v>13.4</v>
      </c>
      <c r="K25" s="8" t="n">
        <v>13.4</v>
      </c>
      <c r="L25" s="8" t="n">
        <v>13.4</v>
      </c>
      <c r="M25" s="8" t="n">
        <v>13.4</v>
      </c>
      <c r="N25" s="8" t="n">
        <v>13.4</v>
      </c>
      <c r="O25" s="8" t="n">
        <v>13.4</v>
      </c>
      <c r="P25" s="8" t="n">
        <v>13.4</v>
      </c>
      <c r="Q25" s="8" t="n">
        <v>13.4</v>
      </c>
      <c r="R25" s="8" t="n">
        <v>13.4</v>
      </c>
      <c r="S25" s="8" t="n">
        <v>13.4</v>
      </c>
    </row>
    <row r="26" s="8" customFormat="true" ht="12.75" hidden="false" customHeight="false" outlineLevel="0" collapsed="false">
      <c r="A26" s="8" t="s">
        <v>32</v>
      </c>
      <c r="B26" s="8" t="n">
        <f aca="false">240*3</f>
        <v>720</v>
      </c>
      <c r="C26" s="8" t="n">
        <f aca="false">240*3</f>
        <v>720</v>
      </c>
      <c r="D26" s="8" t="n">
        <f aca="false">240*3</f>
        <v>720</v>
      </c>
      <c r="E26" s="8" t="n">
        <f aca="false">240*3</f>
        <v>720</v>
      </c>
      <c r="F26" s="8" t="n">
        <f aca="false">240*3</f>
        <v>720</v>
      </c>
      <c r="G26" s="8" t="n">
        <f aca="false">240*3</f>
        <v>720</v>
      </c>
      <c r="H26" s="8" t="n">
        <f aca="false">240*3</f>
        <v>720</v>
      </c>
      <c r="I26" s="8" t="n">
        <f aca="false">240*3</f>
        <v>720</v>
      </c>
      <c r="J26" s="8" t="n">
        <f aca="false">240*3</f>
        <v>720</v>
      </c>
      <c r="K26" s="8" t="n">
        <f aca="false">240*3</f>
        <v>720</v>
      </c>
      <c r="L26" s="8" t="n">
        <f aca="false">240*3</f>
        <v>720</v>
      </c>
      <c r="M26" s="8" t="n">
        <f aca="false">240*3</f>
        <v>720</v>
      </c>
      <c r="N26" s="8" t="n">
        <f aca="false">240*3</f>
        <v>720</v>
      </c>
      <c r="O26" s="8" t="n">
        <f aca="false">240*3</f>
        <v>720</v>
      </c>
      <c r="P26" s="8" t="n">
        <f aca="false">240*3</f>
        <v>720</v>
      </c>
      <c r="Q26" s="8" t="n">
        <f aca="false">240*3</f>
        <v>720</v>
      </c>
      <c r="R26" s="8" t="n">
        <f aca="false">240*3</f>
        <v>720</v>
      </c>
      <c r="S26" s="8" t="n">
        <f aca="false">240*3</f>
        <v>720</v>
      </c>
    </row>
    <row r="27" s="8" customFormat="true" ht="12.75" hidden="false" customHeight="false" outlineLevel="0" collapsed="false">
      <c r="A27" s="8" t="s">
        <v>33</v>
      </c>
      <c r="B27" s="8" t="n">
        <v>0</v>
      </c>
      <c r="C27" s="8" t="n">
        <v>0</v>
      </c>
      <c r="D27" s="8" t="n">
        <v>0</v>
      </c>
      <c r="E27" s="8" t="n">
        <v>0</v>
      </c>
      <c r="F27" s="8" t="n">
        <v>0</v>
      </c>
      <c r="G27" s="8" t="n">
        <v>0</v>
      </c>
    </row>
    <row r="28" s="3" customFormat="true" ht="3" hidden="false" customHeight="true" outlineLevel="0" collapsed="false">
      <c r="B28" s="7"/>
      <c r="C28" s="7"/>
      <c r="D28" s="7"/>
      <c r="E28" s="7"/>
      <c r="F28" s="7"/>
      <c r="G28" s="7"/>
    </row>
    <row r="29" s="5" customFormat="true" ht="12.75" hidden="false" customHeight="false" outlineLevel="0" collapsed="false">
      <c r="A29" s="5" t="s">
        <v>34</v>
      </c>
      <c r="B29" s="5" t="n">
        <f aca="false">B4-B10</f>
        <v>-68.2600000000002</v>
      </c>
      <c r="C29" s="5" t="n">
        <f aca="false">C4-C10</f>
        <v>160.470000000001</v>
      </c>
      <c r="D29" s="5" t="n">
        <f aca="false">D4-D10</f>
        <v>271.360000000001</v>
      </c>
      <c r="E29" s="5" t="n">
        <f aca="false">E4-E10</f>
        <v>302.880000000001</v>
      </c>
      <c r="F29" s="5" t="n">
        <f aca="false">F4-F10</f>
        <v>2656.35</v>
      </c>
      <c r="G29" s="5" t="n">
        <f aca="false">G4-G10</f>
        <v>2932.52</v>
      </c>
      <c r="H29" s="5" t="n">
        <f aca="false">H4-H10</f>
        <v>1183.34</v>
      </c>
      <c r="I29" s="5" t="n">
        <f aca="false">I4-I10</f>
        <v>1234.51</v>
      </c>
      <c r="J29" s="5" t="n">
        <f aca="false">J4-J10</f>
        <v>-5310.5216</v>
      </c>
      <c r="K29" s="5" t="n">
        <f aca="false">K4-K10</f>
        <v>1138.33</v>
      </c>
      <c r="L29" s="5" t="n">
        <f aca="false">L4-L10</f>
        <v>1295.56</v>
      </c>
      <c r="M29" s="5" t="n">
        <f aca="false">M4-M10</f>
        <v>1295.56</v>
      </c>
      <c r="N29" s="5" t="n">
        <f aca="false">N4-N10</f>
        <v>1295.56</v>
      </c>
      <c r="O29" s="5" t="n">
        <f aca="false">O4-O10</f>
        <v>901.07</v>
      </c>
      <c r="P29" s="5" t="n">
        <f aca="false">P4-P10</f>
        <v>1002.48</v>
      </c>
      <c r="Q29" s="5" t="n">
        <f aca="false">Q4-Q10</f>
        <v>1112.48</v>
      </c>
      <c r="R29" s="5" t="n">
        <f aca="false">R4-R10</f>
        <v>3492.265</v>
      </c>
      <c r="S29" s="5" t="n">
        <f aca="false">S4-S10</f>
        <v>3615.795</v>
      </c>
    </row>
    <row r="30" s="9" customFormat="true" ht="12.75" hidden="false" customHeight="false" outlineLevel="0" collapsed="false">
      <c r="A30" s="9" t="s">
        <v>35</v>
      </c>
      <c r="B30" s="9" t="n">
        <f aca="false">B31*2.15%/12</f>
        <v>11.7486033333333</v>
      </c>
      <c r="C30" s="9" t="n">
        <f aca="false">C31*2.15%/12</f>
        <v>11.6473537476389</v>
      </c>
      <c r="D30" s="9" t="n">
        <f aca="false">D31*2.15%/12</f>
        <v>11.9557306731034</v>
      </c>
      <c r="E30" s="9" t="n">
        <f aca="false">E31*2.15%/12</f>
        <v>12.4633380238927</v>
      </c>
      <c r="F30" s="9" t="n">
        <f aca="false">F31*2.15%/12</f>
        <v>13.0283281711855</v>
      </c>
      <c r="G30" s="9" t="n">
        <f aca="false">G31*2.15%/12</f>
        <v>17.8109643424922</v>
      </c>
      <c r="H30" s="9" t="n">
        <f aca="false">H31*2.15%/12</f>
        <v>23.0969739869392</v>
      </c>
      <c r="I30" s="9" t="n">
        <f aca="false">I31*2.15%/12</f>
        <v>25.2585068986658</v>
      </c>
      <c r="J30" s="9" t="n">
        <f aca="false">J31*2.15%/12</f>
        <v>27.5155921401926</v>
      </c>
      <c r="K30" s="9" t="n">
        <f aca="false">K31*2.15%/12</f>
        <v>18.0502063761104</v>
      </c>
      <c r="L30" s="9" t="n">
        <f aca="false">L31*2.15%/12</f>
        <v>20.1220542458676</v>
      </c>
      <c r="M30" s="9" t="n">
        <f aca="false">M31*2.15%/12</f>
        <v>22.4793179263915</v>
      </c>
      <c r="N30" s="9" t="n">
        <f aca="false">N31*2.15%/12</f>
        <v>24.8408050376762</v>
      </c>
      <c r="O30" s="9" t="n">
        <f aca="false">O31*2.15%/12</f>
        <v>27.2065231467021</v>
      </c>
      <c r="P30" s="9" t="n">
        <f aca="false">P31*2.15%/12</f>
        <v>28.8696852506733</v>
      </c>
      <c r="Q30" s="9" t="n">
        <f aca="false">Q31*2.15%/12</f>
        <v>30.717520103414</v>
      </c>
      <c r="R30" s="9" t="n">
        <f aca="false">R31*2.15%/12</f>
        <v>32.7657489935993</v>
      </c>
      <c r="S30" s="9" t="n">
        <f aca="false">S31*2.15%/12</f>
        <v>39.0814290855462</v>
      </c>
    </row>
    <row r="31" s="9" customFormat="true" ht="12.75" hidden="false" customHeight="false" outlineLevel="0" collapsed="false">
      <c r="A31" s="9" t="s">
        <v>36</v>
      </c>
      <c r="B31" s="9" t="n">
        <v>6557.36</v>
      </c>
      <c r="C31" s="9" t="n">
        <f aca="false">B31+B29+B30</f>
        <v>6500.84860333333</v>
      </c>
      <c r="D31" s="9" t="n">
        <f aca="false">C31+C29+C30</f>
        <v>6672.96595708097</v>
      </c>
      <c r="E31" s="9" t="n">
        <f aca="false">D31+D29+D30</f>
        <v>6956.28168775408</v>
      </c>
      <c r="F31" s="9" t="n">
        <f aca="false">E31+E29+E30</f>
        <v>7271.62502577797</v>
      </c>
      <c r="G31" s="9" t="n">
        <f aca="false">F31+F29+F30</f>
        <v>9941.00335394916</v>
      </c>
      <c r="H31" s="9" t="n">
        <f aca="false">G31+G29+G30</f>
        <v>12891.3343182917</v>
      </c>
      <c r="I31" s="9" t="n">
        <f aca="false">H31+H29+H30</f>
        <v>14097.7712922786</v>
      </c>
      <c r="J31" s="9" t="n">
        <f aca="false">I31+I29+I30</f>
        <v>15357.5397991773</v>
      </c>
      <c r="K31" s="9" t="n">
        <f aca="false">J31+J29+J30</f>
        <v>10074.5337913174</v>
      </c>
      <c r="L31" s="9" t="n">
        <f aca="false">K31+K29+K30</f>
        <v>11230.9139976936</v>
      </c>
      <c r="M31" s="9" t="n">
        <f aca="false">L31+L29+L30</f>
        <v>12546.5960519394</v>
      </c>
      <c r="N31" s="9" t="n">
        <f aca="false">M31+M29+M30</f>
        <v>13864.6353698658</v>
      </c>
      <c r="O31" s="9" t="n">
        <f aca="false">N31+N29+N30</f>
        <v>15185.0361749035</v>
      </c>
      <c r="P31" s="9" t="n">
        <f aca="false">O31+O29+O30</f>
        <v>16113.3126980502</v>
      </c>
      <c r="Q31" s="9" t="n">
        <f aca="false">P31+P29+P30</f>
        <v>17144.6623833009</v>
      </c>
      <c r="R31" s="9" t="n">
        <f aca="false">Q31+Q29+Q30</f>
        <v>18287.8599034043</v>
      </c>
      <c r="S31" s="9" t="n">
        <f aca="false">R31+R29+R30</f>
        <v>21812.8906523979</v>
      </c>
    </row>
    <row r="32" s="3" customFormat="true" ht="3" hidden="false" customHeight="true" outlineLevel="0" collapsed="false">
      <c r="B32" s="7"/>
      <c r="C32" s="7"/>
      <c r="D32" s="7"/>
      <c r="E32" s="7"/>
      <c r="F32" s="7"/>
      <c r="G32" s="7"/>
    </row>
    <row r="33" s="4" customFormat="true" ht="12.75" hidden="false" customHeight="false" outlineLevel="0" collapsed="false">
      <c r="A33" s="4" t="s">
        <v>37</v>
      </c>
      <c r="B33" s="5" t="n">
        <f aca="false">SUM(B36+B39+B31+B42+B45)</f>
        <v>75429.92</v>
      </c>
      <c r="C33" s="5" t="n">
        <f aca="false">SUM(C36+C39+C31+C42+C45)</f>
        <v>76450.4828593333</v>
      </c>
      <c r="D33" s="5" t="n">
        <f aca="false">SUM(D36+D39+D31+D42+D45)</f>
        <v>77714.0386881914</v>
      </c>
      <c r="E33" s="5" t="n">
        <f aca="false">SUM(E36+E39+E31+E42+E45)</f>
        <v>79103.5013411383</v>
      </c>
      <c r="F33" s="5" t="n">
        <f aca="false">SUM(F36+F39+F31+F42+F45)</f>
        <v>80540.0536019513</v>
      </c>
      <c r="G33" s="5" t="n">
        <f aca="false">SUM(G36+G39+G31+G42+G45)</f>
        <v>84751.1909910425</v>
      </c>
      <c r="H33" s="5" t="n">
        <f aca="false">SUM(H36+H39+H31+H42+H45)</f>
        <v>89260.245902516</v>
      </c>
      <c r="I33" s="5" t="n">
        <f aca="false">SUM(I36+I39+I31+I42+I45)</f>
        <v>92008.03417793</v>
      </c>
      <c r="J33" s="5" t="n">
        <f aca="false">SUM(J36+J39+J31+J42+J45)</f>
        <v>94826.6264369205</v>
      </c>
      <c r="K33" s="5" t="n">
        <f aca="false">SUM(K36+K39+K31+K42+K45)</f>
        <v>98117.7246233657</v>
      </c>
      <c r="L33" s="5" t="n">
        <f aca="false">SUM(L36+L39+L31+L42+L45)</f>
        <v>100920.138867786</v>
      </c>
      <c r="M33" s="5" t="n">
        <f aca="false">SUM(M36+M39+M31+M42+M45)</f>
        <v>103900.98816416</v>
      </c>
      <c r="N33" s="5" t="n">
        <f aca="false">SUM(N36+N39+N31+N42+N45)</f>
        <v>106903.771502795</v>
      </c>
      <c r="O33" s="5" t="n">
        <f aca="false">SUM(O36+O39+O31+O42+O45)</f>
        <v>109928.948647395</v>
      </c>
      <c r="P33" s="5" t="n">
        <f aca="false">SUM(P36+P39+P31+P42+P45)</f>
        <v>112582.501667104</v>
      </c>
      <c r="Q33" s="5" t="n">
        <f aca="false">SUM(Q36+Q39+Q31+Q42+Q45)</f>
        <v>115360.108483292</v>
      </c>
      <c r="R33" s="5" t="n">
        <f aca="false">SUM(R36+R39+R31+R42+R45)</f>
        <v>118271.037236215</v>
      </c>
      <c r="S33" s="5" t="n">
        <f aca="false">SUM(S36+S39+S31+S42+S45)</f>
        <v>123585.780138246</v>
      </c>
    </row>
    <row r="34" s="10" customFormat="true" ht="12.75" hidden="false" customHeight="false" outlineLevel="0" collapsed="false">
      <c r="A34" s="10" t="s">
        <v>38</v>
      </c>
      <c r="B34" s="10" t="n">
        <v>69.45</v>
      </c>
      <c r="C34" s="10" t="n">
        <v>69.45</v>
      </c>
      <c r="D34" s="10" t="n">
        <v>69.45</v>
      </c>
      <c r="E34" s="10" t="n">
        <v>69.45</v>
      </c>
      <c r="F34" s="10" t="n">
        <f aca="false">69.45*1.5</f>
        <v>104.175</v>
      </c>
      <c r="G34" s="10" t="n">
        <f aca="false">69.45*1.5</f>
        <v>104.175</v>
      </c>
      <c r="H34" s="10" t="n">
        <v>69.45</v>
      </c>
      <c r="I34" s="10" t="n">
        <v>69.45</v>
      </c>
      <c r="J34" s="10" t="n">
        <f aca="false">69.45-69.45*13+12%*I4*13</f>
        <v>6448.8516</v>
      </c>
      <c r="K34" s="10" t="n">
        <v>69.45</v>
      </c>
      <c r="L34" s="10" t="n">
        <v>69.45</v>
      </c>
      <c r="M34" s="10" t="n">
        <v>69.45</v>
      </c>
      <c r="N34" s="10" t="n">
        <v>69.45</v>
      </c>
      <c r="O34" s="10" t="n">
        <v>69.45</v>
      </c>
      <c r="P34" s="10" t="n">
        <v>69.45</v>
      </c>
      <c r="Q34" s="10" t="n">
        <v>69.45</v>
      </c>
      <c r="R34" s="10" t="n">
        <v>69.45</v>
      </c>
      <c r="S34" s="10" t="n">
        <v>69.45</v>
      </c>
    </row>
    <row r="35" s="10" customFormat="true" ht="12.75" hidden="false" customHeight="false" outlineLevel="0" collapsed="false">
      <c r="A35" s="10" t="s">
        <v>13</v>
      </c>
      <c r="B35" s="10" t="n">
        <f aca="false">B36*0.8%</f>
        <v>124.70016</v>
      </c>
      <c r="C35" s="10" t="n">
        <f aca="false">C36*0.8%</f>
        <v>126.25336128</v>
      </c>
      <c r="D35" s="10" t="n">
        <f aca="false">D36*0.8%</f>
        <v>127.81898817024</v>
      </c>
      <c r="E35" s="10" t="n">
        <f aca="false">E36*0.8%</f>
        <v>129.397140075602</v>
      </c>
      <c r="F35" s="10" t="n">
        <f aca="false">F36*0.8%</f>
        <v>130.987917196207</v>
      </c>
      <c r="G35" s="10" t="n">
        <f aca="false">G36*0.8%</f>
        <v>132.869220533776</v>
      </c>
      <c r="H35" s="10" t="n">
        <f aca="false">H36*0.8%</f>
        <v>134.765574298047</v>
      </c>
      <c r="I35" s="10" t="n">
        <f aca="false">I36*0.8%</f>
        <v>136.399298892431</v>
      </c>
      <c r="J35" s="10" t="n">
        <f aca="false">J36*0.8%</f>
        <v>138.04609328357</v>
      </c>
      <c r="K35" s="10" t="n">
        <f aca="false">K36*0.8%</f>
        <v>190.741274829839</v>
      </c>
      <c r="L35" s="10" t="n">
        <f aca="false">L36*0.8%</f>
        <v>192.822805028478</v>
      </c>
      <c r="M35" s="10" t="n">
        <f aca="false">M36*0.8%</f>
        <v>194.920987468706</v>
      </c>
      <c r="N35" s="10" t="n">
        <f aca="false">N36*0.8%</f>
        <v>197.035955368455</v>
      </c>
      <c r="O35" s="10" t="n">
        <f aca="false">O36*0.8%</f>
        <v>199.167843011403</v>
      </c>
      <c r="P35" s="10" t="n">
        <f aca="false">P36*0.8%</f>
        <v>201.316785755494</v>
      </c>
      <c r="Q35" s="10" t="n">
        <f aca="false">Q36*0.8%</f>
        <v>203.482920041538</v>
      </c>
      <c r="R35" s="10" t="n">
        <f aca="false">R36*0.8%</f>
        <v>205.66638340187</v>
      </c>
      <c r="S35" s="10" t="n">
        <f aca="false">S36*0.8%</f>
        <v>207.867314469085</v>
      </c>
    </row>
    <row r="36" s="10" customFormat="true" ht="12.75" hidden="false" customHeight="false" outlineLevel="0" collapsed="false">
      <c r="A36" s="10" t="s">
        <v>39</v>
      </c>
      <c r="B36" s="10" t="n">
        <v>15587.52</v>
      </c>
      <c r="C36" s="10" t="n">
        <f aca="false">B36+B34+B35</f>
        <v>15781.67016</v>
      </c>
      <c r="D36" s="10" t="n">
        <f aca="false">C36+C34+C35</f>
        <v>15977.37352128</v>
      </c>
      <c r="E36" s="10" t="n">
        <f aca="false">D36+D34+D35</f>
        <v>16174.6425094502</v>
      </c>
      <c r="F36" s="10" t="n">
        <f aca="false">E36+E34+E35</f>
        <v>16373.4896495258</v>
      </c>
      <c r="G36" s="10" t="n">
        <f aca="false">F36+F34+F35</f>
        <v>16608.6525667221</v>
      </c>
      <c r="H36" s="10" t="n">
        <f aca="false">G36+G34+G35</f>
        <v>16845.6967872558</v>
      </c>
      <c r="I36" s="10" t="n">
        <f aca="false">H36+H34+H35</f>
        <v>17049.9123615539</v>
      </c>
      <c r="J36" s="10" t="n">
        <f aca="false">I36+I34+I35</f>
        <v>17255.7616604463</v>
      </c>
      <c r="K36" s="10" t="n">
        <f aca="false">J36+J34+J35</f>
        <v>23842.6593537299</v>
      </c>
      <c r="L36" s="10" t="n">
        <f aca="false">K36+K34+K35</f>
        <v>24102.8506285597</v>
      </c>
      <c r="M36" s="10" t="n">
        <f aca="false">L36+L34+L35</f>
        <v>24365.1234335882</v>
      </c>
      <c r="N36" s="10" t="n">
        <f aca="false">M36+M34+M35</f>
        <v>24629.4944210569</v>
      </c>
      <c r="O36" s="10" t="n">
        <f aca="false">N36+N34+N35</f>
        <v>24895.9803764254</v>
      </c>
      <c r="P36" s="10" t="n">
        <f aca="false">O36+O34+O35</f>
        <v>25164.5982194368</v>
      </c>
      <c r="Q36" s="10" t="n">
        <f aca="false">P36+P34+P35</f>
        <v>25435.3650051923</v>
      </c>
      <c r="R36" s="10" t="n">
        <f aca="false">Q36+Q34+Q35</f>
        <v>25708.2979252338</v>
      </c>
      <c r="S36" s="10" t="n">
        <f aca="false">R36+R34+R35</f>
        <v>25983.4143086357</v>
      </c>
    </row>
    <row r="37" s="10" customFormat="true" ht="12.75" hidden="false" customHeight="false" outlineLevel="0" collapsed="false">
      <c r="A37" s="10" t="s">
        <v>40</v>
      </c>
      <c r="B37" s="10" t="n">
        <v>370.4</v>
      </c>
      <c r="C37" s="10" t="n">
        <v>370.4</v>
      </c>
      <c r="D37" s="10" t="n">
        <v>370.4</v>
      </c>
      <c r="E37" s="10" t="n">
        <v>370.4</v>
      </c>
      <c r="F37" s="10" t="n">
        <f aca="false">$E$37*2</f>
        <v>740.8</v>
      </c>
      <c r="G37" s="10" t="n">
        <f aca="false">$E$37*2</f>
        <v>740.8</v>
      </c>
      <c r="H37" s="10" t="n">
        <f aca="false">$E$37*2</f>
        <v>740.8</v>
      </c>
      <c r="I37" s="10" t="n">
        <f aca="false">$E$37*2</f>
        <v>740.8</v>
      </c>
      <c r="J37" s="10" t="n">
        <f aca="false">$E$37*2</f>
        <v>740.8</v>
      </c>
      <c r="K37" s="10" t="n">
        <f aca="false">$E$37*2</f>
        <v>740.8</v>
      </c>
      <c r="L37" s="10" t="n">
        <f aca="false">$E$37*2</f>
        <v>740.8</v>
      </c>
      <c r="M37" s="10" t="n">
        <f aca="false">$E$37*2</f>
        <v>740.8</v>
      </c>
      <c r="N37" s="10" t="n">
        <f aca="false">$E$37*2</f>
        <v>740.8</v>
      </c>
      <c r="O37" s="10" t="n">
        <f aca="false">$E$37*2</f>
        <v>740.8</v>
      </c>
      <c r="P37" s="10" t="n">
        <f aca="false">$E$37*2</f>
        <v>740.8</v>
      </c>
      <c r="Q37" s="10" t="n">
        <f aca="false">$E$37*2</f>
        <v>740.8</v>
      </c>
      <c r="R37" s="10" t="n">
        <f aca="false">$E$37*2</f>
        <v>740.8</v>
      </c>
      <c r="S37" s="10" t="n">
        <f aca="false">$E$37*2</f>
        <v>740.8</v>
      </c>
    </row>
    <row r="38" s="10" customFormat="true" ht="12.75" hidden="false" customHeight="false" outlineLevel="0" collapsed="false">
      <c r="A38" s="10" t="s">
        <v>13</v>
      </c>
      <c r="B38" s="10" t="n">
        <f aca="false">B39*0.24%</f>
        <v>67.524096</v>
      </c>
      <c r="C38" s="10" t="n">
        <f aca="false">C39*0.24%</f>
        <v>68.5751138304</v>
      </c>
      <c r="D38" s="10" t="n">
        <f aca="false">D39*0.24%</f>
        <v>69.628654103593</v>
      </c>
      <c r="E38" s="10" t="n">
        <f aca="false">E39*0.24%</f>
        <v>70.6847228734416</v>
      </c>
      <c r="F38" s="10" t="n">
        <f aca="false">F39*0.24%</f>
        <v>71.7433262083379</v>
      </c>
      <c r="G38" s="10" t="n">
        <f aca="false">G39*0.24%</f>
        <v>73.6934301912379</v>
      </c>
      <c r="H38" s="10" t="n">
        <f aca="false">H39*0.24%</f>
        <v>75.6482144236968</v>
      </c>
      <c r="I38" s="10" t="n">
        <f aca="false">I39*0.24%</f>
        <v>77.6076901383137</v>
      </c>
      <c r="J38" s="10" t="n">
        <f aca="false">J39*0.24%</f>
        <v>79.5718685946457</v>
      </c>
      <c r="K38" s="10" t="n">
        <f aca="false">K39*0.24%</f>
        <v>81.5407610792728</v>
      </c>
      <c r="L38" s="10" t="n">
        <f aca="false">L39*0.24%</f>
        <v>83.5143789058631</v>
      </c>
      <c r="M38" s="10" t="n">
        <f aca="false">M39*0.24%</f>
        <v>85.4927334152372</v>
      </c>
      <c r="N38" s="10" t="n">
        <f aca="false">N39*0.24%</f>
        <v>87.4758359754338</v>
      </c>
      <c r="O38" s="10" t="n">
        <f aca="false">O39*0.24%</f>
        <v>89.4636979817748</v>
      </c>
      <c r="P38" s="10" t="n">
        <f aca="false">P39*0.24%</f>
        <v>91.4563308569311</v>
      </c>
      <c r="Q38" s="10" t="n">
        <f aca="false">Q39*0.24%</f>
        <v>93.4537460509877</v>
      </c>
      <c r="R38" s="10" t="n">
        <f aca="false">R39*0.24%</f>
        <v>95.4559550415101</v>
      </c>
      <c r="S38" s="10" t="n">
        <f aca="false">S39*0.24%</f>
        <v>97.4629693336097</v>
      </c>
    </row>
    <row r="39" s="10" customFormat="true" ht="12.75" hidden="false" customHeight="false" outlineLevel="0" collapsed="false">
      <c r="A39" s="10" t="s">
        <v>39</v>
      </c>
      <c r="B39" s="10" t="n">
        <v>28135.04</v>
      </c>
      <c r="C39" s="10" t="n">
        <f aca="false">B39+B37+B38</f>
        <v>28572.964096</v>
      </c>
      <c r="D39" s="10" t="n">
        <f aca="false">C39+C37+C38</f>
        <v>29011.9392098304</v>
      </c>
      <c r="E39" s="10" t="n">
        <f aca="false">D39+D37+D38</f>
        <v>29451.967863934</v>
      </c>
      <c r="F39" s="10" t="n">
        <f aca="false">E39+E37+E38</f>
        <v>29893.0525868074</v>
      </c>
      <c r="G39" s="10" t="n">
        <f aca="false">F39+F37+F38</f>
        <v>30705.5959130158</v>
      </c>
      <c r="H39" s="10" t="n">
        <f aca="false">G39+G37+G38</f>
        <v>31520.089343207</v>
      </c>
      <c r="I39" s="10" t="n">
        <f aca="false">H39+H37+H38</f>
        <v>32336.5375576307</v>
      </c>
      <c r="J39" s="10" t="n">
        <f aca="false">I39+I37+I38</f>
        <v>33154.945247769</v>
      </c>
      <c r="K39" s="10" t="n">
        <f aca="false">J39+J37+J38</f>
        <v>33975.3171163637</v>
      </c>
      <c r="L39" s="10" t="n">
        <f aca="false">K39+K37+K38</f>
        <v>34797.657877443</v>
      </c>
      <c r="M39" s="10" t="n">
        <f aca="false">L39+L37+L38</f>
        <v>35621.9722563488</v>
      </c>
      <c r="N39" s="10" t="n">
        <f aca="false">M39+M37+M38</f>
        <v>36448.2649897641</v>
      </c>
      <c r="O39" s="10" t="n">
        <f aca="false">N39+N37+N38</f>
        <v>37276.5408257395</v>
      </c>
      <c r="P39" s="10" t="n">
        <f aca="false">O39+O37+O38</f>
        <v>38106.8045237213</v>
      </c>
      <c r="Q39" s="10" t="n">
        <f aca="false">P39+P37+P38</f>
        <v>38939.0608545782</v>
      </c>
      <c r="R39" s="10" t="n">
        <f aca="false">Q39+Q37+Q38</f>
        <v>39773.3146006292</v>
      </c>
      <c r="S39" s="10" t="n">
        <f aca="false">R39+R37+R38</f>
        <v>40609.5705556707</v>
      </c>
    </row>
    <row r="40" s="10" customFormat="true" ht="12.75" hidden="false" customHeight="false" outlineLevel="0" collapsed="false">
      <c r="A40" s="10" t="s">
        <v>82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</row>
    <row r="41" s="10" customFormat="true" ht="12.75" hidden="false" customHeight="false" outlineLevel="0" collapsed="false">
      <c r="A41" s="10" t="s">
        <v>13</v>
      </c>
      <c r="B41" s="10" t="n">
        <f aca="false">B42*2.8%</f>
        <v>420</v>
      </c>
      <c r="C41" s="10" t="n">
        <f aca="false">C42*2.8%</f>
        <v>431.76</v>
      </c>
      <c r="D41" s="10" t="n">
        <f aca="false">D42*2.8%</f>
        <v>443.84928</v>
      </c>
      <c r="E41" s="10" t="n">
        <f aca="false">E42*2.8%</f>
        <v>456.27705984</v>
      </c>
      <c r="F41" s="10" t="n">
        <f aca="false">F42*2.8%</f>
        <v>469.05281751552</v>
      </c>
      <c r="G41" s="10" t="n">
        <f aca="false">G42*2.8%</f>
        <v>482.186296405954</v>
      </c>
      <c r="H41" s="10" t="n">
        <f aca="false">H42*2.8%</f>
        <v>495.687512705321</v>
      </c>
      <c r="I41" s="10" t="n">
        <f aca="false">I42*2.8%</f>
        <v>509.56676306107</v>
      </c>
      <c r="J41" s="10" t="n">
        <f aca="false">J42*2.8%</f>
        <v>523.83463242678</v>
      </c>
      <c r="K41" s="10" t="n">
        <f aca="false">K42*2.8%</f>
        <v>538.50200213473</v>
      </c>
      <c r="L41" s="10" t="n">
        <f aca="false">L42*2.8%</f>
        <v>553.580058194502</v>
      </c>
      <c r="M41" s="10" t="n">
        <f aca="false">M42*2.8%</f>
        <v>569.080299823949</v>
      </c>
      <c r="N41" s="10" t="n">
        <f aca="false">N42*2.8%</f>
        <v>585.014548219019</v>
      </c>
      <c r="O41" s="10" t="n">
        <f aca="false">O42*2.8%</f>
        <v>601.394955569152</v>
      </c>
      <c r="P41" s="10" t="n">
        <f aca="false">P42*2.8%</f>
        <v>618.234014325088</v>
      </c>
      <c r="Q41" s="10" t="n">
        <f aca="false">Q42*2.8%</f>
        <v>635.54456672619</v>
      </c>
      <c r="R41" s="10" t="n">
        <f aca="false">R42*2.8%</f>
        <v>653.339814594524</v>
      </c>
      <c r="S41" s="10" t="n">
        <f aca="false">S42*2.8%</f>
        <v>671.63332940317</v>
      </c>
    </row>
    <row r="42" s="10" customFormat="true" ht="12.75" hidden="false" customHeight="false" outlineLevel="0" collapsed="false">
      <c r="A42" s="10" t="s">
        <v>39</v>
      </c>
      <c r="B42" s="10" t="n">
        <v>15000</v>
      </c>
      <c r="C42" s="10" t="n">
        <f aca="false">B42+B40+B41</f>
        <v>15420</v>
      </c>
      <c r="D42" s="10" t="n">
        <f aca="false">C42+C40+C41</f>
        <v>15851.76</v>
      </c>
      <c r="E42" s="10" t="n">
        <f aca="false">D42+D40+D41</f>
        <v>16295.60928</v>
      </c>
      <c r="F42" s="10" t="n">
        <f aca="false">E42+E40+E41</f>
        <v>16751.88633984</v>
      </c>
      <c r="G42" s="10" t="n">
        <f aca="false">F42+F40+F41</f>
        <v>17220.9391573555</v>
      </c>
      <c r="H42" s="10" t="n">
        <f aca="false">G42+G40+G41</f>
        <v>17703.1254537615</v>
      </c>
      <c r="I42" s="10" t="n">
        <f aca="false">H42+H40+H41</f>
        <v>18198.8129664668</v>
      </c>
      <c r="J42" s="10" t="n">
        <f aca="false">I42+I40+I41</f>
        <v>18708.3797295279</v>
      </c>
      <c r="K42" s="10" t="n">
        <f aca="false">J42+J40+J41</f>
        <v>19232.2143619546</v>
      </c>
      <c r="L42" s="10" t="n">
        <f aca="false">K42+K40+K41</f>
        <v>19770.7163640894</v>
      </c>
      <c r="M42" s="10" t="n">
        <f aca="false">L42+L40+L41</f>
        <v>20324.2964222839</v>
      </c>
      <c r="N42" s="10" t="n">
        <f aca="false">M42+M40+M41</f>
        <v>20893.3767221078</v>
      </c>
      <c r="O42" s="10" t="n">
        <f aca="false">N42+N40+N41</f>
        <v>21478.3912703268</v>
      </c>
      <c r="P42" s="10" t="n">
        <f aca="false">O42+O40+O41</f>
        <v>22079.786225896</v>
      </c>
      <c r="Q42" s="10" t="n">
        <f aca="false">P42+P40+P41</f>
        <v>22698.0202402211</v>
      </c>
      <c r="R42" s="10" t="n">
        <f aca="false">Q42+Q40+Q41</f>
        <v>23333.5648069473</v>
      </c>
      <c r="S42" s="10" t="n">
        <f aca="false">R42+R40+R41</f>
        <v>23986.9046215418</v>
      </c>
    </row>
    <row r="43" s="10" customFormat="true" ht="12.75" hidden="false" customHeight="false" outlineLevel="0" collapsed="false">
      <c r="A43" s="10" t="s">
        <v>41</v>
      </c>
      <c r="B43" s="10" t="n">
        <v>25</v>
      </c>
      <c r="C43" s="10" t="n">
        <v>25</v>
      </c>
      <c r="D43" s="10" t="n">
        <v>25</v>
      </c>
      <c r="E43" s="10" t="n">
        <v>25</v>
      </c>
      <c r="F43" s="10" t="n">
        <v>25</v>
      </c>
      <c r="G43" s="10" t="n">
        <v>25</v>
      </c>
      <c r="H43" s="10" t="n">
        <v>25</v>
      </c>
      <c r="I43" s="10" t="n">
        <v>25</v>
      </c>
      <c r="J43" s="10" t="n">
        <f aca="false">25</f>
        <v>25</v>
      </c>
      <c r="K43" s="10" t="n">
        <v>25</v>
      </c>
      <c r="L43" s="10" t="n">
        <v>25</v>
      </c>
      <c r="M43" s="10" t="n">
        <v>25</v>
      </c>
      <c r="N43" s="10" t="n">
        <v>25</v>
      </c>
      <c r="O43" s="10" t="n">
        <v>25</v>
      </c>
      <c r="P43" s="10" t="n">
        <v>25</v>
      </c>
      <c r="Q43" s="10" t="n">
        <v>25</v>
      </c>
      <c r="R43" s="10" t="n">
        <v>25</v>
      </c>
      <c r="S43" s="10" t="n">
        <v>25</v>
      </c>
    </row>
    <row r="44" s="10" customFormat="true" ht="12.75" hidden="false" customHeight="false" outlineLevel="0" collapsed="false">
      <c r="A44" s="10" t="s">
        <v>13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f aca="false">6%*H45</f>
        <v>618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</row>
    <row r="45" s="10" customFormat="true" ht="12.75" hidden="false" customHeight="false" outlineLevel="0" collapsed="false">
      <c r="A45" s="10" t="s">
        <v>39</v>
      </c>
      <c r="B45" s="10" t="n">
        <v>10150</v>
      </c>
      <c r="C45" s="10" t="n">
        <f aca="false">B45+B43+B44</f>
        <v>10175</v>
      </c>
      <c r="D45" s="10" t="n">
        <f aca="false">C45+C43+C44</f>
        <v>10200</v>
      </c>
      <c r="E45" s="10" t="n">
        <f aca="false">D45+D43+D44</f>
        <v>10225</v>
      </c>
      <c r="F45" s="10" t="n">
        <f aca="false">E45+E43+E44</f>
        <v>10250</v>
      </c>
      <c r="G45" s="10" t="n">
        <f aca="false">F45+F43+F44</f>
        <v>10275</v>
      </c>
      <c r="H45" s="10" t="n">
        <f aca="false">G45+G43+G44</f>
        <v>10300</v>
      </c>
      <c r="I45" s="10" t="n">
        <f aca="false">H45+H43+H44</f>
        <v>10325</v>
      </c>
      <c r="J45" s="10" t="n">
        <f aca="false">I45+I43+I44</f>
        <v>10350</v>
      </c>
      <c r="K45" s="10" t="n">
        <f aca="false">J45+J43+J44</f>
        <v>10993</v>
      </c>
      <c r="L45" s="10" t="n">
        <f aca="false">K45+K43+K44</f>
        <v>11018</v>
      </c>
      <c r="M45" s="10" t="n">
        <f aca="false">L45+L43+L44</f>
        <v>11043</v>
      </c>
      <c r="N45" s="10" t="n">
        <f aca="false">M45+M43+M44</f>
        <v>11068</v>
      </c>
      <c r="O45" s="10" t="n">
        <f aca="false">N45+N43+N44</f>
        <v>11093</v>
      </c>
      <c r="P45" s="10" t="n">
        <f aca="false">O45+O43+O44</f>
        <v>11118</v>
      </c>
      <c r="Q45" s="10" t="n">
        <f aca="false">P45+P43+P44</f>
        <v>11143</v>
      </c>
      <c r="R45" s="10" t="n">
        <f aca="false">Q45+Q43+Q44</f>
        <v>11168</v>
      </c>
      <c r="S45" s="10" t="n">
        <f aca="false">R45+R43+R44</f>
        <v>11193</v>
      </c>
    </row>
    <row r="47" customFormat="false" ht="15" hidden="false" customHeight="false" outlineLevel="0" collapsed="false">
      <c r="A47" s="12" t="s">
        <v>42</v>
      </c>
      <c r="B47" s="12"/>
      <c r="D47" s="13"/>
      <c r="E47" s="13"/>
    </row>
    <row r="48" customFormat="false" ht="15" hidden="false" customHeight="false" outlineLevel="0" collapsed="false">
      <c r="A48" s="14" t="s">
        <v>43</v>
      </c>
      <c r="B48" s="15" t="n">
        <f aca="false">1050</f>
        <v>1050</v>
      </c>
      <c r="D48" s="16"/>
      <c r="E48" s="13"/>
    </row>
    <row r="49" customFormat="false" ht="15" hidden="false" customHeight="false" outlineLevel="0" collapsed="false">
      <c r="A49" s="17" t="s">
        <v>44</v>
      </c>
      <c r="B49" s="18" t="n">
        <v>13</v>
      </c>
      <c r="D49" s="16"/>
      <c r="E49" s="13"/>
    </row>
    <row r="50" customFormat="false" ht="15" hidden="false" customHeight="false" outlineLevel="0" collapsed="false">
      <c r="A50" s="17" t="s">
        <v>45</v>
      </c>
      <c r="B50" s="19" t="n">
        <v>4.19</v>
      </c>
      <c r="C50" s="0" t="s">
        <v>46</v>
      </c>
      <c r="D50" s="16" t="n">
        <v>5</v>
      </c>
      <c r="E50" s="0" t="n">
        <v>20</v>
      </c>
      <c r="F50" s="20" t="n">
        <f aca="false">E50*D50</f>
        <v>100</v>
      </c>
    </row>
    <row r="51" customFormat="false" ht="15" hidden="false" customHeight="false" outlineLevel="0" collapsed="false">
      <c r="A51" s="21" t="s">
        <v>47</v>
      </c>
      <c r="B51" s="22" t="n">
        <f aca="false">B48/B49*B50</f>
        <v>338.423076923077</v>
      </c>
      <c r="C51" s="0" t="s">
        <v>48</v>
      </c>
      <c r="D51" s="16" t="n">
        <v>70</v>
      </c>
      <c r="E51" s="0" t="n">
        <v>6</v>
      </c>
      <c r="F51" s="20" t="n">
        <f aca="false">E51*D51</f>
        <v>420</v>
      </c>
    </row>
    <row r="52" customFormat="false" ht="15" hidden="false" customHeight="false" outlineLevel="0" collapsed="false">
      <c r="A52" s="21" t="s">
        <v>49</v>
      </c>
      <c r="B52" s="24" t="n">
        <f aca="false">9.2+4.6+4.6+2.7+2.7</f>
        <v>23.8</v>
      </c>
      <c r="C52" s="0" t="s">
        <v>50</v>
      </c>
      <c r="D52" s="16" t="n">
        <v>1050</v>
      </c>
      <c r="E52" s="0" t="n">
        <v>2</v>
      </c>
      <c r="F52" s="20" t="n">
        <f aca="false">E52*D52</f>
        <v>2100</v>
      </c>
    </row>
    <row r="53" customFormat="false" ht="15" hidden="false" customHeight="false" outlineLevel="0" collapsed="false">
      <c r="A53" s="21" t="s">
        <v>51</v>
      </c>
      <c r="B53" s="24" t="n">
        <f aca="false">2.7+2.7+4.6+4.6</f>
        <v>14.6</v>
      </c>
      <c r="F53" s="0" t="n">
        <v>9.8</v>
      </c>
      <c r="G53" s="0" t="s">
        <v>52</v>
      </c>
    </row>
    <row r="54" customFormat="false" ht="15" hidden="false" customHeight="false" outlineLevel="0" collapsed="false">
      <c r="A54" s="25" t="s">
        <v>54</v>
      </c>
      <c r="B54" s="26" t="n">
        <f aca="false">SUM(B51:B53)</f>
        <v>376.823076923077</v>
      </c>
      <c r="F54" s="0" t="n">
        <v>4.19</v>
      </c>
      <c r="G54" s="0" t="s">
        <v>55</v>
      </c>
    </row>
    <row r="55" customFormat="false" ht="15" hidden="false" customHeight="false" outlineLevel="0" collapsed="false">
      <c r="A55" s="27" t="s">
        <v>56</v>
      </c>
      <c r="B55" s="28" t="n">
        <v>450</v>
      </c>
      <c r="D55" s="13"/>
      <c r="E55" s="13"/>
      <c r="F55" s="20" t="n">
        <f aca="false">F52/F53*F54</f>
        <v>897.857142857143</v>
      </c>
      <c r="G55" s="0" t="s">
        <v>57</v>
      </c>
    </row>
    <row r="56" customFormat="false" ht="15" hidden="false" customHeight="false" outlineLevel="0" collapsed="false">
      <c r="A56" s="29" t="s">
        <v>53</v>
      </c>
      <c r="B56" s="30" t="n">
        <f aca="false">B55*B48/10000</f>
        <v>47.25</v>
      </c>
    </row>
  </sheetData>
  <mergeCells count="4">
    <mergeCell ref="A1:A2"/>
    <mergeCell ref="B1:G1"/>
    <mergeCell ref="H1:S1"/>
    <mergeCell ref="A47:B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" activeCellId="0" sqref="N1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13" min="2" style="0" width="13.7"/>
    <col collapsed="false" customWidth="true" hidden="false" outlineLevel="0" max="14" min="14" style="0" width="10.71"/>
    <col collapsed="false" customWidth="true" hidden="false" outlineLevel="0" max="15" min="15" style="0" width="11.57"/>
    <col collapsed="false" customWidth="true" hidden="false" outlineLevel="0" max="16" min="16" style="0" width="10.99"/>
    <col collapsed="false" customWidth="true" hidden="false" outlineLevel="0" max="19" min="18" style="0" width="11.57"/>
    <col collapsed="false" customWidth="true" hidden="false" outlineLevel="0" max="21" min="21" style="0" width="9.85"/>
  </cols>
  <sheetData>
    <row r="1" customFormat="false" ht="15" hidden="false" customHeight="false" outlineLevel="0" collapsed="false">
      <c r="A1" s="34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  <c r="J1" s="0" t="s">
        <v>92</v>
      </c>
      <c r="K1" s="0" t="s">
        <v>93</v>
      </c>
      <c r="L1" s="0" t="s">
        <v>94</v>
      </c>
      <c r="M1" s="0" t="s">
        <v>95</v>
      </c>
    </row>
    <row r="2" s="3" customFormat="true" ht="3" hidden="false" customHeight="true" outlineLevel="0" collapsed="false"/>
    <row r="3" s="4" customFormat="true" ht="12.75" hidden="false" customHeight="false" outlineLevel="0" collapsed="false">
      <c r="A3" s="4" t="s">
        <v>13</v>
      </c>
      <c r="B3" s="5" t="n">
        <f aca="false">SUM(B8:B11)</f>
        <v>4553.15</v>
      </c>
      <c r="C3" s="5" t="n">
        <f aca="false">SUM(C8:C11)</f>
        <v>11302.75</v>
      </c>
      <c r="D3" s="5" t="n">
        <f aca="false">SUM(D8:D11)</f>
        <v>3673.15</v>
      </c>
      <c r="E3" s="5" t="n">
        <f aca="false">SUM(E8:E11)</f>
        <v>3673.15</v>
      </c>
      <c r="F3" s="5" t="n">
        <f aca="false">SUM(F8:F11)</f>
        <v>3673.15</v>
      </c>
      <c r="G3" s="5" t="n">
        <f aca="false">SUM(G8:G11)</f>
        <v>3673.15</v>
      </c>
      <c r="H3" s="5" t="n">
        <f aca="false">SUM(H8:H11)</f>
        <v>3673.15</v>
      </c>
      <c r="I3" s="5" t="n">
        <f aca="false">SUM(I8:I11)</f>
        <v>3673.15</v>
      </c>
      <c r="J3" s="5" t="n">
        <f aca="false">SUM(J8:J11)</f>
        <v>3673.15</v>
      </c>
      <c r="K3" s="5" t="n">
        <f aca="false">SUM(K8:K11)</f>
        <v>3673.15</v>
      </c>
      <c r="L3" s="5" t="n">
        <f aca="false">SUM(L8:L11)</f>
        <v>5509.725</v>
      </c>
      <c r="M3" s="5" t="n">
        <f aca="false">SUM(M8:M11)</f>
        <v>5509.725</v>
      </c>
    </row>
    <row r="4" s="35" customFormat="true" ht="12.75" hidden="false" customHeight="false" outlineLevel="0" collapsed="false">
      <c r="A4" s="35" t="s">
        <v>96</v>
      </c>
      <c r="B4" s="36" t="n">
        <v>4488</v>
      </c>
      <c r="C4" s="36" t="n">
        <v>4488</v>
      </c>
      <c r="D4" s="36" t="n">
        <v>4488</v>
      </c>
      <c r="E4" s="36" t="n">
        <v>4488</v>
      </c>
      <c r="F4" s="36" t="n">
        <v>4488</v>
      </c>
      <c r="G4" s="36" t="n">
        <v>4488</v>
      </c>
      <c r="H4" s="36" t="n">
        <v>4488</v>
      </c>
      <c r="I4" s="36" t="n">
        <v>4488</v>
      </c>
      <c r="J4" s="36" t="n">
        <v>4488</v>
      </c>
      <c r="K4" s="36" t="n">
        <v>4488</v>
      </c>
      <c r="L4" s="36" t="n">
        <v>4488</v>
      </c>
      <c r="M4" s="36" t="n">
        <v>4488</v>
      </c>
    </row>
    <row r="5" s="35" customFormat="true" ht="12.75" hidden="false" customHeight="false" outlineLevel="0" collapsed="false">
      <c r="A5" s="35" t="s">
        <v>16</v>
      </c>
      <c r="B5" s="36" t="n">
        <v>493.68</v>
      </c>
      <c r="C5" s="36" t="n">
        <v>493.68</v>
      </c>
      <c r="D5" s="36" t="n">
        <v>493.68</v>
      </c>
      <c r="E5" s="36" t="n">
        <v>493.68</v>
      </c>
      <c r="F5" s="36" t="n">
        <v>493.68</v>
      </c>
      <c r="G5" s="36" t="n">
        <v>493.68</v>
      </c>
      <c r="H5" s="36" t="n">
        <v>493.68</v>
      </c>
      <c r="I5" s="36" t="n">
        <v>493.68</v>
      </c>
      <c r="J5" s="36" t="n">
        <v>493.68</v>
      </c>
      <c r="K5" s="36" t="n">
        <v>493.68</v>
      </c>
      <c r="L5" s="36" t="n">
        <v>493.68</v>
      </c>
      <c r="M5" s="36" t="n">
        <v>493.68</v>
      </c>
    </row>
    <row r="6" s="35" customFormat="true" ht="12.75" hidden="false" customHeight="false" outlineLevel="0" collapsed="false">
      <c r="A6" s="35" t="s">
        <v>97</v>
      </c>
      <c r="B6" s="36" t="n">
        <v>232.3</v>
      </c>
      <c r="C6" s="36" t="n">
        <v>232.3</v>
      </c>
      <c r="D6" s="36" t="n">
        <v>232.3</v>
      </c>
      <c r="E6" s="36" t="n">
        <v>232.3</v>
      </c>
      <c r="F6" s="36" t="n">
        <v>232.3</v>
      </c>
      <c r="G6" s="36" t="n">
        <v>232.3</v>
      </c>
      <c r="H6" s="36" t="n">
        <v>232.3</v>
      </c>
      <c r="I6" s="36" t="n">
        <v>232.3</v>
      </c>
      <c r="J6" s="36" t="n">
        <v>232.3</v>
      </c>
      <c r="K6" s="36" t="n">
        <v>232.3</v>
      </c>
      <c r="L6" s="36" t="n">
        <v>232.3</v>
      </c>
      <c r="M6" s="36" t="n">
        <v>232.3</v>
      </c>
    </row>
    <row r="7" s="35" customFormat="true" ht="12.75" hidden="false" customHeight="false" outlineLevel="0" collapsed="false">
      <c r="A7" s="35" t="s">
        <v>33</v>
      </c>
      <c r="B7" s="36" t="n">
        <f aca="false">11.47+16.25+8.03+22.6+30.52</f>
        <v>88.87</v>
      </c>
      <c r="C7" s="36" t="n">
        <f aca="false">11.47+16.25+8.03+22.6+30.52</f>
        <v>88.87</v>
      </c>
      <c r="D7" s="36" t="n">
        <f aca="false">11.47+16.25+8.03+22.6+30.52</f>
        <v>88.87</v>
      </c>
      <c r="E7" s="36" t="n">
        <f aca="false">11.47+16.25+8.03+22.6+30.52</f>
        <v>88.87</v>
      </c>
      <c r="F7" s="36" t="n">
        <f aca="false">11.47+16.25+8.03+22.6+30.52</f>
        <v>88.87</v>
      </c>
      <c r="G7" s="36" t="n">
        <f aca="false">11.47+16.25+8.03+22.6+30.52</f>
        <v>88.87</v>
      </c>
      <c r="H7" s="36" t="n">
        <f aca="false">11.47+16.25+8.03+22.6+30.52</f>
        <v>88.87</v>
      </c>
      <c r="I7" s="36" t="n">
        <f aca="false">11.47+16.25+8.03+22.6+30.52</f>
        <v>88.87</v>
      </c>
      <c r="J7" s="36" t="n">
        <f aca="false">11.47+16.25+8.03+22.6+30.52</f>
        <v>88.87</v>
      </c>
      <c r="K7" s="36" t="n">
        <f aca="false">11.47+16.25+8.03+22.6+30.52</f>
        <v>88.87</v>
      </c>
      <c r="L7" s="36" t="n">
        <f aca="false">11.47+16.25+8.03+22.6+30.52</f>
        <v>88.87</v>
      </c>
      <c r="M7" s="36" t="n">
        <f aca="false">11.47+16.25+8.03+22.6+30.52</f>
        <v>88.87</v>
      </c>
    </row>
    <row r="8" s="35" customFormat="true" ht="12.75" hidden="false" customHeight="false" outlineLevel="0" collapsed="false">
      <c r="A8" s="35" t="s">
        <v>98</v>
      </c>
      <c r="B8" s="36" t="n">
        <f aca="false">B4-B5-B6-B7</f>
        <v>3673.15</v>
      </c>
      <c r="C8" s="36" t="n">
        <f aca="false">C4-C5-C6-C7</f>
        <v>3673.15</v>
      </c>
      <c r="D8" s="36" t="n">
        <f aca="false">D4-D5-D6-D7</f>
        <v>3673.15</v>
      </c>
      <c r="E8" s="36" t="n">
        <f aca="false">E4-E5-E6-E7</f>
        <v>3673.15</v>
      </c>
      <c r="F8" s="36" t="n">
        <f aca="false">F4-F5-F6-F7</f>
        <v>3673.15</v>
      </c>
      <c r="G8" s="36" t="n">
        <f aca="false">G4-G5-G6-G7</f>
        <v>3673.15</v>
      </c>
      <c r="H8" s="36" t="n">
        <f aca="false">H4-H5-H6-H7</f>
        <v>3673.15</v>
      </c>
      <c r="I8" s="36" t="n">
        <f aca="false">I4-I5-I6-I7</f>
        <v>3673.15</v>
      </c>
      <c r="J8" s="36" t="n">
        <f aca="false">J4-J5-J6-J7</f>
        <v>3673.15</v>
      </c>
      <c r="K8" s="36" t="n">
        <f aca="false">K4-K5-K6-K7</f>
        <v>3673.15</v>
      </c>
      <c r="L8" s="36" t="n">
        <f aca="false">L4-L5-L6-L7</f>
        <v>3673.15</v>
      </c>
      <c r="M8" s="36" t="n">
        <f aca="false">M4-M5-M6-M7</f>
        <v>3673.15</v>
      </c>
    </row>
    <row r="9" s="35" customFormat="true" ht="12.75" hidden="false" customHeight="false" outlineLevel="0" collapsed="false">
      <c r="A9" s="35" t="s">
        <v>77</v>
      </c>
      <c r="B9" s="36" t="n">
        <v>0</v>
      </c>
      <c r="C9" s="36" t="n">
        <f aca="false">2*4488-(15%*2*4488)</f>
        <v>7629.6</v>
      </c>
      <c r="D9" s="36" t="n">
        <v>0</v>
      </c>
      <c r="E9" s="36" t="n">
        <v>0</v>
      </c>
      <c r="F9" s="36" t="n">
        <v>0</v>
      </c>
      <c r="G9" s="36" t="n">
        <v>0</v>
      </c>
      <c r="H9" s="36" t="n">
        <v>0</v>
      </c>
      <c r="I9" s="36" t="n">
        <v>0</v>
      </c>
      <c r="J9" s="36" t="n">
        <v>0</v>
      </c>
      <c r="K9" s="36" t="n">
        <v>0</v>
      </c>
      <c r="L9" s="36" t="n">
        <f aca="false">1/2*L8</f>
        <v>1836.575</v>
      </c>
      <c r="M9" s="36" t="n">
        <f aca="false">1/2*M8</f>
        <v>1836.575</v>
      </c>
    </row>
    <row r="10" s="35" customFormat="true" ht="12.75" hidden="false" customHeight="false" outlineLevel="0" collapsed="false">
      <c r="A10" s="35" t="s">
        <v>99</v>
      </c>
      <c r="B10" s="36" t="n">
        <v>0</v>
      </c>
      <c r="C10" s="36" t="n">
        <v>0</v>
      </c>
      <c r="D10" s="36" t="n">
        <v>0</v>
      </c>
      <c r="E10" s="36" t="n">
        <v>0</v>
      </c>
      <c r="F10" s="36" t="n">
        <v>0</v>
      </c>
      <c r="G10" s="36" t="n">
        <v>0</v>
      </c>
      <c r="H10" s="36" t="n">
        <v>0</v>
      </c>
      <c r="I10" s="36" t="n">
        <v>0</v>
      </c>
      <c r="J10" s="36" t="n">
        <v>0</v>
      </c>
      <c r="K10" s="36" t="n">
        <v>0</v>
      </c>
      <c r="L10" s="36" t="n">
        <v>0</v>
      </c>
      <c r="M10" s="36" t="n">
        <v>0</v>
      </c>
    </row>
    <row r="11" s="35" customFormat="true" ht="12.75" hidden="false" customHeight="false" outlineLevel="0" collapsed="false">
      <c r="A11" s="35" t="s">
        <v>33</v>
      </c>
      <c r="B11" s="36" t="n">
        <v>880</v>
      </c>
      <c r="C11" s="36" t="n">
        <v>0</v>
      </c>
      <c r="D11" s="36" t="n">
        <v>0</v>
      </c>
      <c r="E11" s="36" t="n">
        <v>0</v>
      </c>
      <c r="F11" s="36" t="n">
        <v>0</v>
      </c>
      <c r="G11" s="36" t="n">
        <v>0</v>
      </c>
      <c r="H11" s="36" t="n">
        <v>0</v>
      </c>
      <c r="I11" s="36" t="n">
        <v>0</v>
      </c>
      <c r="J11" s="36" t="n">
        <v>0</v>
      </c>
      <c r="K11" s="36" t="n">
        <v>0</v>
      </c>
      <c r="L11" s="36" t="n">
        <v>0</v>
      </c>
      <c r="M11" s="36" t="n">
        <v>0</v>
      </c>
    </row>
    <row r="12" s="3" customFormat="true" ht="3" hidden="false" customHeight="true" outlineLevel="0" collapsed="false"/>
    <row r="13" s="4" customFormat="true" ht="12.75" hidden="false" customHeight="false" outlineLevel="0" collapsed="false">
      <c r="A13" s="4" t="s">
        <v>100</v>
      </c>
      <c r="B13" s="5" t="n">
        <f aca="false">SUM(B16+B19+B22+B25+B28)</f>
        <v>33755.54</v>
      </c>
      <c r="C13" s="5" t="n">
        <f aca="false">SUM(C16+C19+C22+C25+C28)</f>
        <v>31715.1124733333</v>
      </c>
      <c r="D13" s="5" t="n">
        <f aca="false">SUM(D16+D19+D22+D25+D28)</f>
        <v>38997.7417557193</v>
      </c>
      <c r="E13" s="5" t="n">
        <f aca="false">SUM(E16+E19+E22+E25+E28)</f>
        <v>38886.3662560599</v>
      </c>
      <c r="F13" s="5" t="n">
        <f aca="false">SUM(F16+F19+F22+F25+F28)</f>
        <v>38873.4627010543</v>
      </c>
      <c r="G13" s="5" t="n">
        <f aca="false">SUM(G16+G19+G22+G25+G28)</f>
        <v>39359.7091296279</v>
      </c>
      <c r="H13" s="5" t="n">
        <f aca="false">SUM(H16+H19+H22+H25+H28)</f>
        <v>39747.5979758962</v>
      </c>
      <c r="I13" s="5" t="n">
        <f aca="false">SUM(I16+I19+I22+I25+I28)</f>
        <v>40336.6250758313</v>
      </c>
      <c r="J13" s="5" t="n">
        <f aca="false">SUM(J16+J19+J22+J25+J28)</f>
        <v>39927.798739345</v>
      </c>
      <c r="K13" s="5" t="n">
        <f aca="false">SUM(K16+K19+K22+K25+K28)</f>
        <v>40218.1443674049</v>
      </c>
      <c r="L13" s="5" t="n">
        <f aca="false">SUM(L16+L19+L22+L25+L28)</f>
        <v>40409.1666785124</v>
      </c>
      <c r="M13" s="5" t="n">
        <f aca="false">SUM(M16+M19+M22+M25+M28)</f>
        <v>42900.3516580271</v>
      </c>
    </row>
    <row r="14" s="35" customFormat="true" ht="12.75" hidden="false" customHeight="false" outlineLevel="0" collapsed="false">
      <c r="A14" s="35" t="s">
        <v>38</v>
      </c>
      <c r="B14" s="36" t="n">
        <f aca="false">3%*B4+25%*1.5%*B4</f>
        <v>151.47</v>
      </c>
      <c r="C14" s="36" t="n">
        <f aca="false">3%*C4+25%*1.5%*C4</f>
        <v>151.47</v>
      </c>
      <c r="D14" s="36" t="n">
        <f aca="false">3%*D4+25%*1.5%*D4</f>
        <v>151.47</v>
      </c>
      <c r="E14" s="36" t="n">
        <f aca="false">3%*E4+25%*1.5%*E4</f>
        <v>151.47</v>
      </c>
      <c r="F14" s="36" t="n">
        <f aca="false">3%*F4+25%*1.5%*F4</f>
        <v>151.47</v>
      </c>
      <c r="G14" s="36" t="n">
        <f aca="false">3%*G4+25%*1.5%*G4</f>
        <v>151.47</v>
      </c>
      <c r="H14" s="36" t="n">
        <f aca="false">3%*H4+25%*1.5%*H4</f>
        <v>151.47</v>
      </c>
      <c r="I14" s="36" t="n">
        <f aca="false">3%*I4+25%*1.5%*I4</f>
        <v>151.47</v>
      </c>
      <c r="J14" s="36" t="n">
        <f aca="false">3%*J4+28%*1.5%*J4</f>
        <v>153.4896</v>
      </c>
      <c r="K14" s="36" t="n">
        <f aca="false">3%*K4+28%*1.5%*K4</f>
        <v>153.4896</v>
      </c>
      <c r="L14" s="36" t="n">
        <f aca="false">3%*L4+28%*1.5%*L4</f>
        <v>153.4896</v>
      </c>
      <c r="M14" s="36" t="n">
        <f aca="false">3%*M4+28%*1.5%*M4</f>
        <v>153.4896</v>
      </c>
      <c r="N14" s="36" t="n">
        <v>0</v>
      </c>
    </row>
    <row r="15" s="35" customFormat="true" ht="12.75" hidden="false" customHeight="false" outlineLevel="0" collapsed="false">
      <c r="A15" s="35" t="s">
        <v>13</v>
      </c>
      <c r="B15" s="36" t="n">
        <f aca="false">B16*8/1200+0.25*64.97+10.92</f>
        <v>54.3974333333333</v>
      </c>
      <c r="C15" s="36" t="n">
        <f aca="false">C16*8/1200+0.25*64.97+10.92</f>
        <v>55.7698828888889</v>
      </c>
      <c r="D15" s="36" t="n">
        <f aca="false">D16*8/1200+0.25*64.97+10.92</f>
        <v>57.1514821081482</v>
      </c>
      <c r="E15" s="36" t="n">
        <f aca="false">E16*8/1200+0.25*64.97+10.92</f>
        <v>58.5422919888691</v>
      </c>
      <c r="F15" s="36" t="n">
        <f aca="false">F16*8/1200+0.25*64.97+10.92</f>
        <v>59.9423739354616</v>
      </c>
      <c r="G15" s="36" t="n">
        <f aca="false">G16*8/1200+0.25*64.97+10.92</f>
        <v>61.351789761698</v>
      </c>
      <c r="H15" s="36" t="n">
        <f aca="false">H16*8/1200+0.25*64.97+10.92</f>
        <v>62.7706016934427</v>
      </c>
      <c r="I15" s="36" t="n">
        <f aca="false">I16*8/1200+0.25*64.97+10.92</f>
        <v>64.1988723713989</v>
      </c>
      <c r="J15" s="36" t="n">
        <f aca="false">J16*8/1200+0.25*64.97+10.92</f>
        <v>65.636664853875</v>
      </c>
      <c r="K15" s="36" t="n">
        <f aca="false">K16*8/1200+0.25*64.97+10.92</f>
        <v>67.0975066195675</v>
      </c>
      <c r="L15" s="36" t="n">
        <f aca="false">L16*8/1200+0.25*64.97+10.92</f>
        <v>68.5680873303646</v>
      </c>
      <c r="M15" s="36" t="n">
        <f aca="false">M16*8/1200+0.25*64.97+10.92</f>
        <v>70.048471912567</v>
      </c>
      <c r="N15" s="36" t="n">
        <v>0</v>
      </c>
    </row>
    <row r="16" s="35" customFormat="true" ht="12.75" hidden="false" customHeight="false" outlineLevel="0" collapsed="false">
      <c r="A16" s="35" t="s">
        <v>39</v>
      </c>
      <c r="B16" s="36" t="n">
        <f aca="false">3375.86+0.25*2837.52</f>
        <v>4085.24</v>
      </c>
      <c r="C16" s="36" t="n">
        <f aca="false">B16+B14+B15</f>
        <v>4291.10743333333</v>
      </c>
      <c r="D16" s="36" t="n">
        <f aca="false">C16+C14+C15</f>
        <v>4498.34731622222</v>
      </c>
      <c r="E16" s="36" t="n">
        <f aca="false">D16+D14+D15</f>
        <v>4706.96879833037</v>
      </c>
      <c r="F16" s="36" t="n">
        <f aca="false">E16+E14+E15</f>
        <v>4916.98109031924</v>
      </c>
      <c r="G16" s="36" t="n">
        <f aca="false">F16+F14+F15</f>
        <v>5128.3934642547</v>
      </c>
      <c r="H16" s="36" t="n">
        <f aca="false">G16+G14+G15</f>
        <v>5341.2152540164</v>
      </c>
      <c r="I16" s="36" t="n">
        <f aca="false">H16+H14+H15</f>
        <v>5555.45585570984</v>
      </c>
      <c r="J16" s="36" t="n">
        <f aca="false">I16+I14+I15</f>
        <v>5771.12472808124</v>
      </c>
      <c r="K16" s="36" t="n">
        <f aca="false">J16+J14+J15</f>
        <v>5990.25099293512</v>
      </c>
      <c r="L16" s="36" t="n">
        <f aca="false">K16+K14+K15</f>
        <v>6210.83809955469</v>
      </c>
      <c r="M16" s="36" t="n">
        <f aca="false">L16+L14+L15</f>
        <v>6432.89578688505</v>
      </c>
      <c r="N16" s="36" t="n">
        <f aca="false">M16+M14+M15</f>
        <v>6656.43385879762</v>
      </c>
    </row>
    <row r="17" s="35" customFormat="true" ht="12.75" hidden="false" customHeight="false" outlineLevel="0" collapsed="false">
      <c r="A17" s="35" t="s">
        <v>40</v>
      </c>
      <c r="B17" s="36" t="n">
        <v>359.04</v>
      </c>
      <c r="C17" s="36" t="n">
        <v>359.04</v>
      </c>
      <c r="D17" s="36" t="n">
        <v>359.04</v>
      </c>
      <c r="E17" s="36" t="n">
        <v>359.04</v>
      </c>
      <c r="F17" s="36" t="n">
        <v>359.04</v>
      </c>
      <c r="G17" s="36" t="n">
        <v>359.04</v>
      </c>
      <c r="H17" s="36" t="n">
        <v>359.04</v>
      </c>
      <c r="I17" s="36" t="n">
        <v>359.04</v>
      </c>
      <c r="J17" s="36" t="n">
        <v>359.04</v>
      </c>
      <c r="K17" s="36" t="n">
        <v>359.04</v>
      </c>
      <c r="L17" s="36" t="n">
        <v>359.04</v>
      </c>
      <c r="M17" s="36" t="n">
        <v>359.04</v>
      </c>
      <c r="N17" s="36" t="n">
        <v>0</v>
      </c>
    </row>
    <row r="18" s="35" customFormat="true" ht="12.75" hidden="false" customHeight="false" outlineLevel="0" collapsed="false">
      <c r="A18" s="35" t="s">
        <v>13</v>
      </c>
      <c r="B18" s="36" t="n">
        <v>48.37</v>
      </c>
      <c r="C18" s="36" t="n">
        <f aca="false">C19*B18/B19</f>
        <v>49.3540791770785</v>
      </c>
      <c r="D18" s="36" t="n">
        <f aca="false">D19*C18/C19</f>
        <v>50.3405353498782</v>
      </c>
      <c r="E18" s="36" t="n">
        <f aca="false">E19*D18/D19</f>
        <v>51.3293742599174</v>
      </c>
      <c r="F18" s="36" t="n">
        <f aca="false">F19*E18/E19</f>
        <v>52.3206016625829</v>
      </c>
      <c r="G18" s="36" t="n">
        <f aca="false">G19*F18/F19</f>
        <v>53.3142233271631</v>
      </c>
      <c r="H18" s="36" t="n">
        <f aca="false">H19*G18/G19</f>
        <v>54.3102450368822</v>
      </c>
      <c r="I18" s="36" t="n">
        <f aca="false">I19*H18/H19</f>
        <v>55.3086725889333</v>
      </c>
      <c r="J18" s="36" t="n">
        <f aca="false">J19*I18/I19</f>
        <v>56.3095117945121</v>
      </c>
      <c r="K18" s="36" t="n">
        <f aca="false">K19*J18/J19</f>
        <v>57.3127684788515</v>
      </c>
      <c r="L18" s="36" t="n">
        <f aca="false">L19*K18/K19</f>
        <v>58.3184484812546</v>
      </c>
      <c r="M18" s="36" t="n">
        <f aca="false">M19*L18/L19</f>
        <v>59.3265576551291</v>
      </c>
      <c r="N18" s="36" t="n">
        <v>0</v>
      </c>
    </row>
    <row r="19" s="35" customFormat="true" ht="12.75" hidden="false" customHeight="false" outlineLevel="0" collapsed="false">
      <c r="A19" s="35" t="s">
        <v>39</v>
      </c>
      <c r="B19" s="36" t="n">
        <v>20025.24</v>
      </c>
      <c r="C19" s="36" t="n">
        <f aca="false">B19+B17+B18</f>
        <v>20432.65</v>
      </c>
      <c r="D19" s="36" t="n">
        <f aca="false">C19+C17+C18</f>
        <v>20841.0440791771</v>
      </c>
      <c r="E19" s="36" t="n">
        <f aca="false">D19+D17+D18</f>
        <v>21250.424614527</v>
      </c>
      <c r="F19" s="36" t="n">
        <f aca="false">E19+E17+E18</f>
        <v>21660.7939887869</v>
      </c>
      <c r="G19" s="36" t="n">
        <f aca="false">F19+F17+F18</f>
        <v>22072.1545904495</v>
      </c>
      <c r="H19" s="36" t="n">
        <f aca="false">G19+G17+G18</f>
        <v>22484.5088137766</v>
      </c>
      <c r="I19" s="36" t="n">
        <f aca="false">H19+H17+H18</f>
        <v>22897.8590588135</v>
      </c>
      <c r="J19" s="36" t="n">
        <f aca="false">I19+I17+I18</f>
        <v>23312.2077314024</v>
      </c>
      <c r="K19" s="36" t="n">
        <f aca="false">J19+J17+J18</f>
        <v>23727.557243197</v>
      </c>
      <c r="L19" s="36" t="n">
        <f aca="false">K19+K17+K18</f>
        <v>24143.9100116758</v>
      </c>
      <c r="M19" s="36" t="n">
        <f aca="false">L19+L17+L18</f>
        <v>24561.2684601571</v>
      </c>
      <c r="N19" s="36" t="n">
        <f aca="false">M19+M17+M18</f>
        <v>24979.6350178122</v>
      </c>
      <c r="O19" s="37"/>
    </row>
    <row r="20" s="35" customFormat="true" ht="12.75" hidden="false" customHeight="false" outlineLevel="0" collapsed="false">
      <c r="A20" s="35" t="s">
        <v>101</v>
      </c>
      <c r="B20" s="36" t="n">
        <v>-2500</v>
      </c>
      <c r="C20" s="36" t="n">
        <f aca="false">7629.6-1000</f>
        <v>6629.6</v>
      </c>
      <c r="D20" s="36" t="n">
        <v>-800</v>
      </c>
      <c r="E20" s="36" t="n">
        <v>-700</v>
      </c>
      <c r="F20" s="36" t="n">
        <v>-200</v>
      </c>
      <c r="G20" s="36" t="n">
        <v>-300</v>
      </c>
      <c r="H20" s="36" t="n">
        <v>-100</v>
      </c>
      <c r="I20" s="36" t="n">
        <v>-1100</v>
      </c>
      <c r="J20" s="36" t="n">
        <v>-400</v>
      </c>
      <c r="K20" s="36" t="n">
        <v>-500</v>
      </c>
      <c r="L20" s="36" t="n">
        <v>1800</v>
      </c>
      <c r="M20" s="36" t="n">
        <v>1700</v>
      </c>
      <c r="N20" s="36" t="n">
        <v>0</v>
      </c>
    </row>
    <row r="21" s="35" customFormat="true" ht="12.75" hidden="false" customHeight="false" outlineLevel="0" collapsed="false">
      <c r="A21" s="35" t="s">
        <v>13</v>
      </c>
      <c r="B21" s="36" t="n">
        <v>0</v>
      </c>
      <c r="C21" s="36" t="n">
        <f aca="false">SUM(B22,B20)*0.06/12</f>
        <v>2.5</v>
      </c>
      <c r="D21" s="36" t="n">
        <f aca="false">SUM(C22,C20)*0.06/12</f>
        <v>35.648</v>
      </c>
      <c r="E21" s="36" t="n">
        <f aca="false">SUM(D22,D20)*0.06/12</f>
        <v>31.6605</v>
      </c>
      <c r="F21" s="36" t="n">
        <f aca="false">SUM(E22,E20)*0.06/12</f>
        <v>28.33874</v>
      </c>
      <c r="G21" s="36" t="n">
        <f aca="false">SUM(F22,F20)*0.06/12</f>
        <v>27.4970425</v>
      </c>
      <c r="H21" s="36" t="n">
        <f aca="false">SUM(G22,G20)*0.06/12</f>
        <v>26.1387362</v>
      </c>
      <c r="I21" s="36" t="n">
        <f aca="false">SUM(H22,H20)*0.06/12</f>
        <v>25.7762214125</v>
      </c>
      <c r="J21" s="36" t="n">
        <f aca="false">SUM(I22,I20)*0.06/12</f>
        <v>20.4069150935</v>
      </c>
      <c r="K21" s="36" t="n">
        <f aca="false">SUM(J22,J20)*0.06/12</f>
        <v>18.5357962005625</v>
      </c>
      <c r="L21" s="36" t="n">
        <f aca="false">SUM(K22,K20)*0.06/12</f>
        <v>16.13783077603</v>
      </c>
      <c r="M21" s="36" t="n">
        <f aca="false">SUM(L22,L20)*0.06/12</f>
        <v>25.2305097570328</v>
      </c>
      <c r="N21" s="36" t="n">
        <v>0</v>
      </c>
    </row>
    <row r="22" s="35" customFormat="true" ht="12.75" hidden="false" customHeight="false" outlineLevel="0" collapsed="false">
      <c r="A22" s="35" t="s">
        <v>39</v>
      </c>
      <c r="B22" s="36" t="n">
        <v>3000</v>
      </c>
      <c r="C22" s="36" t="n">
        <f aca="false">B22+B20+B21</f>
        <v>500</v>
      </c>
      <c r="D22" s="36" t="n">
        <f aca="false">C22+C20+C21</f>
        <v>7132.1</v>
      </c>
      <c r="E22" s="36" t="n">
        <f aca="false">D22+D20+D21</f>
        <v>6367.748</v>
      </c>
      <c r="F22" s="36" t="n">
        <f aca="false">E22+E20+E21</f>
        <v>5699.4085</v>
      </c>
      <c r="G22" s="36" t="n">
        <f aca="false">F22+F20+F21</f>
        <v>5527.74724</v>
      </c>
      <c r="H22" s="36" t="n">
        <f aca="false">G22+G20+G21</f>
        <v>5255.2442825</v>
      </c>
      <c r="I22" s="36" t="n">
        <f aca="false">H22+H20+H21</f>
        <v>5181.3830187</v>
      </c>
      <c r="J22" s="36" t="n">
        <f aca="false">I22+I20+I21</f>
        <v>4107.1592401125</v>
      </c>
      <c r="K22" s="36" t="n">
        <f aca="false">J22+J20+J21</f>
        <v>3727.566155206</v>
      </c>
      <c r="L22" s="36" t="n">
        <f aca="false">K22+K20+K21</f>
        <v>3246.10195140656</v>
      </c>
      <c r="M22" s="36" t="n">
        <f aca="false">L22+L20+L21</f>
        <v>5062.23978218259</v>
      </c>
      <c r="N22" s="36" t="n">
        <f aca="false">M22+M20+M21</f>
        <v>6787.47029193963</v>
      </c>
      <c r="O22" s="37"/>
    </row>
    <row r="23" s="35" customFormat="true" ht="12.75" hidden="false" customHeight="false" outlineLevel="0" collapsed="false">
      <c r="A23" s="35" t="s">
        <v>102</v>
      </c>
      <c r="B23" s="36" t="n">
        <v>-500</v>
      </c>
      <c r="C23" s="36" t="n">
        <v>0</v>
      </c>
      <c r="D23" s="36" t="n">
        <v>0</v>
      </c>
      <c r="E23" s="36" t="n">
        <v>0</v>
      </c>
      <c r="F23" s="36" t="n">
        <v>0</v>
      </c>
      <c r="G23" s="36" t="n">
        <v>0</v>
      </c>
      <c r="H23" s="36" t="n">
        <v>0</v>
      </c>
      <c r="I23" s="36" t="n">
        <v>0</v>
      </c>
      <c r="J23" s="36" t="n">
        <v>0</v>
      </c>
      <c r="K23" s="36" t="n">
        <v>0</v>
      </c>
      <c r="L23" s="36" t="n">
        <v>0</v>
      </c>
      <c r="M23" s="36" t="n">
        <v>0</v>
      </c>
      <c r="N23" s="36" t="n">
        <v>0</v>
      </c>
      <c r="O23" s="37"/>
    </row>
    <row r="24" s="35" customFormat="true" ht="12.75" hidden="false" customHeight="false" outlineLevel="0" collapsed="false">
      <c r="A24" s="35" t="s">
        <v>13</v>
      </c>
      <c r="B24" s="36" t="n">
        <f aca="false">B25*0.008</f>
        <v>13.78504</v>
      </c>
      <c r="C24" s="36" t="n">
        <f aca="false">C25*0.008</f>
        <v>9.89532032</v>
      </c>
      <c r="D24" s="36" t="n">
        <f aca="false">D25*0.008</f>
        <v>9.97448288256</v>
      </c>
      <c r="E24" s="36" t="n">
        <f aca="false">E25*0.008</f>
        <v>10.0542787456205</v>
      </c>
      <c r="F24" s="36" t="n">
        <f aca="false">F25*0.008</f>
        <v>10.1347129755854</v>
      </c>
      <c r="G24" s="36" t="n">
        <f aca="false">G25*0.008</f>
        <v>10.2157906793901</v>
      </c>
      <c r="H24" s="36" t="n">
        <f aca="false">H25*0.008</f>
        <v>10.2975170048253</v>
      </c>
      <c r="I24" s="36" t="n">
        <f aca="false">I25*0.008</f>
        <v>10.3798971408639</v>
      </c>
      <c r="J24" s="36" t="n">
        <f aca="false">J25*0.008</f>
        <v>10.4629363179908</v>
      </c>
      <c r="K24" s="36" t="n">
        <f aca="false">K25*0.008</f>
        <v>10.5466398085347</v>
      </c>
      <c r="L24" s="36" t="n">
        <f aca="false">L25*0.008</f>
        <v>10.631012927003</v>
      </c>
      <c r="M24" s="36" t="n">
        <f aca="false">M25*0.008</f>
        <v>10.716061030419</v>
      </c>
      <c r="N24" s="36" t="n">
        <v>0</v>
      </c>
      <c r="O24" s="37"/>
    </row>
    <row r="25" s="35" customFormat="true" ht="12.75" hidden="false" customHeight="false" outlineLevel="0" collapsed="false">
      <c r="A25" s="35" t="s">
        <v>39</v>
      </c>
      <c r="B25" s="36" t="n">
        <v>1723.13</v>
      </c>
      <c r="C25" s="36" t="n">
        <f aca="false">B25+B23+B24</f>
        <v>1236.91504</v>
      </c>
      <c r="D25" s="36" t="n">
        <f aca="false">C25+C23+C24</f>
        <v>1246.81036032</v>
      </c>
      <c r="E25" s="36" t="n">
        <f aca="false">D25+D23+D24</f>
        <v>1256.78484320256</v>
      </c>
      <c r="F25" s="36" t="n">
        <f aca="false">E25+E23+E24</f>
        <v>1266.83912194818</v>
      </c>
      <c r="G25" s="36" t="n">
        <f aca="false">F25+F23+F24</f>
        <v>1276.97383492377</v>
      </c>
      <c r="H25" s="36" t="n">
        <f aca="false">G25+G23+G24</f>
        <v>1287.18962560316</v>
      </c>
      <c r="I25" s="36" t="n">
        <f aca="false">H25+H23+H24</f>
        <v>1297.48714260798</v>
      </c>
      <c r="J25" s="36" t="n">
        <f aca="false">I25+I23+I24</f>
        <v>1307.86703974885</v>
      </c>
      <c r="K25" s="36" t="n">
        <f aca="false">J25+J23+J24</f>
        <v>1318.32997606684</v>
      </c>
      <c r="L25" s="36" t="n">
        <f aca="false">K25+K23+K24</f>
        <v>1328.87661587537</v>
      </c>
      <c r="M25" s="36" t="n">
        <f aca="false">L25+L23+L24</f>
        <v>1339.50762880237</v>
      </c>
      <c r="N25" s="36" t="n">
        <f aca="false">M25+M23+M24</f>
        <v>1350.22368983279</v>
      </c>
      <c r="O25" s="37"/>
    </row>
    <row r="26" s="35" customFormat="true" ht="12.75" hidden="false" customHeight="false" outlineLevel="0" collapsed="false">
      <c r="A26" s="35" t="s">
        <v>41</v>
      </c>
      <c r="B26" s="36" t="n">
        <v>25</v>
      </c>
      <c r="C26" s="36" t="n">
        <v>25</v>
      </c>
      <c r="D26" s="36" t="n">
        <v>25</v>
      </c>
      <c r="E26" s="36" t="n">
        <v>25</v>
      </c>
      <c r="F26" s="36" t="n">
        <v>25</v>
      </c>
      <c r="G26" s="36" t="n">
        <v>25</v>
      </c>
      <c r="H26" s="36" t="n">
        <v>25</v>
      </c>
      <c r="I26" s="36" t="n">
        <v>25</v>
      </c>
      <c r="J26" s="36" t="n">
        <v>25</v>
      </c>
      <c r="K26" s="36" t="n">
        <v>25</v>
      </c>
      <c r="L26" s="36" t="n">
        <v>25</v>
      </c>
      <c r="M26" s="36" t="n">
        <v>25</v>
      </c>
      <c r="N26" s="36"/>
    </row>
    <row r="27" s="35" customFormat="true" ht="12.75" hidden="false" customHeight="false" outlineLevel="0" collapsed="false">
      <c r="A27" s="35" t="s">
        <v>13</v>
      </c>
      <c r="B27" s="36" t="n">
        <v>307.51</v>
      </c>
      <c r="C27" s="36" t="n">
        <v>0</v>
      </c>
      <c r="D27" s="36" t="n">
        <v>0</v>
      </c>
      <c r="E27" s="36" t="n">
        <v>0</v>
      </c>
      <c r="F27" s="36" t="n">
        <v>0</v>
      </c>
      <c r="G27" s="36" t="n">
        <v>0</v>
      </c>
      <c r="H27" s="36" t="n">
        <v>0</v>
      </c>
      <c r="I27" s="36" t="n">
        <v>0</v>
      </c>
      <c r="J27" s="36" t="n">
        <v>0</v>
      </c>
      <c r="K27" s="36" t="n">
        <v>0</v>
      </c>
      <c r="L27" s="36" t="n">
        <v>0</v>
      </c>
      <c r="M27" s="36" t="n">
        <v>0</v>
      </c>
      <c r="N27" s="36" t="n">
        <v>0</v>
      </c>
    </row>
    <row r="28" s="35" customFormat="true" ht="12.75" hidden="false" customHeight="false" outlineLevel="0" collapsed="false">
      <c r="A28" s="35" t="s">
        <v>39</v>
      </c>
      <c r="B28" s="36" t="n">
        <v>4921.93</v>
      </c>
      <c r="C28" s="36" t="n">
        <f aca="false">B28+B27+B26</f>
        <v>5254.44</v>
      </c>
      <c r="D28" s="36" t="n">
        <f aca="false">C28+C26</f>
        <v>5279.44</v>
      </c>
      <c r="E28" s="36" t="n">
        <f aca="false">D28+D26</f>
        <v>5304.44</v>
      </c>
      <c r="F28" s="36" t="n">
        <f aca="false">E28+E26</f>
        <v>5329.44</v>
      </c>
      <c r="G28" s="36" t="n">
        <f aca="false">F28+F26</f>
        <v>5354.44</v>
      </c>
      <c r="H28" s="36" t="n">
        <f aca="false">G28+G26</f>
        <v>5379.44</v>
      </c>
      <c r="I28" s="36" t="n">
        <f aca="false">H28+H26</f>
        <v>5404.44</v>
      </c>
      <c r="J28" s="36" t="n">
        <f aca="false">I28+I26</f>
        <v>5429.44</v>
      </c>
      <c r="K28" s="36" t="n">
        <f aca="false">J28+J26</f>
        <v>5454.44</v>
      </c>
      <c r="L28" s="36" t="n">
        <f aca="false">K28+K26</f>
        <v>5479.44</v>
      </c>
      <c r="M28" s="36" t="n">
        <f aca="false">L28+L26</f>
        <v>5504.44</v>
      </c>
      <c r="N28" s="36" t="n">
        <f aca="false">M28+M26</f>
        <v>5529.44</v>
      </c>
    </row>
    <row r="29" s="3" customFormat="true" ht="3" hidden="false" customHeight="true" outlineLevel="0" collapsed="false">
      <c r="C29" s="7"/>
      <c r="E29" s="7"/>
      <c r="F29" s="7"/>
      <c r="G29" s="7"/>
      <c r="H29" s="7"/>
      <c r="I29" s="7"/>
      <c r="J29" s="7"/>
      <c r="K29" s="7"/>
      <c r="L29" s="7"/>
      <c r="M29" s="7"/>
    </row>
    <row r="30" s="4" customFormat="true" ht="12.75" hidden="false" customHeight="false" outlineLevel="0" collapsed="false">
      <c r="A30" s="4" t="s">
        <v>18</v>
      </c>
      <c r="B30" s="5" t="n">
        <f aca="false">SUM(B31:B49)</f>
        <v>7087.17</v>
      </c>
      <c r="C30" s="5" t="n">
        <f aca="false">SUM(C31:C49)</f>
        <v>4360.25333333333</v>
      </c>
      <c r="D30" s="5" t="n">
        <f aca="false">SUM(D31:D49)</f>
        <v>4102.25333333333</v>
      </c>
      <c r="E30" s="5" t="n">
        <f aca="false">SUM(E31:E49)</f>
        <v>4087.53333333333</v>
      </c>
      <c r="F30" s="5" t="n">
        <f aca="false">SUM(F31:F49)</f>
        <v>3548.41333333333</v>
      </c>
      <c r="G30" s="5" t="n">
        <f aca="false">SUM(G31:G49)</f>
        <v>3685.06333333333</v>
      </c>
      <c r="H30" s="5" t="n">
        <f aca="false">SUM(H31:H49)</f>
        <v>3324.26333333333</v>
      </c>
      <c r="I30" s="5" t="n">
        <f aca="false">SUM(I31:I49)</f>
        <v>4274.69</v>
      </c>
      <c r="J30" s="5" t="n">
        <f aca="false">SUM(J31:J49)</f>
        <v>3456.97</v>
      </c>
      <c r="K30" s="5" t="n">
        <f aca="false">SUM(K31:K49)</f>
        <v>3650.89</v>
      </c>
      <c r="L30" s="5" t="n">
        <f aca="false">SUM(L31:L49)</f>
        <v>3134.22333333333</v>
      </c>
      <c r="M30" s="5" t="n">
        <f aca="false">SUM(M31:M49)</f>
        <v>3131.31333333333</v>
      </c>
    </row>
    <row r="31" s="35" customFormat="true" ht="12.75" hidden="false" customHeight="false" outlineLevel="0" collapsed="false">
      <c r="A31" s="35" t="s">
        <v>19</v>
      </c>
      <c r="B31" s="36" t="n">
        <f aca="false">720+1838.74</f>
        <v>2558.74</v>
      </c>
      <c r="C31" s="36" t="n">
        <v>1000</v>
      </c>
      <c r="D31" s="36" t="n">
        <v>1000</v>
      </c>
      <c r="E31" s="36" t="n">
        <v>1000</v>
      </c>
      <c r="F31" s="36" t="n">
        <v>1000</v>
      </c>
      <c r="G31" s="36" t="n">
        <v>1000</v>
      </c>
      <c r="H31" s="36" t="n">
        <v>1000</v>
      </c>
      <c r="I31" s="36" t="n">
        <v>1000</v>
      </c>
      <c r="J31" s="36" t="n">
        <v>1000</v>
      </c>
      <c r="K31" s="36" t="n">
        <v>1000</v>
      </c>
      <c r="L31" s="36" t="n">
        <v>1000</v>
      </c>
      <c r="M31" s="36" t="n">
        <v>1000</v>
      </c>
    </row>
    <row r="32" s="35" customFormat="true" ht="12.75" hidden="false" customHeight="false" outlineLevel="0" collapsed="false">
      <c r="A32" s="35" t="s">
        <v>20</v>
      </c>
      <c r="B32" s="36" t="n">
        <v>160</v>
      </c>
      <c r="C32" s="36" t="n">
        <v>160</v>
      </c>
      <c r="D32" s="36" t="n">
        <v>160</v>
      </c>
      <c r="E32" s="36" t="n">
        <v>160</v>
      </c>
      <c r="F32" s="36" t="n">
        <v>160</v>
      </c>
      <c r="G32" s="36" t="n">
        <v>160</v>
      </c>
      <c r="H32" s="36" t="n">
        <v>160</v>
      </c>
      <c r="I32" s="36" t="n">
        <v>160</v>
      </c>
      <c r="J32" s="36" t="n">
        <v>160</v>
      </c>
      <c r="K32" s="36" t="n">
        <v>160</v>
      </c>
      <c r="L32" s="36" t="n">
        <v>160</v>
      </c>
      <c r="M32" s="36" t="n">
        <v>160</v>
      </c>
    </row>
    <row r="33" s="35" customFormat="true" ht="12.75" hidden="false" customHeight="false" outlineLevel="0" collapsed="false">
      <c r="A33" s="35" t="s">
        <v>103</v>
      </c>
      <c r="B33" s="36" t="n">
        <v>0</v>
      </c>
      <c r="C33" s="36" t="n">
        <v>0</v>
      </c>
      <c r="D33" s="36" t="n">
        <v>0</v>
      </c>
      <c r="E33" s="36" t="n">
        <v>0</v>
      </c>
      <c r="F33" s="36" t="n">
        <v>0</v>
      </c>
      <c r="G33" s="36" t="n">
        <v>0</v>
      </c>
      <c r="H33" s="36" t="n">
        <v>0</v>
      </c>
      <c r="I33" s="36" t="n">
        <v>0</v>
      </c>
      <c r="J33" s="36" t="n">
        <v>0</v>
      </c>
      <c r="K33" s="36" t="n">
        <v>0</v>
      </c>
      <c r="L33" s="36" t="n">
        <v>0</v>
      </c>
      <c r="M33" s="36" t="n">
        <v>0</v>
      </c>
    </row>
    <row r="34" s="35" customFormat="true" ht="12.75" hidden="false" customHeight="false" outlineLevel="0" collapsed="false">
      <c r="A34" s="35" t="s">
        <v>22</v>
      </c>
      <c r="B34" s="36" t="n">
        <f aca="false">50.54+61.19</f>
        <v>111.73</v>
      </c>
      <c r="C34" s="36" t="n">
        <f aca="false">B34</f>
        <v>111.73</v>
      </c>
      <c r="D34" s="36" t="n">
        <f aca="false">C34</f>
        <v>111.73</v>
      </c>
      <c r="E34" s="36" t="n">
        <f aca="false">D34</f>
        <v>111.73</v>
      </c>
      <c r="F34" s="36" t="n">
        <f aca="false">E34</f>
        <v>111.73</v>
      </c>
      <c r="G34" s="36" t="n">
        <f aca="false">F34</f>
        <v>111.73</v>
      </c>
      <c r="H34" s="36" t="n">
        <f aca="false">G34</f>
        <v>111.73</v>
      </c>
      <c r="I34" s="36" t="n">
        <f aca="false">H34</f>
        <v>111.73</v>
      </c>
      <c r="J34" s="36" t="n">
        <f aca="false">I34</f>
        <v>111.73</v>
      </c>
      <c r="K34" s="36" t="n">
        <f aca="false">J34</f>
        <v>111.73</v>
      </c>
      <c r="L34" s="36" t="n">
        <f aca="false">K34</f>
        <v>111.73</v>
      </c>
      <c r="M34" s="36" t="n">
        <f aca="false">L34</f>
        <v>111.73</v>
      </c>
    </row>
    <row r="35" s="35" customFormat="true" ht="12.75" hidden="false" customHeight="false" outlineLevel="0" collapsed="false">
      <c r="A35" s="35" t="s">
        <v>23</v>
      </c>
      <c r="B35" s="36" t="n">
        <f aca="false">39.99+24</f>
        <v>63.99</v>
      </c>
      <c r="C35" s="36" t="n">
        <f aca="false">39.99+29</f>
        <v>68.99</v>
      </c>
      <c r="D35" s="36" t="n">
        <f aca="false">39.99+29</f>
        <v>68.99</v>
      </c>
      <c r="E35" s="36" t="n">
        <f aca="false">39.99+29</f>
        <v>68.99</v>
      </c>
      <c r="F35" s="36" t="n">
        <f aca="false">39.99+29</f>
        <v>68.99</v>
      </c>
      <c r="G35" s="36" t="n">
        <f aca="false">39.99+29</f>
        <v>68.99</v>
      </c>
      <c r="H35" s="36" t="n">
        <f aca="false">39.99+29</f>
        <v>68.99</v>
      </c>
      <c r="I35" s="36" t="n">
        <f aca="false">39.99+29</f>
        <v>68.99</v>
      </c>
      <c r="J35" s="36" t="n">
        <f aca="false">39.99+29</f>
        <v>68.99</v>
      </c>
      <c r="K35" s="36" t="n">
        <f aca="false">39.99+29</f>
        <v>68.99</v>
      </c>
      <c r="L35" s="36" t="n">
        <f aca="false">39.99+29</f>
        <v>68.99</v>
      </c>
      <c r="M35" s="36" t="n">
        <f aca="false">39.99+29</f>
        <v>68.99</v>
      </c>
    </row>
    <row r="36" s="35" customFormat="true" ht="12.75" hidden="false" customHeight="false" outlineLevel="0" collapsed="false">
      <c r="A36" s="35" t="s">
        <v>24</v>
      </c>
      <c r="B36" s="36" t="n">
        <v>31.99</v>
      </c>
      <c r="C36" s="36" t="n">
        <v>31.99</v>
      </c>
      <c r="D36" s="36" t="n">
        <v>31.99</v>
      </c>
      <c r="E36" s="36" t="n">
        <v>31.99</v>
      </c>
      <c r="F36" s="36" t="n">
        <v>31.99</v>
      </c>
      <c r="G36" s="36" t="n">
        <v>31.99</v>
      </c>
      <c r="H36" s="36" t="n">
        <v>31.99</v>
      </c>
      <c r="I36" s="36" t="n">
        <v>31.99</v>
      </c>
      <c r="J36" s="36" t="n">
        <v>31.99</v>
      </c>
      <c r="K36" s="36" t="n">
        <v>31.99</v>
      </c>
      <c r="L36" s="36" t="n">
        <v>31.99</v>
      </c>
      <c r="M36" s="36" t="n">
        <v>31.99</v>
      </c>
    </row>
    <row r="37" s="35" customFormat="true" ht="12.75" hidden="false" customHeight="false" outlineLevel="0" collapsed="false">
      <c r="A37" s="35" t="s">
        <v>104</v>
      </c>
      <c r="B37" s="36" t="n">
        <f aca="false">49.99+9.9</f>
        <v>59.89</v>
      </c>
      <c r="C37" s="36" t="n">
        <f aca="false">49.99+9.9</f>
        <v>59.89</v>
      </c>
      <c r="D37" s="36" t="n">
        <f aca="false">C37</f>
        <v>59.89</v>
      </c>
      <c r="E37" s="36" t="n">
        <f aca="false">D37</f>
        <v>59.89</v>
      </c>
      <c r="F37" s="36" t="n">
        <f aca="false">E37</f>
        <v>59.89</v>
      </c>
      <c r="G37" s="36" t="n">
        <f aca="false">F37</f>
        <v>59.89</v>
      </c>
      <c r="H37" s="36" t="n">
        <f aca="false">G37</f>
        <v>59.89</v>
      </c>
      <c r="I37" s="36" t="n">
        <f aca="false">H37</f>
        <v>59.89</v>
      </c>
      <c r="J37" s="36" t="n">
        <f aca="false">I37</f>
        <v>59.89</v>
      </c>
      <c r="K37" s="36" t="n">
        <f aca="false">J37</f>
        <v>59.89</v>
      </c>
      <c r="L37" s="36" t="n">
        <f aca="false">K37</f>
        <v>59.89</v>
      </c>
      <c r="M37" s="36" t="n">
        <f aca="false">L37</f>
        <v>59.89</v>
      </c>
      <c r="O37" s="35" t="s">
        <v>105</v>
      </c>
      <c r="P37" s="38" t="n">
        <v>1100</v>
      </c>
      <c r="Q37" s="35" t="s">
        <v>106</v>
      </c>
    </row>
    <row r="38" s="35" customFormat="true" ht="12.75" hidden="false" customHeight="false" outlineLevel="0" collapsed="false">
      <c r="A38" s="35" t="s">
        <v>107</v>
      </c>
      <c r="B38" s="36" t="n">
        <v>0</v>
      </c>
      <c r="C38" s="36" t="n">
        <v>10</v>
      </c>
      <c r="D38" s="36" t="n">
        <f aca="false">C38</f>
        <v>10</v>
      </c>
      <c r="E38" s="36" t="n">
        <f aca="false">D38</f>
        <v>10</v>
      </c>
      <c r="F38" s="36" t="n">
        <f aca="false">E38</f>
        <v>10</v>
      </c>
      <c r="G38" s="36" t="n">
        <f aca="false">F38</f>
        <v>10</v>
      </c>
      <c r="H38" s="36" t="n">
        <f aca="false">G38</f>
        <v>10</v>
      </c>
      <c r="I38" s="36" t="n">
        <f aca="false">H38</f>
        <v>10</v>
      </c>
      <c r="J38" s="36" t="n">
        <f aca="false">I38</f>
        <v>10</v>
      </c>
      <c r="K38" s="36" t="n">
        <f aca="false">J38</f>
        <v>10</v>
      </c>
      <c r="L38" s="36" t="n">
        <f aca="false">K38</f>
        <v>10</v>
      </c>
      <c r="M38" s="36" t="n">
        <f aca="false">L38</f>
        <v>10</v>
      </c>
      <c r="O38" s="35" t="s">
        <v>105</v>
      </c>
      <c r="P38" s="38" t="n">
        <v>1100</v>
      </c>
      <c r="Q38" s="35" t="s">
        <v>106</v>
      </c>
    </row>
    <row r="39" s="35" customFormat="true" ht="12.75" hidden="false" customHeight="false" outlineLevel="0" collapsed="false">
      <c r="A39" s="35" t="s">
        <v>108</v>
      </c>
      <c r="B39" s="36" t="n">
        <v>27.9</v>
      </c>
      <c r="C39" s="36" t="n">
        <v>27.9</v>
      </c>
      <c r="D39" s="36" t="n">
        <v>27.9</v>
      </c>
      <c r="E39" s="36" t="n">
        <v>27.9</v>
      </c>
      <c r="F39" s="36" t="n">
        <v>27.9</v>
      </c>
      <c r="G39" s="36" t="n">
        <v>27.9</v>
      </c>
      <c r="H39" s="36" t="n">
        <v>27.9</v>
      </c>
      <c r="I39" s="36" t="n">
        <v>27.9</v>
      </c>
      <c r="J39" s="36" t="n">
        <v>27.9</v>
      </c>
      <c r="K39" s="36" t="n">
        <v>27.9</v>
      </c>
      <c r="L39" s="36" t="n">
        <v>27.9</v>
      </c>
      <c r="M39" s="36" t="n">
        <v>27.9</v>
      </c>
    </row>
    <row r="40" s="35" customFormat="true" ht="12.75" hidden="false" customHeight="false" outlineLevel="0" collapsed="false">
      <c r="A40" s="35" t="s">
        <v>109</v>
      </c>
      <c r="B40" s="36" t="n">
        <f aca="false">1694.22-'2019'!B39-'2019'!B44-'2019'!B46</f>
        <v>1486.33</v>
      </c>
      <c r="C40" s="36" t="n">
        <f aca="false">$P$48*2-'2019'!C39-'2019'!C44-'2019'!C46+600</f>
        <v>1013.54333333333</v>
      </c>
      <c r="D40" s="36" t="n">
        <f aca="false">$P$48*2-'2019'!D39-'2019'!D44-'2019'!D46+600</f>
        <v>1063.54333333333</v>
      </c>
      <c r="E40" s="36" t="n">
        <f aca="false">$P$48*2-'2019'!E39-'2019'!E44-'2019'!E46+600</f>
        <v>1063.54333333333</v>
      </c>
      <c r="F40" s="36" t="n">
        <f aca="false">$P$48*2-'2019'!F39-'2019'!F44-'2019'!F46+600</f>
        <v>1013.54333333333</v>
      </c>
      <c r="G40" s="36" t="n">
        <f aca="false">$P$48*2-'2019'!G39-'2019'!G44-'2019'!G46+600</f>
        <v>1063.54333333333</v>
      </c>
      <c r="H40" s="36" t="n">
        <f aca="false">$P$48*2-'2019'!H39-'2019'!H44-'2019'!H46+600</f>
        <v>1063.54333333333</v>
      </c>
      <c r="I40" s="36" t="n">
        <f aca="false">$P$48*2-'2019'!I39-'2019'!I44-'2019'!I46+600</f>
        <v>1013.54333333333</v>
      </c>
      <c r="J40" s="36" t="n">
        <f aca="false">$P$48*2-'2019'!J39-'2019'!J44-'2019'!J46+600</f>
        <v>1063.54333333333</v>
      </c>
      <c r="K40" s="36" t="n">
        <f aca="false">$P$48*2-'2019'!K39-'2019'!K44-'2019'!K46+600</f>
        <v>1063.54333333333</v>
      </c>
      <c r="L40" s="36" t="n">
        <f aca="false">$P$48*2-'2019'!L39-'2019'!L44-'2019'!L46+600</f>
        <v>1013.54333333333</v>
      </c>
      <c r="M40" s="36" t="n">
        <f aca="false">$P$48*2-'2019'!M39-'2019'!M44-'2019'!M46+600</f>
        <v>1063.54333333333</v>
      </c>
      <c r="O40" s="35" t="s">
        <v>110</v>
      </c>
      <c r="P40" s="38" t="n">
        <v>13.2</v>
      </c>
      <c r="Q40" s="35" t="s">
        <v>111</v>
      </c>
    </row>
    <row r="41" s="35" customFormat="true" ht="12.75" hidden="false" customHeight="false" outlineLevel="0" collapsed="false">
      <c r="A41" s="35" t="s">
        <v>112</v>
      </c>
      <c r="B41" s="36" t="n">
        <v>1721.37</v>
      </c>
      <c r="C41" s="36" t="n">
        <f aca="false">841.65+C39</f>
        <v>869.55</v>
      </c>
      <c r="D41" s="36" t="n">
        <f aca="false">783.65+C39</f>
        <v>811.55</v>
      </c>
      <c r="E41" s="36" t="n">
        <f aca="false">674.93+E39</f>
        <v>702.83</v>
      </c>
      <c r="F41" s="36" t="n">
        <f aca="false">335.81+F39</f>
        <v>363.71</v>
      </c>
      <c r="G41" s="36" t="n">
        <f aca="false">335.81+G39</f>
        <v>363.71</v>
      </c>
      <c r="H41" s="36" t="n">
        <f aca="false">175.01+H39</f>
        <v>202.91</v>
      </c>
      <c r="I41" s="36" t="n">
        <f aca="false">175.01+I39</f>
        <v>202.91</v>
      </c>
      <c r="J41" s="36" t="n">
        <f aca="false">175.01+J39</f>
        <v>202.91</v>
      </c>
      <c r="K41" s="36" t="n">
        <f aca="false">175.01+K39</f>
        <v>202.91</v>
      </c>
      <c r="L41" s="36" t="n">
        <f aca="false">175.01+L39</f>
        <v>202.91</v>
      </c>
      <c r="M41" s="36" t="n">
        <v>0</v>
      </c>
      <c r="O41" s="35" t="s">
        <v>113</v>
      </c>
      <c r="P41" s="38" t="n">
        <f aca="false">P37/P40</f>
        <v>83.3333333333333</v>
      </c>
      <c r="Q41" s="35" t="s">
        <v>114</v>
      </c>
    </row>
    <row r="42" s="35" customFormat="true" ht="12.75" hidden="false" customHeight="false" outlineLevel="0" collapsed="false">
      <c r="A42" s="35" t="s">
        <v>115</v>
      </c>
      <c r="B42" s="36" t="n">
        <v>269.34</v>
      </c>
      <c r="C42" s="36" t="n">
        <v>239.39</v>
      </c>
      <c r="D42" s="36" t="n">
        <v>239.39</v>
      </c>
      <c r="E42" s="36" t="n">
        <v>133.39</v>
      </c>
      <c r="F42" s="36" t="n">
        <v>133.39</v>
      </c>
      <c r="G42" s="36" t="n">
        <v>70.04</v>
      </c>
      <c r="H42" s="36" t="n">
        <v>70.04</v>
      </c>
      <c r="I42" s="36" t="n">
        <v>70.04</v>
      </c>
      <c r="J42" s="36" t="n">
        <v>6.08</v>
      </c>
      <c r="K42" s="36" t="n">
        <v>0</v>
      </c>
      <c r="L42" s="36" t="n">
        <v>0</v>
      </c>
      <c r="M42" s="36" t="n">
        <v>0</v>
      </c>
      <c r="O42" s="35" t="s">
        <v>47</v>
      </c>
      <c r="P42" s="38" t="n">
        <f aca="false">P41*3.899</f>
        <v>324.916666666667</v>
      </c>
      <c r="Q42" s="35" t="s">
        <v>116</v>
      </c>
    </row>
    <row r="43" s="35" customFormat="true" ht="12.75" hidden="false" customHeight="false" outlineLevel="0" collapsed="false">
      <c r="A43" s="35" t="s">
        <v>117</v>
      </c>
      <c r="B43" s="36" t="n">
        <v>0</v>
      </c>
      <c r="C43" s="36" t="n">
        <v>120</v>
      </c>
      <c r="D43" s="36" t="n">
        <v>120</v>
      </c>
      <c r="E43" s="36" t="n">
        <v>120</v>
      </c>
      <c r="F43" s="36" t="n">
        <v>120</v>
      </c>
      <c r="G43" s="36" t="n">
        <v>120</v>
      </c>
      <c r="H43" s="36" t="n">
        <v>120</v>
      </c>
      <c r="I43" s="36" t="n">
        <f aca="false">950/3+95+65+393.76</f>
        <v>870.426666666667</v>
      </c>
      <c r="J43" s="36" t="n">
        <f aca="false">950/3</f>
        <v>316.666666666667</v>
      </c>
      <c r="K43" s="36" t="n">
        <f aca="false">950/3</f>
        <v>316.666666666667</v>
      </c>
      <c r="L43" s="36" t="n">
        <v>0</v>
      </c>
      <c r="M43" s="36" t="n">
        <v>0</v>
      </c>
      <c r="O43" s="35" t="s">
        <v>53</v>
      </c>
      <c r="P43" s="39" t="n">
        <f aca="false">640/(P37*10)</f>
        <v>0.0581818181818182</v>
      </c>
      <c r="Q43" s="35" t="s">
        <v>118</v>
      </c>
    </row>
    <row r="44" s="35" customFormat="true" ht="12.75" hidden="false" customHeight="false" outlineLevel="0" collapsed="false">
      <c r="A44" s="35" t="s">
        <v>119</v>
      </c>
      <c r="B44" s="36" t="n">
        <v>0</v>
      </c>
      <c r="C44" s="36" t="n">
        <v>50</v>
      </c>
      <c r="D44" s="36" t="n">
        <v>0</v>
      </c>
      <c r="E44" s="36" t="n">
        <v>0</v>
      </c>
      <c r="F44" s="36" t="n">
        <v>50</v>
      </c>
      <c r="G44" s="36" t="n">
        <v>0</v>
      </c>
      <c r="H44" s="36" t="n">
        <v>0</v>
      </c>
      <c r="I44" s="36" t="n">
        <v>50</v>
      </c>
      <c r="J44" s="36" t="n">
        <v>0</v>
      </c>
      <c r="K44" s="36" t="n">
        <v>0</v>
      </c>
      <c r="L44" s="36" t="n">
        <v>50</v>
      </c>
      <c r="M44" s="36" t="n">
        <v>0</v>
      </c>
      <c r="P44" s="38"/>
    </row>
    <row r="45" s="35" customFormat="true" ht="12.75" hidden="false" customHeight="false" outlineLevel="0" collapsed="false">
      <c r="A45" s="35" t="s">
        <v>120</v>
      </c>
      <c r="B45" s="36" t="n">
        <v>198.62</v>
      </c>
      <c r="C45" s="36" t="n">
        <v>0</v>
      </c>
      <c r="D45" s="36" t="n">
        <v>0</v>
      </c>
      <c r="E45" s="36" t="n">
        <v>0</v>
      </c>
      <c r="F45" s="36" t="n">
        <v>0</v>
      </c>
      <c r="G45" s="36" t="n">
        <v>0</v>
      </c>
      <c r="H45" s="36" t="n">
        <v>0</v>
      </c>
      <c r="I45" s="36" t="n">
        <v>0</v>
      </c>
      <c r="J45" s="36" t="n">
        <v>0</v>
      </c>
      <c r="K45" s="36" t="n">
        <v>0</v>
      </c>
      <c r="L45" s="36" t="n">
        <v>0</v>
      </c>
      <c r="M45" s="36" t="n">
        <v>0</v>
      </c>
    </row>
    <row r="46" s="35" customFormat="true" ht="12.75" hidden="false" customHeight="false" outlineLevel="0" collapsed="false">
      <c r="A46" s="35" t="s">
        <v>121</v>
      </c>
      <c r="B46" s="36" t="n">
        <v>179.99</v>
      </c>
      <c r="C46" s="36" t="n">
        <v>179.99</v>
      </c>
      <c r="D46" s="36" t="n">
        <v>179.99</v>
      </c>
      <c r="E46" s="36" t="n">
        <v>179.99</v>
      </c>
      <c r="F46" s="36" t="n">
        <v>179.99</v>
      </c>
      <c r="G46" s="36" t="n">
        <v>179.99</v>
      </c>
      <c r="H46" s="36" t="n">
        <v>179.99</v>
      </c>
      <c r="I46" s="36" t="n">
        <v>179.99</v>
      </c>
      <c r="J46" s="36" t="n">
        <v>179.99</v>
      </c>
      <c r="K46" s="36" t="n">
        <v>179.99</v>
      </c>
      <c r="L46" s="36" t="n">
        <v>179.99</v>
      </c>
      <c r="M46" s="36" t="n">
        <v>179.99</v>
      </c>
      <c r="O46" s="35" t="s">
        <v>122</v>
      </c>
      <c r="P46" s="38" t="n">
        <v>0</v>
      </c>
      <c r="Q46" s="35" t="s">
        <v>116</v>
      </c>
    </row>
    <row r="47" s="35" customFormat="true" ht="12.75" hidden="false" customHeight="false" outlineLevel="0" collapsed="false">
      <c r="A47" s="35" t="s">
        <v>32</v>
      </c>
      <c r="B47" s="36" t="n">
        <v>200</v>
      </c>
      <c r="C47" s="36" t="n">
        <v>400</v>
      </c>
      <c r="D47" s="36" t="n">
        <v>200</v>
      </c>
      <c r="E47" s="36" t="n">
        <v>400</v>
      </c>
      <c r="F47" s="36" t="n">
        <v>200</v>
      </c>
      <c r="G47" s="36" t="n">
        <v>400</v>
      </c>
      <c r="H47" s="36" t="n">
        <v>200</v>
      </c>
      <c r="I47" s="36" t="n">
        <v>400</v>
      </c>
      <c r="J47" s="36" t="n">
        <v>200</v>
      </c>
      <c r="K47" s="36" t="n">
        <v>400</v>
      </c>
      <c r="L47" s="36" t="n">
        <v>200</v>
      </c>
      <c r="M47" s="36" t="n">
        <v>400</v>
      </c>
      <c r="O47" s="35" t="s">
        <v>123</v>
      </c>
      <c r="P47" s="38" t="n">
        <f aca="false">2.7*4</f>
        <v>10.8</v>
      </c>
      <c r="Q47" s="35" t="s">
        <v>116</v>
      </c>
    </row>
    <row r="48" s="35" customFormat="true" ht="12.75" hidden="false" customHeight="false" outlineLevel="0" collapsed="false">
      <c r="A48" s="35" t="s">
        <v>31</v>
      </c>
      <c r="B48" s="36" t="n">
        <v>12.9</v>
      </c>
      <c r="C48" s="36" t="n">
        <v>12.9</v>
      </c>
      <c r="D48" s="36" t="n">
        <v>12.9</v>
      </c>
      <c r="E48" s="36" t="n">
        <v>12.9</v>
      </c>
      <c r="F48" s="36" t="n">
        <v>12.9</v>
      </c>
      <c r="G48" s="36" t="n">
        <v>12.9</v>
      </c>
      <c r="H48" s="36" t="n">
        <v>12.9</v>
      </c>
      <c r="I48" s="36" t="n">
        <v>12.9</v>
      </c>
      <c r="J48" s="36" t="n">
        <v>12.9</v>
      </c>
      <c r="K48" s="36" t="n">
        <v>12.9</v>
      </c>
      <c r="L48" s="36" t="n">
        <v>12.9</v>
      </c>
      <c r="M48" s="36" t="n">
        <v>12.9</v>
      </c>
      <c r="O48" s="35" t="s">
        <v>54</v>
      </c>
      <c r="P48" s="38" t="n">
        <f aca="false">P47+P42+P46</f>
        <v>335.716666666667</v>
      </c>
      <c r="Q48" s="35" t="s">
        <v>116</v>
      </c>
    </row>
    <row r="49" s="35" customFormat="true" ht="12.75" hidden="false" customHeight="false" outlineLevel="0" collapsed="false">
      <c r="A49" s="35" t="s">
        <v>124</v>
      </c>
      <c r="B49" s="36" t="n">
        <v>4.38</v>
      </c>
      <c r="C49" s="36" t="n">
        <v>4.38</v>
      </c>
      <c r="D49" s="36" t="n">
        <v>4.38</v>
      </c>
      <c r="E49" s="36" t="n">
        <v>4.38</v>
      </c>
      <c r="F49" s="36" t="n">
        <v>4.38</v>
      </c>
      <c r="G49" s="36" t="n">
        <v>4.38</v>
      </c>
      <c r="H49" s="36" t="n">
        <v>4.38</v>
      </c>
      <c r="I49" s="36" t="n">
        <v>4.38</v>
      </c>
      <c r="J49" s="36" t="n">
        <v>4.38</v>
      </c>
      <c r="K49" s="36" t="n">
        <v>4.38</v>
      </c>
      <c r="L49" s="36" t="n">
        <v>4.38</v>
      </c>
      <c r="M49" s="36" t="n">
        <v>4.38</v>
      </c>
      <c r="O49" s="35" t="s">
        <v>125</v>
      </c>
      <c r="P49" s="37" t="n">
        <f aca="false">P48/2</f>
        <v>167.858333333333</v>
      </c>
      <c r="Q49" s="35" t="s">
        <v>116</v>
      </c>
    </row>
    <row r="50" s="3" customFormat="true" ht="3" hidden="false" customHeight="true" outlineLevel="0" collapsed="false">
      <c r="C50" s="7"/>
      <c r="E50" s="7"/>
      <c r="F50" s="7"/>
      <c r="G50" s="7"/>
      <c r="H50" s="7"/>
      <c r="I50" s="7"/>
      <c r="J50" s="7"/>
      <c r="K50" s="7"/>
      <c r="L50" s="7"/>
      <c r="M50" s="7"/>
    </row>
    <row r="51" s="4" customFormat="true" ht="12.75" hidden="false" customHeight="false" outlineLevel="0" collapsed="false">
      <c r="A51" s="4" t="s">
        <v>126</v>
      </c>
      <c r="B51" s="5" t="n">
        <f aca="false">B3-B14-B20-B23-B26-B30</f>
        <v>289.509999999999</v>
      </c>
      <c r="C51" s="5" t="n">
        <f aca="false">C3-C14-C20-C23-C26-C30</f>
        <v>136.426666666667</v>
      </c>
      <c r="D51" s="5" t="n">
        <f aca="false">D3-D14-D20-D23-D26-D30</f>
        <v>194.426666666667</v>
      </c>
      <c r="E51" s="5" t="n">
        <f aca="false">E3-E14-E20-E23-E26-E30</f>
        <v>109.146666666667</v>
      </c>
      <c r="F51" s="5" t="n">
        <f aca="false">F3-F14-F20-F23-F26-F30</f>
        <v>148.266666666667</v>
      </c>
      <c r="G51" s="5" t="n">
        <f aca="false">G3-G14-G20-G23-G26-G30</f>
        <v>111.616666666667</v>
      </c>
      <c r="H51" s="5" t="n">
        <f aca="false">H3-H14-H20-H23-H26-H30</f>
        <v>272.416666666667</v>
      </c>
      <c r="I51" s="5" t="n">
        <f aca="false">I3-I14-I20-I23-I26-I30</f>
        <v>321.99</v>
      </c>
      <c r="J51" s="5" t="n">
        <f aca="false">J3-J14-J20-J23-J26-J30</f>
        <v>437.6904</v>
      </c>
      <c r="K51" s="5" t="n">
        <f aca="false">K3-K14-K20-K23-K26-K30</f>
        <v>343.7704</v>
      </c>
      <c r="L51" s="5" t="n">
        <f aca="false">L3-L14-L20-L23-L26-L30</f>
        <v>397.012066666667</v>
      </c>
      <c r="M51" s="5" t="n">
        <f aca="false">M3-M14-M20-M23-M26-M30</f>
        <v>499.922066666667</v>
      </c>
    </row>
    <row r="52" s="4" customFormat="true" ht="12.75" hidden="false" customHeight="false" outlineLevel="0" collapsed="false">
      <c r="A52" s="4" t="s">
        <v>127</v>
      </c>
      <c r="B52" s="5" t="n">
        <f aca="false">B51</f>
        <v>289.51</v>
      </c>
      <c r="C52" s="5" t="n">
        <f aca="false">B52+C51</f>
        <v>425.936666666667</v>
      </c>
      <c r="D52" s="5" t="n">
        <f aca="false">C52+D51</f>
        <v>620.363333333335</v>
      </c>
      <c r="E52" s="5" t="n">
        <f aca="false">D52+E51</f>
        <v>729.510000000002</v>
      </c>
      <c r="F52" s="5" t="n">
        <f aca="false">E52+F51</f>
        <v>877.776666666668</v>
      </c>
      <c r="G52" s="5" t="n">
        <f aca="false">F52+G51</f>
        <v>989.393333333333</v>
      </c>
      <c r="H52" s="5" t="n">
        <f aca="false">G52+H51</f>
        <v>1261.81</v>
      </c>
      <c r="I52" s="5" t="n">
        <f aca="false">H52+I51</f>
        <v>1583.8</v>
      </c>
      <c r="J52" s="5" t="n">
        <f aca="false">I52+J51</f>
        <v>2021.4904</v>
      </c>
      <c r="K52" s="5" t="n">
        <f aca="false">J52+K51</f>
        <v>2365.2608</v>
      </c>
      <c r="L52" s="5" t="n">
        <f aca="false">K52+L51</f>
        <v>2762.27286666667</v>
      </c>
      <c r="M52" s="5" t="n">
        <f aca="false">L52+M51</f>
        <v>3262.19493333333</v>
      </c>
    </row>
    <row r="55" customFormat="false" ht="15" hidden="false" customHeight="false" outlineLevel="0" collapsed="false">
      <c r="E55" s="0" t="s">
        <v>128</v>
      </c>
      <c r="I55" s="40"/>
      <c r="O55" s="41"/>
      <c r="Q55" s="40"/>
      <c r="R55" s="41"/>
      <c r="S55" s="41"/>
      <c r="T55" s="40"/>
      <c r="U55" s="40"/>
      <c r="V55" s="42"/>
      <c r="W55" s="13"/>
      <c r="X55" s="13"/>
    </row>
    <row r="56" customFormat="false" ht="15" hidden="false" customHeight="false" outlineLevel="0" collapsed="false">
      <c r="C56" s="41"/>
      <c r="E56" s="43" t="n">
        <f aca="false">1784+1888.62-B40-B39-B41-B42-B45-B46-B36-B35-B34+500</f>
        <v>81.36</v>
      </c>
      <c r="I56" s="40"/>
      <c r="O56" s="41"/>
      <c r="Q56" s="40"/>
      <c r="R56" s="41"/>
      <c r="S56" s="41"/>
      <c r="T56" s="40"/>
      <c r="U56" s="40"/>
      <c r="V56" s="42"/>
      <c r="W56" s="13"/>
      <c r="X56" s="13"/>
    </row>
    <row r="57" customFormat="false" ht="15" hidden="false" customHeight="false" outlineLevel="0" collapsed="false">
      <c r="I57" s="42"/>
      <c r="O57" s="41"/>
      <c r="Q57" s="40"/>
      <c r="R57" s="41"/>
      <c r="S57" s="41"/>
      <c r="T57" s="40"/>
      <c r="U57" s="40"/>
      <c r="V57" s="42"/>
      <c r="W57" s="13"/>
      <c r="X57" s="13"/>
    </row>
    <row r="58" customFormat="false" ht="15" hidden="false" customHeight="false" outlineLevel="0" collapsed="false">
      <c r="O58" s="41"/>
      <c r="Q58" s="40"/>
      <c r="R58" s="41"/>
      <c r="S58" s="41"/>
      <c r="T58" s="40"/>
      <c r="U58" s="40"/>
      <c r="V58" s="42"/>
      <c r="W58" s="13"/>
      <c r="X58" s="13"/>
    </row>
    <row r="59" customFormat="false" ht="15" hidden="false" customHeight="false" outlineLevel="0" collapsed="false">
      <c r="O59" s="41"/>
      <c r="Q59" s="40"/>
      <c r="R59" s="41"/>
      <c r="S59" s="41"/>
      <c r="T59" s="40"/>
      <c r="U59" s="40"/>
      <c r="V59" s="42"/>
      <c r="W59" s="13"/>
      <c r="X59" s="13"/>
    </row>
    <row r="60" customFormat="false" ht="15" hidden="false" customHeight="false" outlineLevel="0" collapsed="false">
      <c r="K60" s="44"/>
      <c r="W60" s="13"/>
      <c r="X60" s="13"/>
    </row>
    <row r="61" customFormat="false" ht="15" hidden="false" customHeight="false" outlineLevel="0" collapsed="false">
      <c r="K61" s="44"/>
      <c r="W61" s="44"/>
      <c r="X61" s="13"/>
    </row>
    <row r="62" customFormat="false" ht="15" hidden="false" customHeight="false" outlineLevel="0" collapsed="false">
      <c r="K62" s="44"/>
      <c r="U62" s="40"/>
      <c r="W62" s="13"/>
      <c r="X62" s="45"/>
    </row>
    <row r="63" customFormat="false" ht="15" hidden="false" customHeight="false" outlineLevel="0" collapsed="false">
      <c r="K63" s="44"/>
    </row>
    <row r="64" customFormat="false" ht="15" hidden="false" customHeight="false" outlineLevel="0" collapsed="false">
      <c r="K64" s="44"/>
    </row>
    <row r="65" customFormat="false" ht="15" hidden="false" customHeight="false" outlineLevel="0" collapsed="false">
      <c r="K65" s="44"/>
    </row>
    <row r="66" customFormat="false" ht="15" hidden="false" customHeight="false" outlineLevel="0" collapsed="false">
      <c r="K66" s="44"/>
      <c r="Q66" s="46"/>
      <c r="R66" s="42"/>
    </row>
    <row r="67" customFormat="false" ht="15" hidden="false" customHeight="false" outlineLevel="0" collapsed="false">
      <c r="K67" s="44"/>
      <c r="Q67" s="46"/>
    </row>
    <row r="68" customFormat="false" ht="15" hidden="false" customHeight="false" outlineLevel="0" collapsed="false">
      <c r="K68" s="44"/>
      <c r="Q68" s="46"/>
    </row>
    <row r="69" customFormat="false" ht="15" hidden="false" customHeight="false" outlineLevel="0" collapsed="false">
      <c r="K69" s="44"/>
      <c r="Q69" s="46"/>
    </row>
    <row r="70" customFormat="false" ht="15" hidden="false" customHeight="false" outlineLevel="0" collapsed="false">
      <c r="K70" s="44"/>
      <c r="Q70" s="4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5"/>
  <sheetViews>
    <sheetView showFormulas="false" showGridLines="true" showRowColHeaders="true" showZeros="true" rightToLeft="false" tabSelected="false" showOutlineSymbols="true" defaultGridColor="true" view="normal" topLeftCell="A21" colorId="64" zoomScale="80" zoomScaleNormal="80" zoomScalePageLayoutView="100" workbookViewId="0">
      <selection pane="topLeft" activeCell="O50" activeCellId="0" sqref="O50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13" min="2" style="0" width="13.7"/>
    <col collapsed="false" customWidth="true" hidden="false" outlineLevel="0" max="14" min="14" style="0" width="10.71"/>
    <col collapsed="false" customWidth="true" hidden="false" outlineLevel="0" max="15" min="15" style="0" width="11.57"/>
    <col collapsed="false" customWidth="true" hidden="false" outlineLevel="0" max="16" min="16" style="0" width="10.99"/>
    <col collapsed="false" customWidth="true" hidden="false" outlineLevel="0" max="19" min="18" style="0" width="11.57"/>
    <col collapsed="false" customWidth="true" hidden="false" outlineLevel="0" max="21" min="21" style="0" width="9.85"/>
  </cols>
  <sheetData>
    <row r="1" customFormat="false" ht="15" hidden="false" customHeight="false" outlineLevel="0" collapsed="false">
      <c r="A1" s="34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  <c r="J1" s="0" t="s">
        <v>92</v>
      </c>
      <c r="K1" s="0" t="s">
        <v>93</v>
      </c>
      <c r="L1" s="0" t="s">
        <v>94</v>
      </c>
      <c r="M1" s="0" t="s">
        <v>95</v>
      </c>
    </row>
    <row r="2" s="3" customFormat="true" ht="3" hidden="false" customHeight="true" outlineLevel="0" collapsed="false"/>
    <row r="3" s="4" customFormat="true" ht="12.75" hidden="false" customHeight="false" outlineLevel="0" collapsed="false">
      <c r="A3" s="4" t="s">
        <v>13</v>
      </c>
      <c r="B3" s="5" t="n">
        <f aca="false">SUM(B8:B11)</f>
        <v>5896.83</v>
      </c>
      <c r="C3" s="5" t="n">
        <f aca="false">SUM(C8:C11)</f>
        <v>15365.07429</v>
      </c>
      <c r="D3" s="5" t="n">
        <f aca="false">SUM(D8:D11)</f>
        <v>4896.83</v>
      </c>
      <c r="E3" s="5" t="n">
        <f aca="false">SUM(E8:E11)</f>
        <v>5158.91</v>
      </c>
      <c r="F3" s="5" t="n">
        <f aca="false">SUM(F8:F11)</f>
        <v>5258.91</v>
      </c>
      <c r="G3" s="5" t="n">
        <f aca="false">SUM(G8:G11)</f>
        <v>4858.91</v>
      </c>
      <c r="H3" s="5" t="n">
        <f aca="false">SUM(H8:H11)</f>
        <v>5246.78</v>
      </c>
      <c r="I3" s="5" t="n">
        <f aca="false">SUM(I8:I11)</f>
        <v>4458.91</v>
      </c>
      <c r="J3" s="5" t="n">
        <f aca="false">SUM(J8:J11)</f>
        <v>4858.91</v>
      </c>
      <c r="K3" s="5" t="n">
        <f aca="false">SUM(K8:K11)</f>
        <v>4611.88</v>
      </c>
      <c r="L3" s="5" t="n">
        <f aca="false">SUM(L8:L11)</f>
        <v>5188.365</v>
      </c>
      <c r="M3" s="5" t="n">
        <f aca="false">SUM(M8:M11)</f>
        <v>5188.365</v>
      </c>
    </row>
    <row r="4" s="35" customFormat="true" ht="12.75" hidden="false" customHeight="false" outlineLevel="0" collapsed="false">
      <c r="A4" s="35" t="s">
        <v>96</v>
      </c>
      <c r="B4" s="36" t="n">
        <v>4331</v>
      </c>
      <c r="C4" s="36" t="n">
        <v>4331</v>
      </c>
      <c r="D4" s="36" t="n">
        <v>4331</v>
      </c>
      <c r="E4" s="36" t="n">
        <v>4331</v>
      </c>
      <c r="F4" s="36" t="n">
        <v>4331</v>
      </c>
      <c r="G4" s="36" t="n">
        <v>4331</v>
      </c>
      <c r="H4" s="36" t="n">
        <v>4331</v>
      </c>
      <c r="I4" s="36" t="n">
        <v>4331</v>
      </c>
      <c r="J4" s="36" t="n">
        <v>4331</v>
      </c>
      <c r="K4" s="36" t="n">
        <v>4331</v>
      </c>
      <c r="L4" s="36" t="n">
        <v>4331</v>
      </c>
      <c r="M4" s="36" t="n">
        <v>4331</v>
      </c>
    </row>
    <row r="5" s="35" customFormat="true" ht="12.75" hidden="false" customHeight="false" outlineLevel="0" collapsed="false">
      <c r="A5" s="35" t="s">
        <v>16</v>
      </c>
      <c r="B5" s="36" t="n">
        <v>476.41</v>
      </c>
      <c r="C5" s="36" t="n">
        <v>476.41</v>
      </c>
      <c r="D5" s="36" t="n">
        <v>476.41</v>
      </c>
      <c r="E5" s="36" t="n">
        <v>476.41</v>
      </c>
      <c r="F5" s="36" t="n">
        <v>476.41</v>
      </c>
      <c r="G5" s="36" t="n">
        <v>476.41</v>
      </c>
      <c r="H5" s="36" t="n">
        <v>476.41</v>
      </c>
      <c r="I5" s="36" t="n">
        <v>476.41</v>
      </c>
      <c r="J5" s="36" t="n">
        <v>476.41</v>
      </c>
      <c r="K5" s="36" t="n">
        <v>476.41</v>
      </c>
      <c r="L5" s="36" t="n">
        <v>476.41</v>
      </c>
      <c r="M5" s="36" t="n">
        <v>476.41</v>
      </c>
    </row>
    <row r="6" s="35" customFormat="true" ht="12.75" hidden="false" customHeight="false" outlineLevel="0" collapsed="false">
      <c r="A6" s="35" t="s">
        <v>97</v>
      </c>
      <c r="B6" s="36" t="n">
        <v>216.53</v>
      </c>
      <c r="C6" s="36" t="n">
        <v>216.53</v>
      </c>
      <c r="D6" s="36" t="n">
        <v>216.53</v>
      </c>
      <c r="E6" s="36" t="n">
        <v>216.53</v>
      </c>
      <c r="F6" s="36" t="n">
        <v>216.53</v>
      </c>
      <c r="G6" s="36" t="n">
        <v>216.53</v>
      </c>
      <c r="H6" s="36" t="n">
        <v>216.53</v>
      </c>
      <c r="I6" s="36" t="n">
        <v>216.53</v>
      </c>
      <c r="J6" s="36" t="n">
        <v>216.53</v>
      </c>
      <c r="K6" s="36" t="n">
        <v>216.53</v>
      </c>
      <c r="L6" s="36" t="n">
        <v>216.53</v>
      </c>
      <c r="M6" s="36" t="n">
        <v>216.53</v>
      </c>
    </row>
    <row r="7" s="35" customFormat="true" ht="12.75" hidden="false" customHeight="false" outlineLevel="0" collapsed="false">
      <c r="A7" s="35" t="s">
        <v>33</v>
      </c>
      <c r="B7" s="36" t="n">
        <f aca="false">11.07+46.3+118.16+11.12+3.61+21.52+29.45</f>
        <v>241.23</v>
      </c>
      <c r="C7" s="36" t="n">
        <f aca="false">11.07+46.3+118.16+11.12+3.61+21.52+29.45</f>
        <v>241.23</v>
      </c>
      <c r="D7" s="36" t="n">
        <f aca="false">11.07+46.3+118.16+11.12+3.61+21.52+29.45</f>
        <v>241.23</v>
      </c>
      <c r="E7" s="36" t="n">
        <f aca="false">11.07+46.3+56.08+11.12+3.61+21.52+29.45</f>
        <v>179.15</v>
      </c>
      <c r="F7" s="36" t="n">
        <f aca="false">11.07+46.3+56.08+11.12+3.61+21.52+29.45</f>
        <v>179.15</v>
      </c>
      <c r="G7" s="36" t="n">
        <f aca="false">11.07+46.3+56.08+11.12+3.61+21.52+29.45</f>
        <v>179.15</v>
      </c>
      <c r="H7" s="36" t="n">
        <f aca="false">11.07+46.3+56.08+11.12+3.61+21.52+29.45</f>
        <v>179.15</v>
      </c>
      <c r="I7" s="36" t="n">
        <f aca="false">11.07+46.3+56.08+11.12+3.61+21.52+29.45</f>
        <v>179.15</v>
      </c>
      <c r="J7" s="36" t="n">
        <f aca="false">11.07+46.3+56.08+11.12+3.61+21.52+29.45</f>
        <v>179.15</v>
      </c>
      <c r="K7" s="36" t="n">
        <f aca="false">11.07+46.3+56.08+11.12+3.61+21.52+29.45</f>
        <v>179.15</v>
      </c>
      <c r="L7" s="36" t="n">
        <f aca="false">11.07+46.3+56.08+11.12+3.61+21.52+29.45</f>
        <v>179.15</v>
      </c>
      <c r="M7" s="36" t="n">
        <f aca="false">11.07+46.3+56.08+11.12+3.61+21.52+29.45</f>
        <v>179.15</v>
      </c>
    </row>
    <row r="8" s="35" customFormat="true" ht="12.75" hidden="false" customHeight="false" outlineLevel="0" collapsed="false">
      <c r="A8" s="35" t="s">
        <v>98</v>
      </c>
      <c r="B8" s="36" t="n">
        <f aca="false">B4-B5-B6-B7</f>
        <v>3396.83</v>
      </c>
      <c r="C8" s="36" t="n">
        <f aca="false">C4-C5-C6-C7</f>
        <v>3396.83</v>
      </c>
      <c r="D8" s="36" t="n">
        <f aca="false">D4-D5-D6-D7</f>
        <v>3396.83</v>
      </c>
      <c r="E8" s="36" t="n">
        <f aca="false">E4-E5-E6-E7</f>
        <v>3458.91</v>
      </c>
      <c r="F8" s="36" t="n">
        <f aca="false">F4-F5-F6-F7</f>
        <v>3458.91</v>
      </c>
      <c r="G8" s="36" t="n">
        <f aca="false">G4-G5-G6-G7</f>
        <v>3458.91</v>
      </c>
      <c r="H8" s="36" t="n">
        <f aca="false">H4-H5-H6-H7</f>
        <v>3458.91</v>
      </c>
      <c r="I8" s="36" t="n">
        <f aca="false">I4-I5-I6-I7</f>
        <v>3458.91</v>
      </c>
      <c r="J8" s="36" t="n">
        <f aca="false">J4-J5-J6-J7</f>
        <v>3458.91</v>
      </c>
      <c r="K8" s="36" t="n">
        <f aca="false">K4-K5-K6-K7</f>
        <v>3458.91</v>
      </c>
      <c r="L8" s="36" t="n">
        <f aca="false">L4-L5-L6-L7</f>
        <v>3458.91</v>
      </c>
      <c r="M8" s="36" t="n">
        <f aca="false">M4-M5-M6-M7</f>
        <v>3458.91</v>
      </c>
    </row>
    <row r="9" s="35" customFormat="true" ht="12.75" hidden="false" customHeight="false" outlineLevel="0" collapsed="false">
      <c r="A9" s="35" t="s">
        <v>77</v>
      </c>
      <c r="B9" s="36" t="n">
        <v>0</v>
      </c>
      <c r="C9" s="36" t="n">
        <f aca="false">2.5054*4331-(15%*2.5054*4331)+1244.99</f>
        <v>10468.24429</v>
      </c>
      <c r="D9" s="36" t="n">
        <v>0</v>
      </c>
      <c r="E9" s="36" t="n">
        <v>0</v>
      </c>
      <c r="F9" s="36" t="n">
        <v>0</v>
      </c>
      <c r="G9" s="36" t="n">
        <v>0</v>
      </c>
      <c r="H9" s="36" t="n">
        <v>0</v>
      </c>
      <c r="I9" s="36" t="n">
        <v>0</v>
      </c>
      <c r="J9" s="36" t="n">
        <v>0</v>
      </c>
      <c r="K9" s="36" t="n">
        <f aca="false">1/3*K8</f>
        <v>1152.97</v>
      </c>
      <c r="L9" s="36" t="n">
        <f aca="false">1/2*L8</f>
        <v>1729.455</v>
      </c>
      <c r="M9" s="36" t="n">
        <f aca="false">1/2*M8</f>
        <v>1729.455</v>
      </c>
    </row>
    <row r="10" s="35" customFormat="true" ht="12.75" hidden="false" customHeight="false" outlineLevel="0" collapsed="false">
      <c r="A10" s="35" t="s">
        <v>99</v>
      </c>
      <c r="B10" s="36" t="n">
        <v>2500</v>
      </c>
      <c r="C10" s="36" t="n">
        <v>1500</v>
      </c>
      <c r="D10" s="36" t="n">
        <f aca="false">-D17</f>
        <v>1500</v>
      </c>
      <c r="E10" s="36" t="n">
        <f aca="false">-E17</f>
        <v>1700</v>
      </c>
      <c r="F10" s="36" t="n">
        <f aca="false">-F17</f>
        <v>1800</v>
      </c>
      <c r="G10" s="36" t="n">
        <f aca="false">-G17</f>
        <v>1400</v>
      </c>
      <c r="H10" s="36" t="n">
        <f aca="false">-H17</f>
        <v>-0</v>
      </c>
      <c r="I10" s="36" t="n">
        <f aca="false">-I17</f>
        <v>1000</v>
      </c>
      <c r="J10" s="36" t="n">
        <f aca="false">-J17</f>
        <v>1400</v>
      </c>
      <c r="K10" s="36" t="n">
        <f aca="false">-K20</f>
        <v>-0</v>
      </c>
      <c r="L10" s="36" t="n">
        <f aca="false">-L20</f>
        <v>-0</v>
      </c>
      <c r="M10" s="36" t="n">
        <f aca="false">-M20</f>
        <v>-0</v>
      </c>
    </row>
    <row r="11" s="35" customFormat="true" ht="12.75" hidden="false" customHeight="false" outlineLevel="0" collapsed="false">
      <c r="A11" s="35" t="s">
        <v>33</v>
      </c>
      <c r="B11" s="36" t="n">
        <v>0</v>
      </c>
      <c r="C11" s="36" t="n">
        <v>0</v>
      </c>
      <c r="D11" s="36" t="n">
        <v>0</v>
      </c>
      <c r="E11" s="36" t="n">
        <v>0</v>
      </c>
      <c r="F11" s="36" t="n">
        <v>0</v>
      </c>
      <c r="G11" s="36" t="n">
        <v>0</v>
      </c>
      <c r="H11" s="36" t="n">
        <v>1787.87</v>
      </c>
      <c r="I11" s="36" t="n">
        <v>0</v>
      </c>
      <c r="J11" s="36" t="n">
        <v>0</v>
      </c>
      <c r="K11" s="36" t="n">
        <v>0</v>
      </c>
      <c r="L11" s="36" t="n">
        <v>0</v>
      </c>
      <c r="M11" s="36" t="n">
        <v>0</v>
      </c>
    </row>
    <row r="12" s="3" customFormat="true" ht="3" hidden="false" customHeight="true" outlineLevel="0" collapsed="false"/>
    <row r="13" s="4" customFormat="true" ht="12.75" hidden="false" customHeight="false" outlineLevel="0" collapsed="false">
      <c r="A13" s="4" t="s">
        <v>100</v>
      </c>
      <c r="B13" s="5" t="n">
        <f aca="false">SUM(B14:B25)</f>
        <v>10008.0543916667</v>
      </c>
      <c r="C13" s="5" t="n">
        <f aca="false">SUM(C14:C25)</f>
        <v>20964.8330911322</v>
      </c>
      <c r="D13" s="5" t="n">
        <f aca="false">SUM(D14:D25)</f>
        <v>19693.159937351</v>
      </c>
      <c r="E13" s="5" t="n">
        <f aca="false">SUM(E14:E25)</f>
        <v>18288.7339426118</v>
      </c>
      <c r="F13" s="5" t="n">
        <f aca="false">SUM(F14:F25)</f>
        <v>16710.0170463437</v>
      </c>
      <c r="G13" s="5" t="n">
        <f aca="false">SUM(G14:G25)</f>
        <v>15521.3516274799</v>
      </c>
      <c r="H13" s="5" t="n">
        <f aca="false">SUM(H14:H25)</f>
        <v>15724.9772950769</v>
      </c>
      <c r="I13" s="5" t="n">
        <f aca="false">SUM(I14:I25)</f>
        <v>14928.8881843289</v>
      </c>
      <c r="J13" s="5" t="n">
        <f aca="false">SUM(J14:J25)</f>
        <v>13727.344330475</v>
      </c>
      <c r="K13" s="5" t="n">
        <f aca="false">SUM(K14:K25)</f>
        <v>13918.0178121772</v>
      </c>
      <c r="L13" s="5" t="n">
        <f aca="false">SUM(L14:L25)</f>
        <v>14908.902342339</v>
      </c>
      <c r="M13" s="5" t="n">
        <f aca="false">SUM(M14:M25)</f>
        <v>15804.5925314908</v>
      </c>
    </row>
    <row r="14" s="35" customFormat="true" ht="12.75" hidden="false" customHeight="false" outlineLevel="0" collapsed="false">
      <c r="A14" s="35" t="s">
        <v>38</v>
      </c>
      <c r="B14" s="36" t="n">
        <v>64.97</v>
      </c>
      <c r="C14" s="36" t="n">
        <v>64.97</v>
      </c>
      <c r="D14" s="36" t="n">
        <v>64.97</v>
      </c>
      <c r="E14" s="36" t="n">
        <f aca="false">64.97*2</f>
        <v>129.94</v>
      </c>
      <c r="F14" s="36" t="n">
        <f aca="false">64.97*2</f>
        <v>129.94</v>
      </c>
      <c r="G14" s="36" t="n">
        <f aca="false">64.97*2</f>
        <v>129.94</v>
      </c>
      <c r="H14" s="36" t="n">
        <f aca="false">64.97*2</f>
        <v>129.94</v>
      </c>
      <c r="I14" s="36" t="n">
        <f aca="false">64.97*2</f>
        <v>129.94</v>
      </c>
      <c r="J14" s="36" t="n">
        <f aca="false">64.97*2</f>
        <v>129.94</v>
      </c>
      <c r="K14" s="36" t="n">
        <f aca="false">64.97*2</f>
        <v>129.94</v>
      </c>
      <c r="L14" s="36" t="n">
        <f aca="false">64.97*2</f>
        <v>129.94</v>
      </c>
      <c r="M14" s="36" t="n">
        <f aca="false">64.97*2</f>
        <v>129.94</v>
      </c>
      <c r="N14" s="36" t="n">
        <f aca="false">64.97*2</f>
        <v>129.94</v>
      </c>
    </row>
    <row r="15" s="35" customFormat="true" ht="12.75" hidden="false" customHeight="false" outlineLevel="0" collapsed="false">
      <c r="A15" s="35" t="s">
        <v>13</v>
      </c>
      <c r="B15" s="36" t="n">
        <v>21.49</v>
      </c>
      <c r="C15" s="36" t="n">
        <f aca="false">C16*8/1200</f>
        <v>13.6496</v>
      </c>
      <c r="D15" s="36" t="n">
        <f aca="false">D16*8/1200</f>
        <v>14.0827333333333</v>
      </c>
      <c r="E15" s="36" t="n">
        <f aca="false">E16*8/1200</f>
        <v>14.949</v>
      </c>
      <c r="F15" s="36" t="n">
        <f aca="false">F16*8/1200</f>
        <v>15.8152666666667</v>
      </c>
      <c r="G15" s="36" t="n">
        <f aca="false">G16*8/1200</f>
        <v>16.6815333333333</v>
      </c>
      <c r="H15" s="36" t="n">
        <f aca="false">H16*8/1200</f>
        <v>17.5478</v>
      </c>
      <c r="I15" s="36" t="n">
        <f aca="false">I16*8/1200</f>
        <v>18.4140666666667</v>
      </c>
      <c r="J15" s="36" t="n">
        <f aca="false">J16*8/1200</f>
        <v>19.2803333333333</v>
      </c>
      <c r="K15" s="36" t="n">
        <f aca="false">K16*8/1200</f>
        <v>20.1466</v>
      </c>
      <c r="L15" s="36" t="n">
        <f aca="false">L16*8/1200</f>
        <v>21.0128666666667</v>
      </c>
      <c r="M15" s="36" t="n">
        <f aca="false">M16*8/1200</f>
        <v>21.8791333333333</v>
      </c>
      <c r="N15" s="36" t="n">
        <f aca="false">N16*8/1200</f>
        <v>22.7454</v>
      </c>
    </row>
    <row r="16" s="35" customFormat="true" ht="12.75" hidden="false" customHeight="false" outlineLevel="0" collapsed="false">
      <c r="A16" s="35" t="s">
        <v>39</v>
      </c>
      <c r="B16" s="36" t="n">
        <v>1982.47</v>
      </c>
      <c r="C16" s="36" t="n">
        <f aca="false">B16+C14</f>
        <v>2047.44</v>
      </c>
      <c r="D16" s="36" t="n">
        <f aca="false">C16+D14</f>
        <v>2112.41</v>
      </c>
      <c r="E16" s="36" t="n">
        <f aca="false">D16+E14</f>
        <v>2242.35</v>
      </c>
      <c r="F16" s="36" t="n">
        <f aca="false">E16+F14</f>
        <v>2372.29</v>
      </c>
      <c r="G16" s="36" t="n">
        <f aca="false">F16+G14</f>
        <v>2502.23</v>
      </c>
      <c r="H16" s="36" t="n">
        <f aca="false">G16+H14</f>
        <v>2632.17</v>
      </c>
      <c r="I16" s="36" t="n">
        <f aca="false">H16+I14</f>
        <v>2762.11</v>
      </c>
      <c r="J16" s="36" t="n">
        <f aca="false">I16+J14</f>
        <v>2892.05</v>
      </c>
      <c r="K16" s="36" t="n">
        <f aca="false">J16+K14</f>
        <v>3021.99</v>
      </c>
      <c r="L16" s="36" t="n">
        <f aca="false">K16+L14</f>
        <v>3151.93</v>
      </c>
      <c r="M16" s="36" t="n">
        <f aca="false">L16+M14</f>
        <v>3281.87</v>
      </c>
      <c r="N16" s="36" t="n">
        <f aca="false">M16+N14</f>
        <v>3411.81</v>
      </c>
    </row>
    <row r="17" s="35" customFormat="true" ht="12.75" hidden="false" customHeight="false" outlineLevel="0" collapsed="false">
      <c r="A17" s="35" t="s">
        <v>101</v>
      </c>
      <c r="B17" s="36" t="n">
        <v>-2040</v>
      </c>
      <c r="C17" s="36" t="n">
        <v>6800</v>
      </c>
      <c r="D17" s="36" t="n">
        <v>-1500</v>
      </c>
      <c r="E17" s="36" t="n">
        <v>-1700</v>
      </c>
      <c r="F17" s="36" t="n">
        <v>-1800</v>
      </c>
      <c r="G17" s="36" t="n">
        <v>-1400</v>
      </c>
      <c r="H17" s="36" t="n">
        <v>0</v>
      </c>
      <c r="I17" s="36" t="n">
        <v>-1000</v>
      </c>
      <c r="J17" s="36" t="n">
        <v>-1400</v>
      </c>
      <c r="K17" s="36" t="n">
        <v>0</v>
      </c>
      <c r="L17" s="36" t="n">
        <v>800</v>
      </c>
      <c r="M17" s="36" t="n">
        <v>700</v>
      </c>
      <c r="N17" s="36" t="n">
        <v>0</v>
      </c>
    </row>
    <row r="18" s="35" customFormat="true" ht="12.75" hidden="false" customHeight="false" outlineLevel="0" collapsed="false">
      <c r="A18" s="35" t="s">
        <v>13</v>
      </c>
      <c r="B18" s="36" t="n">
        <f aca="false">B19*(6.89/100/12)</f>
        <v>19.1943916666667</v>
      </c>
      <c r="C18" s="36" t="n">
        <f aca="false">C19*(6.89/100/12)</f>
        <v>7.59159946548611</v>
      </c>
      <c r="D18" s="36" t="n">
        <f aca="false">D19*(6.89/100/12)</f>
        <v>46.6785212324171</v>
      </c>
      <c r="E18" s="36" t="n">
        <f aca="false">E19*(6.89/100/12)</f>
        <v>38.3340337418266</v>
      </c>
      <c r="F18" s="36" t="n">
        <f aca="false">F19*(6.89/100/12)</f>
        <v>28.7933016522276</v>
      </c>
      <c r="G18" s="36" t="n">
        <f aca="false">G19*(6.89/100/12)</f>
        <v>18.6236231925474</v>
      </c>
      <c r="H18" s="36" t="n">
        <f aca="false">H19*(6.89/100/12)</f>
        <v>10.6922204957113</v>
      </c>
      <c r="I18" s="36" t="n">
        <f aca="false">I19*(6.89/100/12)</f>
        <v>10.7536116617242</v>
      </c>
      <c r="J18" s="36" t="n">
        <f aca="false">J19*(6.89/100/12)</f>
        <v>5.07368864868192</v>
      </c>
      <c r="K18" s="36" t="n">
        <f aca="false">K19*(6.89/100/12)</f>
        <v>-2.93551325566023</v>
      </c>
      <c r="L18" s="36" t="n">
        <f aca="false">L19*(6.89/100/12)</f>
        <v>-2.95236799426981</v>
      </c>
      <c r="M18" s="36" t="n">
        <f aca="false">M19*(6.89/100/12)</f>
        <v>1.62401382616309</v>
      </c>
      <c r="N18" s="36" t="n">
        <f aca="false">N19*(6.89/100/12)</f>
        <v>5.65250503888164</v>
      </c>
    </row>
    <row r="19" s="35" customFormat="true" ht="12.75" hidden="false" customHeight="false" outlineLevel="0" collapsed="false">
      <c r="A19" s="35" t="s">
        <v>39</v>
      </c>
      <c r="B19" s="36" t="n">
        <f aca="false">1500+1843</f>
        <v>3343</v>
      </c>
      <c r="C19" s="36" t="n">
        <f aca="false">B19+B17+B18</f>
        <v>1322.19439166667</v>
      </c>
      <c r="D19" s="36" t="n">
        <f aca="false">C19+C17+C18</f>
        <v>8129.78599113215</v>
      </c>
      <c r="E19" s="36" t="n">
        <f aca="false">D19+D17+D18</f>
        <v>6676.46451236457</v>
      </c>
      <c r="F19" s="36" t="n">
        <f aca="false">E19+E17+E18</f>
        <v>5014.7985461064</v>
      </c>
      <c r="G19" s="36" t="n">
        <f aca="false">F19+F17+F18</f>
        <v>3243.59184775862</v>
      </c>
      <c r="H19" s="36" t="n">
        <f aca="false">G19+G17+G18</f>
        <v>1862.21547095117</v>
      </c>
      <c r="I19" s="36" t="n">
        <f aca="false">H19+H17+H18</f>
        <v>1872.90769144688</v>
      </c>
      <c r="J19" s="36" t="n">
        <f aca="false">I19+I17+I18</f>
        <v>883.661303108608</v>
      </c>
      <c r="K19" s="36" t="n">
        <f aca="false">J19+J17+J18</f>
        <v>-511.26500824271</v>
      </c>
      <c r="L19" s="36" t="n">
        <f aca="false">K19+K17+K18</f>
        <v>-514.200521498371</v>
      </c>
      <c r="M19" s="36" t="n">
        <f aca="false">L19+L17+L18</f>
        <v>282.84711050736</v>
      </c>
      <c r="N19" s="36" t="n">
        <f aca="false">M19+M17+M18</f>
        <v>984.471124333523</v>
      </c>
      <c r="O19" s="37"/>
    </row>
    <row r="20" s="35" customFormat="true" ht="12.75" hidden="false" customHeight="false" outlineLevel="0" collapsed="false">
      <c r="A20" s="35" t="s">
        <v>129</v>
      </c>
      <c r="B20" s="36" t="n">
        <v>2000</v>
      </c>
      <c r="C20" s="36" t="n">
        <v>4000</v>
      </c>
      <c r="D20" s="36" t="n">
        <v>0</v>
      </c>
      <c r="E20" s="36" t="n">
        <v>0</v>
      </c>
      <c r="F20" s="36" t="n">
        <v>0</v>
      </c>
      <c r="G20" s="36" t="n">
        <v>0</v>
      </c>
      <c r="H20" s="36" t="n">
        <v>0</v>
      </c>
      <c r="I20" s="36" t="n">
        <v>0</v>
      </c>
      <c r="J20" s="36" t="n">
        <v>0</v>
      </c>
      <c r="K20" s="36" t="n">
        <v>0</v>
      </c>
      <c r="L20" s="36" t="n">
        <v>0</v>
      </c>
      <c r="M20" s="36" t="n">
        <v>0</v>
      </c>
      <c r="N20" s="36" t="n">
        <v>1</v>
      </c>
      <c r="O20" s="37"/>
    </row>
    <row r="21" s="35" customFormat="true" ht="12.75" hidden="false" customHeight="false" outlineLevel="0" collapsed="false">
      <c r="A21" s="35" t="s">
        <v>13</v>
      </c>
      <c r="B21" s="36" t="n">
        <f aca="false">B22*(6.89*94/10000/12)</f>
        <v>0</v>
      </c>
      <c r="C21" s="36" t="n">
        <f aca="false">C22*((6.89*1.05)/100/12)</f>
        <v>12.0575</v>
      </c>
      <c r="D21" s="36" t="n">
        <f aca="false">D22*((6.89*1.05)/100/12)</f>
        <v>36.245191653125</v>
      </c>
      <c r="E21" s="36" t="n">
        <f aca="false">E22*((6.89*1.05)/100/12)</f>
        <v>36.4637048523038</v>
      </c>
      <c r="F21" s="36" t="n">
        <f aca="false">F22*((6.89*1.05)/100/12)</f>
        <v>36.6835354129321</v>
      </c>
      <c r="G21" s="36" t="n">
        <f aca="false">G22*((6.89*1.05)/100/12)</f>
        <v>36.9046912770528</v>
      </c>
      <c r="H21" s="36" t="n">
        <f aca="false">H22*((6.89*1.05)/100/12)</f>
        <v>37.1271804345893</v>
      </c>
      <c r="I21" s="36" t="n">
        <f aca="false">I22*((6.89*1.05)/100/12)</f>
        <v>37.3510109236344</v>
      </c>
      <c r="J21" s="36" t="n">
        <f aca="false">J22*((6.89*1.05)/100/12)</f>
        <v>37.5761908307402</v>
      </c>
      <c r="K21" s="36" t="n">
        <f aca="false">K22*((6.89*1.05)/100/12)</f>
        <v>37.8027282912111</v>
      </c>
      <c r="L21" s="36" t="n">
        <f aca="false">L22*((6.89*1.05)/100/12)</f>
        <v>38.0306314893967</v>
      </c>
      <c r="M21" s="36" t="n">
        <f aca="false">M22*((6.89*1.05)/100/12)</f>
        <v>38.2599086589884</v>
      </c>
      <c r="N21" s="36" t="n">
        <f aca="false">N22*((6.89*1.05)/100/12)</f>
        <v>38.4905680833163</v>
      </c>
      <c r="O21" s="37"/>
    </row>
    <row r="22" s="35" customFormat="true" ht="12.75" hidden="false" customHeight="false" outlineLevel="0" collapsed="false">
      <c r="A22" s="35" t="s">
        <v>39</v>
      </c>
      <c r="B22" s="36" t="n">
        <v>0</v>
      </c>
      <c r="C22" s="36" t="n">
        <f aca="false">B22+B20+B21</f>
        <v>2000</v>
      </c>
      <c r="D22" s="36" t="n">
        <f aca="false">C22+C20+C21</f>
        <v>6012.0575</v>
      </c>
      <c r="E22" s="36" t="n">
        <f aca="false">D22+D20+D21</f>
        <v>6048.30269165313</v>
      </c>
      <c r="F22" s="36" t="n">
        <f aca="false">E22+E20+E21</f>
        <v>6084.76639650543</v>
      </c>
      <c r="G22" s="36" t="n">
        <f aca="false">F22+F20+F21</f>
        <v>6121.44993191836</v>
      </c>
      <c r="H22" s="36" t="n">
        <f aca="false">G22+G20+G21</f>
        <v>6158.35462319541</v>
      </c>
      <c r="I22" s="36" t="n">
        <f aca="false">H22+H20+H21</f>
        <v>6195.48180363</v>
      </c>
      <c r="J22" s="36" t="n">
        <f aca="false">I22+I20+I21</f>
        <v>6232.83281455364</v>
      </c>
      <c r="K22" s="36" t="n">
        <f aca="false">J22+J20+J21</f>
        <v>6270.40900538438</v>
      </c>
      <c r="L22" s="36" t="n">
        <f aca="false">K22+K20+K21</f>
        <v>6308.21173367559</v>
      </c>
      <c r="M22" s="36" t="n">
        <f aca="false">L22+L20+L21</f>
        <v>6346.24236516499</v>
      </c>
      <c r="N22" s="36" t="n">
        <f aca="false">M22+M20+M21</f>
        <v>6384.50227382397</v>
      </c>
      <c r="O22" s="37"/>
    </row>
    <row r="23" s="35" customFormat="true" ht="12.75" hidden="false" customHeight="false" outlineLevel="0" collapsed="false">
      <c r="A23" s="35" t="s">
        <v>41</v>
      </c>
      <c r="B23" s="36" t="n">
        <v>80</v>
      </c>
      <c r="C23" s="36" t="n">
        <v>80</v>
      </c>
      <c r="D23" s="36" t="n">
        <v>80</v>
      </c>
      <c r="E23" s="36" t="n">
        <v>25</v>
      </c>
      <c r="F23" s="36" t="n">
        <v>25</v>
      </c>
      <c r="G23" s="36" t="n">
        <v>25</v>
      </c>
      <c r="H23" s="36" t="n">
        <v>25</v>
      </c>
      <c r="I23" s="36" t="n">
        <v>25</v>
      </c>
      <c r="J23" s="36" t="n">
        <v>25</v>
      </c>
      <c r="K23" s="36" t="n">
        <v>25</v>
      </c>
      <c r="L23" s="36" t="n">
        <v>25</v>
      </c>
      <c r="M23" s="36" t="n">
        <v>25</v>
      </c>
      <c r="N23" s="36" t="n">
        <v>25</v>
      </c>
    </row>
    <row r="24" s="35" customFormat="true" ht="12.75" hidden="false" customHeight="false" outlineLevel="0" collapsed="false">
      <c r="A24" s="35" t="s">
        <v>13</v>
      </c>
      <c r="B24" s="36" t="n">
        <v>0</v>
      </c>
      <c r="C24" s="36" t="n">
        <v>0</v>
      </c>
      <c r="D24" s="36" t="n">
        <v>0</v>
      </c>
      <c r="E24" s="36" t="n">
        <v>0</v>
      </c>
      <c r="F24" s="36" t="n">
        <v>0</v>
      </c>
      <c r="G24" s="36" t="n">
        <v>0</v>
      </c>
      <c r="H24" s="36" t="n">
        <v>0</v>
      </c>
      <c r="I24" s="36" t="n">
        <v>0</v>
      </c>
      <c r="J24" s="36" t="n">
        <v>0</v>
      </c>
      <c r="K24" s="36" t="n">
        <v>0</v>
      </c>
      <c r="L24" s="36" t="n">
        <v>0</v>
      </c>
      <c r="M24" s="36" t="n">
        <v>0</v>
      </c>
      <c r="N24" s="36" t="n">
        <v>0</v>
      </c>
    </row>
    <row r="25" s="35" customFormat="true" ht="12.75" hidden="false" customHeight="false" outlineLevel="0" collapsed="false">
      <c r="A25" s="35" t="s">
        <v>39</v>
      </c>
      <c r="B25" s="36" t="n">
        <v>4536.93</v>
      </c>
      <c r="C25" s="36" t="n">
        <f aca="false">B25+B23</f>
        <v>4616.93</v>
      </c>
      <c r="D25" s="36" t="n">
        <f aca="false">C25+C23</f>
        <v>4696.93</v>
      </c>
      <c r="E25" s="36" t="n">
        <f aca="false">D25+D23</f>
        <v>4776.93</v>
      </c>
      <c r="F25" s="36" t="n">
        <f aca="false">E25+E23</f>
        <v>4801.93</v>
      </c>
      <c r="G25" s="36" t="n">
        <f aca="false">F25+F23</f>
        <v>4826.93</v>
      </c>
      <c r="H25" s="36" t="n">
        <f aca="false">G25+G23</f>
        <v>4851.93</v>
      </c>
      <c r="I25" s="36" t="n">
        <f aca="false">H25+H23</f>
        <v>4876.93</v>
      </c>
      <c r="J25" s="36" t="n">
        <f aca="false">I25+I23</f>
        <v>4901.93</v>
      </c>
      <c r="K25" s="36" t="n">
        <f aca="false">J25+J23</f>
        <v>4926.93</v>
      </c>
      <c r="L25" s="36" t="n">
        <f aca="false">K25+K23</f>
        <v>4951.93</v>
      </c>
      <c r="M25" s="36" t="n">
        <f aca="false">L25+L23</f>
        <v>4976.93</v>
      </c>
      <c r="N25" s="36" t="n">
        <f aca="false">M25+M23</f>
        <v>5001.93</v>
      </c>
    </row>
    <row r="26" s="3" customFormat="true" ht="3" hidden="false" customHeight="true" outlineLevel="0" collapsed="false">
      <c r="C26" s="7"/>
      <c r="E26" s="7"/>
      <c r="F26" s="7"/>
      <c r="G26" s="7"/>
      <c r="H26" s="7"/>
      <c r="I26" s="7"/>
      <c r="J26" s="7"/>
      <c r="K26" s="7"/>
      <c r="L26" s="7"/>
      <c r="M26" s="7"/>
    </row>
    <row r="27" s="4" customFormat="true" ht="12.75" hidden="false" customHeight="false" outlineLevel="0" collapsed="false">
      <c r="A27" s="4" t="s">
        <v>18</v>
      </c>
      <c r="B27" s="5" t="n">
        <f aca="false">SUM(B28:B44)</f>
        <v>5627.57</v>
      </c>
      <c r="C27" s="5" t="n">
        <f aca="false">SUM(C28:C44)</f>
        <v>4135.45</v>
      </c>
      <c r="D27" s="5" t="n">
        <f aca="false">SUM(D28:D44)</f>
        <v>5053.56</v>
      </c>
      <c r="E27" s="5" t="n">
        <f aca="false">SUM(E28:E44)</f>
        <v>5132.85</v>
      </c>
      <c r="F27" s="5" t="n">
        <f aca="false">SUM(F28:F44)</f>
        <v>5132.85</v>
      </c>
      <c r="G27" s="5" t="n">
        <f aca="false">SUM(G28:G44)</f>
        <v>4731.39</v>
      </c>
      <c r="H27" s="5" t="n">
        <f aca="false">SUM(H28:H44)</f>
        <v>4731.39</v>
      </c>
      <c r="I27" s="5" t="n">
        <f aca="false">SUM(I28:I44)</f>
        <v>4731.39</v>
      </c>
      <c r="J27" s="5" t="n">
        <f aca="false">SUM(J28:J44)</f>
        <v>4731.39</v>
      </c>
      <c r="K27" s="5" t="n">
        <f aca="false">SUM(K28:K44)</f>
        <v>4348.17</v>
      </c>
      <c r="L27" s="5" t="n">
        <f aca="false">SUM(L28:L44)</f>
        <v>4348.17</v>
      </c>
      <c r="M27" s="5" t="n">
        <f aca="false">SUM(M28:M44)</f>
        <v>4387.63</v>
      </c>
    </row>
    <row r="28" s="35" customFormat="true" ht="12.75" hidden="false" customHeight="false" outlineLevel="0" collapsed="false">
      <c r="A28" s="35" t="s">
        <v>19</v>
      </c>
      <c r="B28" s="36" t="n">
        <v>1250</v>
      </c>
      <c r="C28" s="36" t="n">
        <v>1250</v>
      </c>
      <c r="D28" s="36" t="n">
        <v>1250</v>
      </c>
      <c r="E28" s="36" t="n">
        <v>1250</v>
      </c>
      <c r="F28" s="36" t="n">
        <v>1250</v>
      </c>
      <c r="G28" s="36" t="n">
        <v>1250</v>
      </c>
      <c r="H28" s="36" t="n">
        <v>1250</v>
      </c>
      <c r="I28" s="36" t="n">
        <v>1250</v>
      </c>
      <c r="J28" s="36" t="n">
        <v>1250</v>
      </c>
      <c r="K28" s="36" t="n">
        <v>1250</v>
      </c>
      <c r="L28" s="36" t="n">
        <v>1250</v>
      </c>
      <c r="M28" s="36" t="n">
        <v>1250</v>
      </c>
    </row>
    <row r="29" s="35" customFormat="true" ht="12.75" hidden="false" customHeight="false" outlineLevel="0" collapsed="false">
      <c r="A29" s="35" t="s">
        <v>20</v>
      </c>
      <c r="B29" s="36" t="n">
        <v>430</v>
      </c>
      <c r="C29" s="36" t="n">
        <v>430</v>
      </c>
      <c r="D29" s="36" t="n">
        <v>430</v>
      </c>
      <c r="E29" s="36" t="n">
        <v>430</v>
      </c>
      <c r="F29" s="36" t="n">
        <v>430</v>
      </c>
      <c r="G29" s="36" t="n">
        <v>430</v>
      </c>
      <c r="H29" s="36" t="n">
        <v>430</v>
      </c>
      <c r="I29" s="36" t="n">
        <v>430</v>
      </c>
      <c r="J29" s="36" t="n">
        <v>430</v>
      </c>
      <c r="K29" s="36" t="n">
        <v>430</v>
      </c>
      <c r="L29" s="36" t="n">
        <v>430</v>
      </c>
      <c r="M29" s="36" t="n">
        <v>430</v>
      </c>
    </row>
    <row r="30" s="35" customFormat="true" ht="12.75" hidden="false" customHeight="false" outlineLevel="0" collapsed="false">
      <c r="A30" s="35" t="s">
        <v>130</v>
      </c>
      <c r="B30" s="36" t="n">
        <f aca="false">234.31+20.01</f>
        <v>254.32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0</v>
      </c>
      <c r="H30" s="36" t="n">
        <v>0</v>
      </c>
      <c r="I30" s="36" t="n">
        <v>0</v>
      </c>
      <c r="J30" s="36" t="n">
        <v>0</v>
      </c>
      <c r="K30" s="36" t="n">
        <v>0</v>
      </c>
      <c r="L30" s="36" t="n">
        <v>0</v>
      </c>
      <c r="M30" s="36" t="n">
        <v>0</v>
      </c>
    </row>
    <row r="31" s="35" customFormat="true" ht="12.75" hidden="false" customHeight="false" outlineLevel="0" collapsed="false">
      <c r="A31" s="35" t="s">
        <v>22</v>
      </c>
      <c r="B31" s="36" t="n">
        <v>64.98</v>
      </c>
      <c r="C31" s="36" t="n">
        <v>143.89</v>
      </c>
      <c r="D31" s="36" t="n">
        <v>96.35</v>
      </c>
      <c r="E31" s="36" t="n">
        <v>104.44</v>
      </c>
      <c r="F31" s="36" t="n">
        <v>104.44</v>
      </c>
      <c r="G31" s="36" t="n">
        <v>64.98</v>
      </c>
      <c r="H31" s="36" t="n">
        <v>64.98</v>
      </c>
      <c r="I31" s="36" t="n">
        <v>64.98</v>
      </c>
      <c r="J31" s="36" t="n">
        <v>64.98</v>
      </c>
      <c r="K31" s="36" t="n">
        <v>64.98</v>
      </c>
      <c r="L31" s="36" t="n">
        <v>64.98</v>
      </c>
      <c r="M31" s="36" t="n">
        <v>104.44</v>
      </c>
    </row>
    <row r="32" s="35" customFormat="true" ht="12.75" hidden="false" customHeight="false" outlineLevel="0" collapsed="false">
      <c r="A32" s="35" t="s">
        <v>23</v>
      </c>
      <c r="B32" s="36" t="n">
        <v>79.9</v>
      </c>
      <c r="C32" s="36" t="n">
        <v>79.9</v>
      </c>
      <c r="D32" s="36" t="n">
        <v>79.9</v>
      </c>
      <c r="E32" s="36" t="n">
        <v>79.9</v>
      </c>
      <c r="F32" s="36" t="n">
        <v>79.9</v>
      </c>
      <c r="G32" s="36" t="n">
        <v>79.9</v>
      </c>
      <c r="H32" s="36" t="n">
        <v>79.9</v>
      </c>
      <c r="I32" s="36" t="n">
        <v>79.9</v>
      </c>
      <c r="J32" s="36" t="n">
        <v>79.9</v>
      </c>
      <c r="K32" s="36" t="n">
        <v>79.9</v>
      </c>
      <c r="L32" s="36" t="n">
        <v>79.9</v>
      </c>
      <c r="M32" s="36" t="n">
        <v>79.9</v>
      </c>
    </row>
    <row r="33" s="35" customFormat="true" ht="12.75" hidden="false" customHeight="false" outlineLevel="0" collapsed="false">
      <c r="A33" s="35" t="s">
        <v>108</v>
      </c>
      <c r="B33" s="36" t="n">
        <v>22.9</v>
      </c>
      <c r="C33" s="36" t="n">
        <v>22.9</v>
      </c>
      <c r="D33" s="36" t="n">
        <v>22.9</v>
      </c>
      <c r="E33" s="36" t="n">
        <v>22.9</v>
      </c>
      <c r="F33" s="36" t="n">
        <v>22.9</v>
      </c>
      <c r="G33" s="36" t="n">
        <v>22.9</v>
      </c>
      <c r="H33" s="36" t="n">
        <v>22.9</v>
      </c>
      <c r="I33" s="36" t="n">
        <v>22.9</v>
      </c>
      <c r="J33" s="36" t="n">
        <v>22.9</v>
      </c>
      <c r="K33" s="36" t="n">
        <v>22.9</v>
      </c>
      <c r="L33" s="36" t="n">
        <v>22.9</v>
      </c>
      <c r="M33" s="36" t="n">
        <v>22.9</v>
      </c>
    </row>
    <row r="34" s="35" customFormat="true" ht="12.75" hidden="false" customHeight="false" outlineLevel="0" collapsed="false">
      <c r="A34" s="35" t="s">
        <v>24</v>
      </c>
      <c r="B34" s="36" t="n">
        <v>68.65</v>
      </c>
      <c r="C34" s="36" t="n">
        <v>68.65</v>
      </c>
      <c r="D34" s="36" t="n">
        <v>68.65</v>
      </c>
      <c r="E34" s="36" t="n">
        <v>68.65</v>
      </c>
      <c r="F34" s="36" t="n">
        <v>68.65</v>
      </c>
      <c r="G34" s="36" t="n">
        <v>68.65</v>
      </c>
      <c r="H34" s="36" t="n">
        <v>68.65</v>
      </c>
      <c r="I34" s="36" t="n">
        <v>68.65</v>
      </c>
      <c r="J34" s="36" t="n">
        <v>68.65</v>
      </c>
      <c r="K34" s="36" t="n">
        <v>68.65</v>
      </c>
      <c r="L34" s="36" t="n">
        <v>68.65</v>
      </c>
      <c r="M34" s="36" t="n">
        <v>68.65</v>
      </c>
    </row>
    <row r="35" s="35" customFormat="true" ht="12.75" hidden="false" customHeight="false" outlineLevel="0" collapsed="false">
      <c r="A35" s="35" t="s">
        <v>131</v>
      </c>
      <c r="B35" s="36" t="n">
        <f aca="false">49.99+7+25</f>
        <v>81.99</v>
      </c>
      <c r="C35" s="36" t="n">
        <f aca="false">49.99+7+25</f>
        <v>81.99</v>
      </c>
      <c r="D35" s="36" t="n">
        <f aca="false">49.99+7+25</f>
        <v>81.99</v>
      </c>
      <c r="E35" s="36" t="n">
        <f aca="false">49.99+7+25</f>
        <v>81.99</v>
      </c>
      <c r="F35" s="36" t="n">
        <f aca="false">49.99+7+25</f>
        <v>81.99</v>
      </c>
      <c r="G35" s="36" t="n">
        <f aca="false">49.99+7+25</f>
        <v>81.99</v>
      </c>
      <c r="H35" s="36" t="n">
        <f aca="false">49.99+7+25</f>
        <v>81.99</v>
      </c>
      <c r="I35" s="36" t="n">
        <f aca="false">49.99+7+25</f>
        <v>81.99</v>
      </c>
      <c r="J35" s="36" t="n">
        <f aca="false">49.99+7+25</f>
        <v>81.99</v>
      </c>
      <c r="K35" s="36" t="n">
        <f aca="false">49.99+7+25</f>
        <v>81.99</v>
      </c>
      <c r="L35" s="36" t="n">
        <f aca="false">49.99+7+25</f>
        <v>81.99</v>
      </c>
      <c r="M35" s="36" t="n">
        <f aca="false">49.99+7+25</f>
        <v>81.99</v>
      </c>
      <c r="O35" s="35" t="s">
        <v>105</v>
      </c>
      <c r="P35" s="38" t="n">
        <v>1100</v>
      </c>
      <c r="Q35" s="35" t="s">
        <v>106</v>
      </c>
    </row>
    <row r="36" s="35" customFormat="true" ht="12.75" hidden="false" customHeight="false" outlineLevel="0" collapsed="false">
      <c r="A36" s="35" t="s">
        <v>109</v>
      </c>
      <c r="B36" s="36" t="n">
        <v>1419.86</v>
      </c>
      <c r="C36" s="36" t="n">
        <v>0</v>
      </c>
      <c r="D36" s="36" t="n">
        <v>162.06</v>
      </c>
      <c r="E36" s="36" t="n">
        <v>1000</v>
      </c>
      <c r="F36" s="36" t="n">
        <v>1000</v>
      </c>
      <c r="G36" s="36" t="n">
        <v>1000</v>
      </c>
      <c r="H36" s="36" t="n">
        <v>1000</v>
      </c>
      <c r="I36" s="36" t="n">
        <v>1000</v>
      </c>
      <c r="J36" s="36" t="n">
        <v>1000</v>
      </c>
      <c r="K36" s="36" t="n">
        <v>1000</v>
      </c>
      <c r="L36" s="36" t="n">
        <v>1000</v>
      </c>
      <c r="M36" s="36" t="n">
        <v>1000</v>
      </c>
      <c r="O36" s="35" t="s">
        <v>110</v>
      </c>
      <c r="P36" s="38" t="n">
        <v>13.2</v>
      </c>
      <c r="Q36" s="35" t="s">
        <v>111</v>
      </c>
    </row>
    <row r="37" s="35" customFormat="true" ht="12.75" hidden="false" customHeight="false" outlineLevel="0" collapsed="false">
      <c r="A37" s="35" t="s">
        <v>112</v>
      </c>
      <c r="B37" s="36" t="n">
        <v>676.85</v>
      </c>
      <c r="C37" s="36" t="n">
        <v>780</v>
      </c>
      <c r="D37" s="36" t="n">
        <v>693.59</v>
      </c>
      <c r="E37" s="36" t="n">
        <v>676.85</v>
      </c>
      <c r="F37" s="36" t="n">
        <v>676.85</v>
      </c>
      <c r="G37" s="36" t="n">
        <v>676.85</v>
      </c>
      <c r="H37" s="36" t="n">
        <v>676.85</v>
      </c>
      <c r="I37" s="36" t="n">
        <v>676.85</v>
      </c>
      <c r="J37" s="36" t="n">
        <v>676.85</v>
      </c>
      <c r="K37" s="36" t="n">
        <v>676.85</v>
      </c>
      <c r="L37" s="36" t="n">
        <v>676.85</v>
      </c>
      <c r="M37" s="36" t="n">
        <v>676.85</v>
      </c>
      <c r="O37" s="35" t="s">
        <v>113</v>
      </c>
      <c r="P37" s="38" t="n">
        <f aca="false">P35/P36</f>
        <v>83.3333333333333</v>
      </c>
      <c r="Q37" s="35" t="s">
        <v>114</v>
      </c>
    </row>
    <row r="38" s="35" customFormat="true" ht="12.75" hidden="false" customHeight="false" outlineLevel="0" collapsed="false">
      <c r="A38" s="35" t="s">
        <v>132</v>
      </c>
      <c r="B38" s="36" t="n">
        <v>362</v>
      </c>
      <c r="C38" s="36" t="n">
        <v>362</v>
      </c>
      <c r="D38" s="36" t="n">
        <v>362</v>
      </c>
      <c r="E38" s="36" t="n">
        <v>362</v>
      </c>
      <c r="F38" s="36" t="n">
        <v>362</v>
      </c>
      <c r="G38" s="36" t="n">
        <v>0</v>
      </c>
      <c r="H38" s="36" t="n">
        <v>0</v>
      </c>
      <c r="I38" s="36" t="n">
        <v>0</v>
      </c>
      <c r="J38" s="36" t="n">
        <v>0</v>
      </c>
      <c r="K38" s="36" t="n">
        <v>0</v>
      </c>
      <c r="L38" s="36" t="n">
        <v>0</v>
      </c>
      <c r="M38" s="36" t="n">
        <v>0</v>
      </c>
      <c r="O38" s="35" t="s">
        <v>47</v>
      </c>
      <c r="P38" s="38" t="n">
        <f aca="false">P37*3.899</f>
        <v>324.916666666667</v>
      </c>
      <c r="Q38" s="35" t="s">
        <v>116</v>
      </c>
    </row>
    <row r="39" s="35" customFormat="true" ht="12.75" hidden="false" customHeight="false" outlineLevel="0" collapsed="false">
      <c r="A39" s="35" t="s">
        <v>32</v>
      </c>
      <c r="B39" s="36" t="n">
        <v>500</v>
      </c>
      <c r="C39" s="36" t="n">
        <v>500</v>
      </c>
      <c r="D39" s="36" t="n">
        <v>400</v>
      </c>
      <c r="E39" s="36" t="n">
        <v>400</v>
      </c>
      <c r="F39" s="36" t="n">
        <v>400</v>
      </c>
      <c r="G39" s="36" t="n">
        <v>400</v>
      </c>
      <c r="H39" s="36" t="n">
        <v>400</v>
      </c>
      <c r="I39" s="36" t="n">
        <v>400</v>
      </c>
      <c r="J39" s="36" t="n">
        <v>400</v>
      </c>
      <c r="K39" s="36" t="n">
        <v>400</v>
      </c>
      <c r="L39" s="36" t="n">
        <v>400</v>
      </c>
      <c r="M39" s="36" t="n">
        <v>400</v>
      </c>
      <c r="O39" s="35" t="s">
        <v>123</v>
      </c>
      <c r="P39" s="38" t="n">
        <f aca="false">2.7*4</f>
        <v>10.8</v>
      </c>
      <c r="Q39" s="35" t="s">
        <v>116</v>
      </c>
    </row>
    <row r="40" s="35" customFormat="true" ht="12.75" hidden="false" customHeight="false" outlineLevel="0" collapsed="false">
      <c r="A40" s="35" t="s">
        <v>117</v>
      </c>
      <c r="B40" s="36" t="n">
        <v>383.22</v>
      </c>
      <c r="C40" s="36" t="n">
        <v>383.22</v>
      </c>
      <c r="D40" s="36" t="n">
        <v>383.22</v>
      </c>
      <c r="E40" s="36" t="n">
        <v>383.22</v>
      </c>
      <c r="F40" s="36" t="n">
        <v>383.22</v>
      </c>
      <c r="G40" s="36" t="n">
        <v>383.22</v>
      </c>
      <c r="H40" s="36" t="n">
        <v>383.22</v>
      </c>
      <c r="I40" s="36" t="n">
        <v>383.22</v>
      </c>
      <c r="J40" s="36" t="n">
        <v>383.22</v>
      </c>
      <c r="K40" s="36" t="n">
        <v>0</v>
      </c>
      <c r="L40" s="36" t="n">
        <v>0</v>
      </c>
      <c r="M40" s="36" t="n">
        <v>0</v>
      </c>
      <c r="O40" s="35" t="s">
        <v>53</v>
      </c>
      <c r="P40" s="39" t="n">
        <f aca="false">500/(P35*10)</f>
        <v>0.0454545454545455</v>
      </c>
      <c r="Q40" s="35" t="s">
        <v>118</v>
      </c>
    </row>
    <row r="41" s="35" customFormat="true" ht="12.75" hidden="false" customHeight="false" outlineLevel="0" collapsed="false">
      <c r="A41" s="35" t="s">
        <v>133</v>
      </c>
      <c r="B41" s="36" t="n">
        <v>0</v>
      </c>
      <c r="C41" s="36" t="n">
        <v>0</v>
      </c>
      <c r="D41" s="36" t="n">
        <v>1000</v>
      </c>
      <c r="E41" s="36" t="n">
        <v>0</v>
      </c>
      <c r="F41" s="36" t="n">
        <v>0</v>
      </c>
      <c r="G41" s="36" t="n">
        <v>0</v>
      </c>
      <c r="H41" s="36" t="n">
        <v>0</v>
      </c>
      <c r="I41" s="36" t="n">
        <v>0</v>
      </c>
      <c r="J41" s="36" t="n">
        <v>0</v>
      </c>
      <c r="K41" s="36" t="n">
        <v>0</v>
      </c>
      <c r="L41" s="36" t="n">
        <v>0</v>
      </c>
      <c r="M41" s="36" t="n">
        <v>0</v>
      </c>
    </row>
    <row r="42" s="35" customFormat="true" ht="12.75" hidden="false" customHeight="false" outlineLevel="0" collapsed="false">
      <c r="A42" s="35" t="s">
        <v>121</v>
      </c>
      <c r="B42" s="36" t="n">
        <v>0</v>
      </c>
      <c r="C42" s="36" t="n">
        <v>0</v>
      </c>
      <c r="D42" s="36" t="n">
        <v>0</v>
      </c>
      <c r="E42" s="36" t="n">
        <v>250</v>
      </c>
      <c r="F42" s="36" t="n">
        <v>250</v>
      </c>
      <c r="G42" s="36" t="n">
        <v>250</v>
      </c>
      <c r="H42" s="36" t="n">
        <v>250</v>
      </c>
      <c r="I42" s="36" t="n">
        <v>250</v>
      </c>
      <c r="J42" s="36" t="n">
        <v>250</v>
      </c>
      <c r="K42" s="36" t="n">
        <v>250</v>
      </c>
      <c r="L42" s="36" t="n">
        <v>250</v>
      </c>
      <c r="M42" s="36" t="n">
        <v>250</v>
      </c>
      <c r="O42" s="35" t="s">
        <v>122</v>
      </c>
      <c r="P42" s="38" t="n">
        <f aca="false">P40*P35</f>
        <v>50</v>
      </c>
      <c r="Q42" s="35" t="s">
        <v>116</v>
      </c>
    </row>
    <row r="43" s="35" customFormat="true" ht="12.75" hidden="false" customHeight="false" outlineLevel="0" collapsed="false">
      <c r="A43" s="35" t="s">
        <v>31</v>
      </c>
      <c r="B43" s="36" t="n">
        <v>12.9</v>
      </c>
      <c r="C43" s="36" t="n">
        <v>12.9</v>
      </c>
      <c r="D43" s="36" t="n">
        <v>12.9</v>
      </c>
      <c r="E43" s="36" t="n">
        <v>12.9</v>
      </c>
      <c r="F43" s="36" t="n">
        <v>12.9</v>
      </c>
      <c r="G43" s="36" t="n">
        <v>12.9</v>
      </c>
      <c r="H43" s="36" t="n">
        <v>12.9</v>
      </c>
      <c r="I43" s="36" t="n">
        <v>12.9</v>
      </c>
      <c r="J43" s="36" t="n">
        <v>12.9</v>
      </c>
      <c r="K43" s="36" t="n">
        <v>12.9</v>
      </c>
      <c r="L43" s="36" t="n">
        <v>12.9</v>
      </c>
      <c r="M43" s="36" t="n">
        <v>12.9</v>
      </c>
      <c r="O43" s="35" t="s">
        <v>54</v>
      </c>
      <c r="P43" s="38" t="n">
        <f aca="false">P39+P38+P42</f>
        <v>385.716666666667</v>
      </c>
      <c r="Q43" s="35" t="s">
        <v>116</v>
      </c>
    </row>
    <row r="44" s="35" customFormat="true" ht="12.75" hidden="false" customHeight="false" outlineLevel="0" collapsed="false">
      <c r="A44" s="35" t="s">
        <v>124</v>
      </c>
      <c r="B44" s="36" t="n">
        <v>20</v>
      </c>
      <c r="C44" s="36" t="n">
        <v>20</v>
      </c>
      <c r="D44" s="36" t="n">
        <v>10</v>
      </c>
      <c r="E44" s="36" t="n">
        <v>10</v>
      </c>
      <c r="F44" s="36" t="n">
        <v>10</v>
      </c>
      <c r="G44" s="36" t="n">
        <v>10</v>
      </c>
      <c r="H44" s="36" t="n">
        <v>10</v>
      </c>
      <c r="I44" s="36" t="n">
        <v>10</v>
      </c>
      <c r="J44" s="36" t="n">
        <v>10</v>
      </c>
      <c r="K44" s="36" t="n">
        <v>10</v>
      </c>
      <c r="L44" s="36" t="n">
        <v>10</v>
      </c>
      <c r="M44" s="36" t="n">
        <v>10</v>
      </c>
      <c r="O44" s="35" t="s">
        <v>125</v>
      </c>
      <c r="P44" s="37" t="n">
        <f aca="false">P43/2</f>
        <v>192.858333333333</v>
      </c>
      <c r="Q44" s="35" t="s">
        <v>116</v>
      </c>
    </row>
    <row r="45" s="3" customFormat="true" ht="3" hidden="false" customHeight="true" outlineLevel="0" collapsed="false">
      <c r="C45" s="7"/>
      <c r="E45" s="7"/>
      <c r="F45" s="7"/>
      <c r="G45" s="7"/>
      <c r="H45" s="7"/>
      <c r="I45" s="7"/>
      <c r="J45" s="7"/>
      <c r="K45" s="7"/>
      <c r="L45" s="7"/>
      <c r="M45" s="7"/>
    </row>
    <row r="46" s="4" customFormat="true" ht="12.75" hidden="false" customHeight="false" outlineLevel="0" collapsed="false">
      <c r="A46" s="4" t="s">
        <v>126</v>
      </c>
      <c r="B46" s="5" t="n">
        <f aca="false">B3-B14-B23-B27-B17-B20</f>
        <v>164.29</v>
      </c>
      <c r="C46" s="5" t="n">
        <f aca="false">C3-C14-C23-C27-C17-C20</f>
        <v>284.654289999999</v>
      </c>
      <c r="D46" s="5" t="n">
        <f aca="false">D3-D14-D23-D27-D20</f>
        <v>-301.700000000001</v>
      </c>
      <c r="E46" s="5" t="n">
        <f aca="false">E3-E14-E23-E27-E20</f>
        <v>-128.88</v>
      </c>
      <c r="F46" s="5" t="n">
        <f aca="false">F3-F14-F23-F27-F20</f>
        <v>-28.8800000000001</v>
      </c>
      <c r="G46" s="5" t="n">
        <f aca="false">G3-G14-G23-G27-G20</f>
        <v>-27.4200000000001</v>
      </c>
      <c r="H46" s="5" t="n">
        <f aca="false">H3-H14-H23-H27-H20</f>
        <v>360.45</v>
      </c>
      <c r="I46" s="5" t="n">
        <f aca="false">I3-I14-I23-I27</f>
        <v>-427.419999999999</v>
      </c>
      <c r="J46" s="5" t="n">
        <f aca="false">J3-J14-J23-J27</f>
        <v>-27.4200000000001</v>
      </c>
      <c r="K46" s="5" t="n">
        <f aca="false">K3-K14-K23-K27</f>
        <v>108.77</v>
      </c>
      <c r="L46" s="5" t="n">
        <f aca="false">L3-L14-L17-L27</f>
        <v>-89.7449999999999</v>
      </c>
      <c r="M46" s="5" t="n">
        <f aca="false">M3-M14-M17-M27</f>
        <v>-29.204999999999</v>
      </c>
    </row>
    <row r="47" s="4" customFormat="true" ht="12.75" hidden="false" customHeight="false" outlineLevel="0" collapsed="false">
      <c r="A47" s="4" t="s">
        <v>127</v>
      </c>
      <c r="B47" s="5" t="n">
        <f aca="false">0+B46</f>
        <v>164.29</v>
      </c>
      <c r="C47" s="5" t="n">
        <f aca="false">B47+C46</f>
        <v>448.944289999999</v>
      </c>
      <c r="D47" s="5" t="n">
        <f aca="false">C47+D46</f>
        <v>147.244289999998</v>
      </c>
      <c r="E47" s="5" t="n">
        <f aca="false">D47+E46</f>
        <v>18.3642899999977</v>
      </c>
      <c r="F47" s="5" t="n">
        <f aca="false">E47+F46</f>
        <v>-10.5157100000024</v>
      </c>
      <c r="G47" s="5" t="n">
        <f aca="false">F47+G46</f>
        <v>-37.9357100000025</v>
      </c>
      <c r="H47" s="5" t="n">
        <f aca="false">G47+H46</f>
        <v>322.514289999997</v>
      </c>
      <c r="I47" s="5" t="n">
        <f aca="false">H47+I46</f>
        <v>-104.905710000002</v>
      </c>
      <c r="J47" s="5" t="n">
        <f aca="false">I47+J46</f>
        <v>-132.325710000002</v>
      </c>
      <c r="K47" s="5" t="n">
        <f aca="false">J47+K46</f>
        <v>-23.5557100000024</v>
      </c>
      <c r="L47" s="5" t="n">
        <f aca="false">K47+L46</f>
        <v>-113.300710000002</v>
      </c>
      <c r="M47" s="5" t="n">
        <f aca="false">L47+M46</f>
        <v>-142.505710000001</v>
      </c>
    </row>
    <row r="50" customFormat="false" ht="15" hidden="false" customHeight="false" outlineLevel="0" collapsed="false">
      <c r="I50" s="40"/>
      <c r="O50" s="41"/>
      <c r="Q50" s="40"/>
      <c r="R50" s="41"/>
      <c r="S50" s="41"/>
      <c r="T50" s="40"/>
      <c r="U50" s="40"/>
      <c r="V50" s="42"/>
      <c r="W50" s="13"/>
      <c r="X50" s="13"/>
    </row>
    <row r="51" customFormat="false" ht="15" hidden="false" customHeight="false" outlineLevel="0" collapsed="false">
      <c r="C51" s="41"/>
      <c r="E51" s="43"/>
      <c r="I51" s="40"/>
      <c r="O51" s="41"/>
      <c r="Q51" s="40"/>
      <c r="R51" s="41"/>
      <c r="S51" s="41"/>
      <c r="T51" s="40"/>
      <c r="U51" s="40"/>
      <c r="V51" s="42"/>
      <c r="W51" s="13"/>
      <c r="X51" s="13"/>
    </row>
    <row r="52" customFormat="false" ht="15" hidden="false" customHeight="false" outlineLevel="0" collapsed="false">
      <c r="I52" s="42"/>
      <c r="O52" s="41"/>
      <c r="Q52" s="40"/>
      <c r="R52" s="41"/>
      <c r="S52" s="41"/>
      <c r="T52" s="40"/>
      <c r="U52" s="40"/>
      <c r="V52" s="42"/>
      <c r="W52" s="13"/>
      <c r="X52" s="13"/>
    </row>
    <row r="53" customFormat="false" ht="15" hidden="false" customHeight="false" outlineLevel="0" collapsed="false">
      <c r="O53" s="41"/>
      <c r="Q53" s="40"/>
      <c r="R53" s="41"/>
      <c r="S53" s="41"/>
      <c r="T53" s="40"/>
      <c r="U53" s="40"/>
      <c r="V53" s="42"/>
      <c r="W53" s="13"/>
      <c r="X53" s="13"/>
    </row>
    <row r="54" customFormat="false" ht="15" hidden="false" customHeight="false" outlineLevel="0" collapsed="false">
      <c r="O54" s="41"/>
      <c r="Q54" s="40"/>
      <c r="R54" s="41"/>
      <c r="S54" s="41"/>
      <c r="T54" s="40"/>
      <c r="U54" s="40"/>
      <c r="V54" s="42"/>
      <c r="W54" s="13"/>
      <c r="X54" s="13"/>
    </row>
    <row r="55" customFormat="false" ht="15" hidden="false" customHeight="false" outlineLevel="0" collapsed="false">
      <c r="K55" s="44"/>
      <c r="W55" s="13"/>
      <c r="X55" s="13"/>
    </row>
    <row r="56" customFormat="false" ht="15" hidden="false" customHeight="false" outlineLevel="0" collapsed="false">
      <c r="K56" s="44"/>
      <c r="W56" s="44"/>
      <c r="X56" s="13"/>
    </row>
    <row r="57" customFormat="false" ht="15" hidden="false" customHeight="false" outlineLevel="0" collapsed="false">
      <c r="K57" s="44"/>
      <c r="U57" s="40"/>
      <c r="W57" s="13"/>
      <c r="X57" s="45"/>
    </row>
    <row r="58" customFormat="false" ht="15" hidden="false" customHeight="false" outlineLevel="0" collapsed="false">
      <c r="K58" s="44"/>
    </row>
    <row r="59" customFormat="false" ht="15" hidden="false" customHeight="false" outlineLevel="0" collapsed="false">
      <c r="K59" s="44"/>
    </row>
    <row r="60" customFormat="false" ht="15" hidden="false" customHeight="false" outlineLevel="0" collapsed="false">
      <c r="K60" s="44"/>
    </row>
    <row r="61" customFormat="false" ht="15" hidden="false" customHeight="false" outlineLevel="0" collapsed="false">
      <c r="K61" s="44"/>
      <c r="Q61" s="46"/>
      <c r="R61" s="42"/>
    </row>
    <row r="62" customFormat="false" ht="15" hidden="false" customHeight="false" outlineLevel="0" collapsed="false">
      <c r="K62" s="44"/>
      <c r="Q62" s="46"/>
    </row>
    <row r="63" customFormat="false" ht="15" hidden="false" customHeight="false" outlineLevel="0" collapsed="false">
      <c r="K63" s="44"/>
      <c r="Q63" s="46"/>
    </row>
    <row r="64" customFormat="false" ht="15" hidden="false" customHeight="false" outlineLevel="0" collapsed="false">
      <c r="K64" s="44"/>
      <c r="Q64" s="46"/>
    </row>
    <row r="65" customFormat="false" ht="15" hidden="false" customHeight="false" outlineLevel="0" collapsed="false">
      <c r="K65" s="44"/>
      <c r="Q65" s="4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2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C34" activeCellId="0" sqref="C34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13" min="2" style="0" width="13.7"/>
    <col collapsed="false" customWidth="true" hidden="false" outlineLevel="0" max="15" min="15" style="0" width="11.57"/>
    <col collapsed="false" customWidth="true" hidden="false" outlineLevel="0" max="19" min="18" style="0" width="11.57"/>
    <col collapsed="false" customWidth="true" hidden="false" outlineLevel="0" max="21" min="21" style="0" width="9.85"/>
  </cols>
  <sheetData>
    <row r="1" customFormat="false" ht="15" hidden="false" customHeight="false" outlineLevel="0" collapsed="false">
      <c r="A1" s="34" t="n">
        <v>2017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  <c r="J1" s="0" t="s">
        <v>92</v>
      </c>
      <c r="K1" s="0" t="s">
        <v>93</v>
      </c>
      <c r="L1" s="0" t="s">
        <v>94</v>
      </c>
      <c r="M1" s="0" t="s">
        <v>95</v>
      </c>
    </row>
    <row r="2" s="3" customFormat="true" ht="3" hidden="false" customHeight="true" outlineLevel="0" collapsed="false"/>
    <row r="3" s="4" customFormat="true" ht="12.75" hidden="false" customHeight="false" outlineLevel="0" collapsed="false">
      <c r="A3" s="4" t="s">
        <v>13</v>
      </c>
      <c r="B3" s="5" t="n">
        <f aca="false">SUM(B8:B11)</f>
        <v>4061.07</v>
      </c>
      <c r="C3" s="5" t="n">
        <f aca="false">SUM(C8:C11)</f>
        <v>15436.16975</v>
      </c>
      <c r="D3" s="5" t="n">
        <f aca="false">SUM(D8:D11)</f>
        <v>3241.82</v>
      </c>
      <c r="E3" s="5" t="n">
        <f aca="false">SUM(E8:E11)</f>
        <v>3092.76</v>
      </c>
      <c r="F3" s="5" t="n">
        <f aca="false">SUM(F8:F11)</f>
        <v>5592.76</v>
      </c>
      <c r="G3" s="5" t="n">
        <f aca="false">SUM(G8:G11)</f>
        <v>5592.76</v>
      </c>
      <c r="H3" s="5" t="n">
        <f aca="false">SUM(H8:H11)</f>
        <v>5592.76</v>
      </c>
      <c r="I3" s="5" t="n">
        <f aca="false">SUM(I8:I11)</f>
        <v>5592.76</v>
      </c>
      <c r="J3" s="5" t="n">
        <f aca="false">SUM(J8:J11)</f>
        <v>4892.76</v>
      </c>
      <c r="K3" s="5" t="n">
        <f aca="false">SUM(K8:K11)</f>
        <v>4892.76</v>
      </c>
      <c r="L3" s="5" t="n">
        <f aca="false">SUM(L8:L11)</f>
        <v>7013.76</v>
      </c>
      <c r="M3" s="5" t="n">
        <f aca="false">SUM(M8:M11)</f>
        <v>7013.76</v>
      </c>
    </row>
    <row r="4" s="35" customFormat="true" ht="12.75" hidden="false" customHeight="false" outlineLevel="0" collapsed="false">
      <c r="A4" s="35" t="s">
        <v>96</v>
      </c>
      <c r="B4" s="36" t="n">
        <f aca="false">1616+2445.07</f>
        <v>4061.07</v>
      </c>
      <c r="C4" s="36" t="n">
        <f aca="false">4040*(1+0.05)</f>
        <v>4242</v>
      </c>
      <c r="D4" s="36" t="n">
        <f aca="false">4040*(1+0.05)</f>
        <v>4242</v>
      </c>
      <c r="E4" s="36" t="n">
        <f aca="false">4040*(1+0.05)</f>
        <v>4242</v>
      </c>
      <c r="F4" s="36" t="n">
        <f aca="false">4040*(1+0.05)</f>
        <v>4242</v>
      </c>
      <c r="G4" s="36" t="n">
        <f aca="false">4040*(1+0.05)</f>
        <v>4242</v>
      </c>
      <c r="H4" s="36" t="n">
        <f aca="false">4040*(1+0.05)</f>
        <v>4242</v>
      </c>
      <c r="I4" s="36" t="n">
        <f aca="false">4040*(1+0.05)</f>
        <v>4242</v>
      </c>
      <c r="J4" s="36" t="n">
        <f aca="false">4040*(1+0.05)</f>
        <v>4242</v>
      </c>
      <c r="K4" s="36" t="n">
        <f aca="false">4040*(1+0.05)</f>
        <v>4242</v>
      </c>
      <c r="L4" s="36" t="n">
        <f aca="false">4040*(1+0.05)</f>
        <v>4242</v>
      </c>
      <c r="M4" s="36" t="n">
        <f aca="false">4040*(1+0.05)</f>
        <v>4242</v>
      </c>
    </row>
    <row r="5" s="35" customFormat="true" ht="12.75" hidden="false" customHeight="false" outlineLevel="0" collapsed="false">
      <c r="A5" s="35" t="s">
        <v>16</v>
      </c>
      <c r="B5" s="36" t="n">
        <v>0</v>
      </c>
      <c r="C5" s="36" t="n">
        <f aca="false">C4*0.11</f>
        <v>466.62</v>
      </c>
      <c r="D5" s="36" t="n">
        <f aca="false">D4*0.11</f>
        <v>466.62</v>
      </c>
      <c r="E5" s="36" t="n">
        <f aca="false">E4*0.11</f>
        <v>466.62</v>
      </c>
      <c r="F5" s="36" t="n">
        <f aca="false">F4*0.11</f>
        <v>466.62</v>
      </c>
      <c r="G5" s="36" t="n">
        <f aca="false">G4*0.11</f>
        <v>466.62</v>
      </c>
      <c r="H5" s="36" t="n">
        <f aca="false">H4*0.11</f>
        <v>466.62</v>
      </c>
      <c r="I5" s="36" t="n">
        <f aca="false">I4*0.11</f>
        <v>466.62</v>
      </c>
      <c r="J5" s="36" t="n">
        <f aca="false">J4*0.11</f>
        <v>466.62</v>
      </c>
      <c r="K5" s="36" t="n">
        <f aca="false">K4*0.11</f>
        <v>466.62</v>
      </c>
      <c r="L5" s="36" t="n">
        <f aca="false">L4*0.11</f>
        <v>466.62</v>
      </c>
      <c r="M5" s="36" t="n">
        <f aca="false">M4*0.11</f>
        <v>466.62</v>
      </c>
    </row>
    <row r="6" s="35" customFormat="true" ht="12.75" hidden="false" customHeight="false" outlineLevel="0" collapsed="false">
      <c r="A6" s="35" t="s">
        <v>97</v>
      </c>
      <c r="B6" s="36" t="n">
        <v>0</v>
      </c>
      <c r="C6" s="36" t="n">
        <f aca="false">(C4*0.15)+(C9*0.225)-1244.99-636.13</f>
        <v>1787.30025</v>
      </c>
      <c r="D6" s="36" t="n">
        <f aca="false">D4*0.225-636.13</f>
        <v>318.32</v>
      </c>
      <c r="E6" s="36" t="n">
        <f aca="false">E4*0.225-636.13</f>
        <v>318.32</v>
      </c>
      <c r="F6" s="36" t="n">
        <f aca="false">F4*0.225-636.13</f>
        <v>318.32</v>
      </c>
      <c r="G6" s="36" t="n">
        <f aca="false">G4*0.225-636.13</f>
        <v>318.32</v>
      </c>
      <c r="H6" s="36" t="n">
        <f aca="false">H4*0.225-636.13</f>
        <v>318.32</v>
      </c>
      <c r="I6" s="36" t="n">
        <f aca="false">I4*0.225-636.13</f>
        <v>318.32</v>
      </c>
      <c r="J6" s="36" t="n">
        <f aca="false">J4*0.225-636.13</f>
        <v>318.32</v>
      </c>
      <c r="K6" s="36" t="n">
        <f aca="false">K4*0.225-636.13</f>
        <v>318.32</v>
      </c>
      <c r="L6" s="36" t="n">
        <f aca="false">L4*0.225-636.13</f>
        <v>318.32</v>
      </c>
      <c r="M6" s="36" t="n">
        <f aca="false">M4*0.225-636.13</f>
        <v>318.32</v>
      </c>
    </row>
    <row r="7" s="35" customFormat="true" ht="12.75" hidden="false" customHeight="false" outlineLevel="0" collapsed="false">
      <c r="A7" s="35" t="s">
        <v>33</v>
      </c>
      <c r="B7" s="36" t="n">
        <v>0</v>
      </c>
      <c r="C7" s="36" t="n">
        <f aca="false">1.12*25</f>
        <v>28</v>
      </c>
      <c r="D7" s="36" t="n">
        <v>364.3</v>
      </c>
      <c r="E7" s="36" t="n">
        <v>364.3</v>
      </c>
      <c r="F7" s="36" t="n">
        <v>364.3</v>
      </c>
      <c r="G7" s="36" t="n">
        <v>364.3</v>
      </c>
      <c r="H7" s="36" t="n">
        <v>364.3</v>
      </c>
      <c r="I7" s="36" t="n">
        <v>364.3</v>
      </c>
      <c r="J7" s="36" t="n">
        <v>364.3</v>
      </c>
      <c r="K7" s="36" t="n">
        <v>364.3</v>
      </c>
      <c r="L7" s="36" t="n">
        <v>364.3</v>
      </c>
      <c r="M7" s="36" t="n">
        <v>364.3</v>
      </c>
    </row>
    <row r="8" s="35" customFormat="true" ht="12.75" hidden="false" customHeight="false" outlineLevel="0" collapsed="false">
      <c r="A8" s="35" t="s">
        <v>98</v>
      </c>
      <c r="B8" s="36" t="n">
        <f aca="false">B4-B5-B6-B7</f>
        <v>4061.07</v>
      </c>
      <c r="C8" s="36" t="n">
        <f aca="false">C4-C5-C6-C7</f>
        <v>1960.07975</v>
      </c>
      <c r="D8" s="36" t="n">
        <f aca="false">D4-D5-D6-D7</f>
        <v>3092.76</v>
      </c>
      <c r="E8" s="36" t="n">
        <f aca="false">E4-E5-E6-E7</f>
        <v>3092.76</v>
      </c>
      <c r="F8" s="36" t="n">
        <f aca="false">F4-F5-F6-F7</f>
        <v>3092.76</v>
      </c>
      <c r="G8" s="36" t="n">
        <f aca="false">G4-G5-G6-G7</f>
        <v>3092.76</v>
      </c>
      <c r="H8" s="36" t="n">
        <f aca="false">H4-H5-H6-H7</f>
        <v>3092.76</v>
      </c>
      <c r="I8" s="36" t="n">
        <f aca="false">I4-I5-I6-I7</f>
        <v>3092.76</v>
      </c>
      <c r="J8" s="36" t="n">
        <f aca="false">J4-J5-J6-J7</f>
        <v>3092.76</v>
      </c>
      <c r="K8" s="36" t="n">
        <f aca="false">K4-K5-K6-K7</f>
        <v>3092.76</v>
      </c>
      <c r="L8" s="36" t="n">
        <f aca="false">L4-L5-L6-L7</f>
        <v>3092.76</v>
      </c>
      <c r="M8" s="36" t="n">
        <f aca="false">M4-M5-M6-M7</f>
        <v>3092.76</v>
      </c>
    </row>
    <row r="9" s="35" customFormat="true" ht="12.75" hidden="false" customHeight="false" outlineLevel="0" collapsed="false">
      <c r="A9" s="35" t="s">
        <v>77</v>
      </c>
      <c r="B9" s="36" t="n">
        <v>0</v>
      </c>
      <c r="C9" s="36" t="n">
        <f aca="false">1/3*C4+12062.09</f>
        <v>13476.09</v>
      </c>
      <c r="D9" s="36" t="n">
        <v>0</v>
      </c>
      <c r="E9" s="36" t="n">
        <v>0</v>
      </c>
      <c r="F9" s="36" t="n">
        <v>0</v>
      </c>
      <c r="G9" s="36" t="n">
        <v>0</v>
      </c>
      <c r="H9" s="36" t="n">
        <v>0</v>
      </c>
      <c r="I9" s="36" t="n">
        <v>0</v>
      </c>
      <c r="J9" s="36" t="n">
        <v>0</v>
      </c>
      <c r="K9" s="36" t="n">
        <v>0</v>
      </c>
      <c r="L9" s="36" t="n">
        <f aca="false">L4/2</f>
        <v>2121</v>
      </c>
      <c r="M9" s="36" t="n">
        <f aca="false">M4/2</f>
        <v>2121</v>
      </c>
    </row>
    <row r="10" s="35" customFormat="true" ht="12.75" hidden="false" customHeight="false" outlineLevel="0" collapsed="false">
      <c r="A10" s="35" t="s">
        <v>99</v>
      </c>
      <c r="B10" s="36" t="n">
        <v>0</v>
      </c>
      <c r="C10" s="36" t="n">
        <v>0</v>
      </c>
      <c r="D10" s="36" t="n">
        <v>0</v>
      </c>
      <c r="E10" s="36" t="s">
        <v>134</v>
      </c>
      <c r="F10" s="36" t="n">
        <v>2500</v>
      </c>
      <c r="G10" s="36" t="n">
        <f aca="false">F10</f>
        <v>2500</v>
      </c>
      <c r="H10" s="36" t="n">
        <f aca="false">G10</f>
        <v>2500</v>
      </c>
      <c r="I10" s="36" t="n">
        <v>2500</v>
      </c>
      <c r="J10" s="36" t="n">
        <v>1800</v>
      </c>
      <c r="K10" s="36" t="n">
        <f aca="false">J10</f>
        <v>1800</v>
      </c>
      <c r="L10" s="36" t="n">
        <f aca="false">K10</f>
        <v>1800</v>
      </c>
      <c r="M10" s="36" t="n">
        <f aca="false">L10</f>
        <v>1800</v>
      </c>
    </row>
    <row r="11" s="35" customFormat="true" ht="12.75" hidden="false" customHeight="false" outlineLevel="0" collapsed="false">
      <c r="A11" s="35" t="s">
        <v>33</v>
      </c>
      <c r="B11" s="36"/>
      <c r="C11" s="36" t="n">
        <v>0</v>
      </c>
      <c r="D11" s="36" t="n">
        <v>149.06</v>
      </c>
      <c r="E11" s="36" t="n">
        <v>0</v>
      </c>
      <c r="F11" s="36" t="n">
        <v>0</v>
      </c>
      <c r="G11" s="36" t="n">
        <v>0</v>
      </c>
      <c r="H11" s="36" t="n">
        <v>0</v>
      </c>
      <c r="I11" s="36" t="n">
        <v>0</v>
      </c>
      <c r="J11" s="36" t="n">
        <v>0</v>
      </c>
      <c r="K11" s="36" t="n">
        <v>0</v>
      </c>
      <c r="L11" s="36" t="n">
        <v>0</v>
      </c>
      <c r="M11" s="36" t="n">
        <v>0</v>
      </c>
    </row>
    <row r="12" s="3" customFormat="true" ht="3" hidden="false" customHeight="true" outlineLevel="0" collapsed="false"/>
    <row r="13" s="4" customFormat="true" ht="12.75" hidden="false" customHeight="false" outlineLevel="0" collapsed="false">
      <c r="A13" s="4" t="s">
        <v>100</v>
      </c>
      <c r="B13" s="5" t="n">
        <f aca="false">SUM(B14:B22)</f>
        <v>12433.21585916</v>
      </c>
      <c r="C13" s="5" t="n">
        <f aca="false">SUM(C14:C22)</f>
        <v>18173.9957078608</v>
      </c>
      <c r="D13" s="5" t="n">
        <f aca="false">SUM(D14:D22)</f>
        <v>40029.2010151083</v>
      </c>
      <c r="E13" s="5" t="n">
        <f aca="false">SUM(E14:E22)</f>
        <v>27572.7119904578</v>
      </c>
      <c r="F13" s="5" t="n">
        <f aca="false">SUM(F14:F22)</f>
        <v>25477.7510904644</v>
      </c>
      <c r="G13" s="5" t="n">
        <f aca="false">SUM(G14:G22)</f>
        <v>23362.8995646908</v>
      </c>
      <c r="H13" s="5" t="n">
        <f aca="false">SUM(H14:H22)</f>
        <v>21227.9687974491</v>
      </c>
      <c r="I13" s="5" t="n">
        <f aca="false">SUM(I14:I22)</f>
        <v>19072.7683871388</v>
      </c>
      <c r="J13" s="5" t="n">
        <f aca="false">SUM(J14:J22)</f>
        <v>16897.1061293664</v>
      </c>
      <c r="K13" s="5" t="n">
        <f aca="false">SUM(K14:K22)</f>
        <v>14700.7879999063</v>
      </c>
      <c r="L13" s="5" t="n">
        <f aca="false">SUM(L14:L22)</f>
        <v>12483.6181375015</v>
      </c>
      <c r="M13" s="5" t="n">
        <f aca="false">SUM(M14:M22)</f>
        <v>10245.398826501</v>
      </c>
    </row>
    <row r="14" s="35" customFormat="true" ht="12.75" hidden="false" customHeight="false" outlineLevel="0" collapsed="false">
      <c r="A14" s="35" t="s">
        <v>38</v>
      </c>
      <c r="B14" s="36" t="n">
        <f aca="false">4040*1.5%</f>
        <v>60.6</v>
      </c>
      <c r="C14" s="36" t="n">
        <f aca="false">4040*1.5%</f>
        <v>60.6</v>
      </c>
      <c r="D14" s="36" t="n">
        <f aca="false">4040*1.5%</f>
        <v>60.6</v>
      </c>
      <c r="E14" s="36" t="n">
        <f aca="false">4040*1.5%</f>
        <v>60.6</v>
      </c>
      <c r="F14" s="36" t="n">
        <f aca="false">4040*1.5%</f>
        <v>60.6</v>
      </c>
      <c r="G14" s="36" t="n">
        <f aca="false">4040*1.5%</f>
        <v>60.6</v>
      </c>
      <c r="H14" s="36" t="n">
        <f aca="false">4040*1.5%</f>
        <v>60.6</v>
      </c>
      <c r="I14" s="36" t="n">
        <f aca="false">4040*1.5%</f>
        <v>60.6</v>
      </c>
      <c r="J14" s="36" t="n">
        <f aca="false">4040*1.5%</f>
        <v>60.6</v>
      </c>
      <c r="K14" s="36" t="n">
        <f aca="false">4040*1.5%</f>
        <v>60.6</v>
      </c>
      <c r="L14" s="36" t="n">
        <f aca="false">4040*1.5%</f>
        <v>60.6</v>
      </c>
      <c r="M14" s="36" t="n">
        <f aca="false">4040*1.5%</f>
        <v>60.6</v>
      </c>
    </row>
    <row r="15" s="35" customFormat="true" ht="12.75" hidden="false" customHeight="false" outlineLevel="0" collapsed="false">
      <c r="A15" s="35" t="s">
        <v>13</v>
      </c>
      <c r="B15" s="36" t="n">
        <f aca="false">B16*1.1264%</f>
        <v>11.76457216</v>
      </c>
      <c r="C15" s="36" t="n">
        <f aca="false">C16*1.1264%</f>
        <v>12.5796867008102</v>
      </c>
      <c r="D15" s="36" t="n">
        <f aca="false">D16*1.1264%</f>
        <v>13.4039826918082</v>
      </c>
      <c r="E15" s="36" t="n">
        <f aca="false">E16*1.1264%</f>
        <v>14.2375635528487</v>
      </c>
      <c r="F15" s="36" t="n">
        <f aca="false">F16*1.1264%</f>
        <v>15.080533868708</v>
      </c>
      <c r="G15" s="36" t="n">
        <f aca="false">G16*1.1264%</f>
        <v>15.9329994022051</v>
      </c>
      <c r="H15" s="36" t="n">
        <f aca="false">H16*1.1264%</f>
        <v>16.7950671074715</v>
      </c>
      <c r="I15" s="36" t="n">
        <f aca="false">I16*1.1264%</f>
        <v>17.6668451433701</v>
      </c>
      <c r="J15" s="36" t="n">
        <f aca="false">J16*1.1264%</f>
        <v>18.548442887065</v>
      </c>
      <c r="K15" s="36" t="n">
        <f aca="false">K16*1.1264%</f>
        <v>19.4399709477449</v>
      </c>
      <c r="L15" s="36" t="n">
        <f aca="false">L16*1.1264%</f>
        <v>20.3415411805003</v>
      </c>
      <c r="M15" s="36" t="n">
        <f aca="false">M16*1.1264%</f>
        <v>21.2532667003575</v>
      </c>
    </row>
    <row r="16" s="35" customFormat="true" ht="12.75" hidden="false" customHeight="false" outlineLevel="0" collapsed="false">
      <c r="A16" s="35" t="s">
        <v>39</v>
      </c>
      <c r="B16" s="36" t="n">
        <f aca="false">983.84+60.6</f>
        <v>1044.44</v>
      </c>
      <c r="C16" s="36" t="n">
        <f aca="false">B16+B15+B14</f>
        <v>1116.80457216</v>
      </c>
      <c r="D16" s="36" t="n">
        <f aca="false">C16+C15+C14</f>
        <v>1189.98425886081</v>
      </c>
      <c r="E16" s="36" t="n">
        <f aca="false">D16+D15+D14</f>
        <v>1263.98824155262</v>
      </c>
      <c r="F16" s="36" t="n">
        <f aca="false">E16+E15+E14</f>
        <v>1338.82580510547</v>
      </c>
      <c r="G16" s="36" t="n">
        <f aca="false">F16+F15+F14</f>
        <v>1414.50633897417</v>
      </c>
      <c r="H16" s="36" t="n">
        <f aca="false">G16+G15+G14</f>
        <v>1491.03933837638</v>
      </c>
      <c r="I16" s="36" t="n">
        <f aca="false">H16+H15+H14</f>
        <v>1568.43440548385</v>
      </c>
      <c r="J16" s="36" t="n">
        <f aca="false">I16+I15+I14</f>
        <v>1646.70125062722</v>
      </c>
      <c r="K16" s="36" t="n">
        <f aca="false">J16+J15+J14</f>
        <v>1725.84969351429</v>
      </c>
      <c r="L16" s="36" t="n">
        <f aca="false">K16+K15+K14</f>
        <v>1805.88966446203</v>
      </c>
      <c r="M16" s="36" t="n">
        <f aca="false">L16+L15+L14</f>
        <v>1886.83120564253</v>
      </c>
    </row>
    <row r="17" s="35" customFormat="true" ht="12.75" hidden="false" customHeight="false" outlineLevel="0" collapsed="false">
      <c r="A17" s="35" t="s">
        <v>35</v>
      </c>
      <c r="B17" s="36" t="n">
        <v>8000</v>
      </c>
      <c r="C17" s="36" t="n">
        <f aca="false">2000+3300</f>
        <v>5300</v>
      </c>
      <c r="D17" s="36" t="n">
        <f aca="false">4700+17400-800</f>
        <v>21300</v>
      </c>
      <c r="E17" s="36" t="n">
        <v>-12980.3</v>
      </c>
      <c r="F17" s="36" t="n">
        <v>-2500</v>
      </c>
      <c r="G17" s="36" t="n">
        <f aca="false">F17</f>
        <v>-2500</v>
      </c>
      <c r="H17" s="36" t="n">
        <f aca="false">G17</f>
        <v>-2500</v>
      </c>
      <c r="I17" s="36" t="n">
        <f aca="false">H17</f>
        <v>-2500</v>
      </c>
      <c r="J17" s="36" t="n">
        <f aca="false">I17</f>
        <v>-2500</v>
      </c>
      <c r="K17" s="36" t="n">
        <f aca="false">J17</f>
        <v>-2500</v>
      </c>
      <c r="L17" s="36" t="n">
        <f aca="false">K17</f>
        <v>-2500</v>
      </c>
      <c r="M17" s="36" t="n">
        <f aca="false">L17</f>
        <v>-2500</v>
      </c>
    </row>
    <row r="18" s="35" customFormat="true" ht="12.75" hidden="false" customHeight="false" outlineLevel="0" collapsed="false">
      <c r="A18" s="35" t="s">
        <v>13</v>
      </c>
      <c r="B18" s="36" t="n">
        <f aca="false">B19*0.93%</f>
        <v>0</v>
      </c>
      <c r="C18" s="36" t="n">
        <f aca="false">C19*0.932%</f>
        <v>74.56</v>
      </c>
      <c r="D18" s="36" t="n">
        <f aca="false">D19*0.9543%</f>
        <v>127.63342608</v>
      </c>
      <c r="E18" s="36" t="n">
        <f aca="false">E19*0.9543%</f>
        <v>332.117331865081</v>
      </c>
      <c r="F18" s="36" t="n">
        <f aca="false">F19*0.9543%</f>
        <v>211.41572466307</v>
      </c>
      <c r="G18" s="36" t="n">
        <f aca="false">G19*0.9543%</f>
        <v>189.57576492353</v>
      </c>
      <c r="H18" s="36" t="n">
        <f aca="false">H19*0.9543%</f>
        <v>167.527386448195</v>
      </c>
      <c r="I18" s="36" t="n">
        <f aca="false">I19*0.9543%</f>
        <v>145.26860029707</v>
      </c>
      <c r="J18" s="36" t="n">
        <f aca="false">J19*0.9543%</f>
        <v>122.797398549705</v>
      </c>
      <c r="K18" s="36" t="n">
        <f aca="false">K19*0.9543%</f>
        <v>100.111754124065</v>
      </c>
      <c r="L18" s="36" t="n">
        <f aca="false">L19*0.9543%</f>
        <v>77.2096205936708</v>
      </c>
      <c r="M18" s="36" t="n">
        <f aca="false">M19*0.9543%</f>
        <v>54.0889320029962</v>
      </c>
    </row>
    <row r="19" s="35" customFormat="true" ht="12.75" hidden="false" customHeight="false" outlineLevel="0" collapsed="false">
      <c r="A19" s="35" t="s">
        <v>39</v>
      </c>
      <c r="B19" s="36" t="n">
        <v>0</v>
      </c>
      <c r="C19" s="36" t="n">
        <f aca="false">B19+B18+B17</f>
        <v>8000</v>
      </c>
      <c r="D19" s="36" t="n">
        <f aca="false">C19+C18+C17</f>
        <v>13374.56</v>
      </c>
      <c r="E19" s="36" t="n">
        <f aca="false">D19+D18+D17</f>
        <v>34802.19342608</v>
      </c>
      <c r="F19" s="36" t="n">
        <f aca="false">E19+E18+E17</f>
        <v>22154.0107579451</v>
      </c>
      <c r="G19" s="36" t="n">
        <f aca="false">F19+F18+F17</f>
        <v>19865.4264826082</v>
      </c>
      <c r="H19" s="36" t="n">
        <f aca="false">G19+G18+G17</f>
        <v>17555.0022475317</v>
      </c>
      <c r="I19" s="36" t="n">
        <f aca="false">H19+H18+H17</f>
        <v>15222.5296339799</v>
      </c>
      <c r="J19" s="36" t="n">
        <f aca="false">I19+I18+I17</f>
        <v>12867.798234277</v>
      </c>
      <c r="K19" s="36" t="n">
        <f aca="false">J19+J18+J17</f>
        <v>10490.5956328267</v>
      </c>
      <c r="L19" s="36" t="n">
        <f aca="false">K19+K18+K17</f>
        <v>8090.70738695072</v>
      </c>
      <c r="M19" s="36" t="n">
        <f aca="false">L19+L18+L17</f>
        <v>5667.91700754439</v>
      </c>
      <c r="O19" s="37"/>
    </row>
    <row r="20" s="35" customFormat="true" ht="12.75" hidden="false" customHeight="false" outlineLevel="0" collapsed="false">
      <c r="A20" s="35" t="s">
        <v>41</v>
      </c>
      <c r="B20" s="36" t="n">
        <v>80</v>
      </c>
      <c r="C20" s="36" t="n">
        <v>80</v>
      </c>
      <c r="D20" s="36" t="n">
        <f aca="false">80+240</f>
        <v>320</v>
      </c>
      <c r="E20" s="36" t="n">
        <v>80</v>
      </c>
      <c r="F20" s="36" t="n">
        <v>80</v>
      </c>
      <c r="G20" s="36" t="n">
        <v>80</v>
      </c>
      <c r="H20" s="36" t="n">
        <v>80</v>
      </c>
      <c r="I20" s="36" t="n">
        <v>80</v>
      </c>
      <c r="J20" s="36" t="n">
        <v>80</v>
      </c>
      <c r="K20" s="36" t="n">
        <v>80</v>
      </c>
      <c r="L20" s="36" t="n">
        <v>80</v>
      </c>
      <c r="M20" s="36" t="n">
        <v>80</v>
      </c>
    </row>
    <row r="21" s="35" customFormat="true" ht="12.75" hidden="false" customHeight="false" outlineLevel="0" collapsed="false">
      <c r="A21" s="35" t="s">
        <v>13</v>
      </c>
      <c r="B21" s="36" t="n">
        <f aca="false">B22*0.93%</f>
        <v>29.821287</v>
      </c>
      <c r="C21" s="36" t="n">
        <f aca="false">C22*0.93%</f>
        <v>32.521449</v>
      </c>
      <c r="D21" s="36" t="n">
        <f aca="false">D22*0.93%</f>
        <v>33.5678984757</v>
      </c>
      <c r="E21" s="36" t="n">
        <f aca="false">E22*0.93%</f>
        <v>36.856079931524</v>
      </c>
      <c r="F21" s="36" t="n">
        <f aca="false">F22*0.93%</f>
        <v>37.9428414748872</v>
      </c>
      <c r="G21" s="36" t="n">
        <f aca="false">G22*0.93%</f>
        <v>39.0397099006036</v>
      </c>
      <c r="H21" s="36" t="n">
        <f aca="false">H22*0.93%</f>
        <v>40.1467792026793</v>
      </c>
      <c r="I21" s="36" t="n">
        <f aca="false">I22*0.93%</f>
        <v>41.2641442492642</v>
      </c>
      <c r="J21" s="36" t="n">
        <f aca="false">J22*0.93%</f>
        <v>42.3919007907823</v>
      </c>
      <c r="K21" s="36" t="n">
        <f aca="false">K22*0.93%</f>
        <v>43.5301454681366</v>
      </c>
      <c r="L21" s="36" t="n">
        <f aca="false">L22*0.93%</f>
        <v>44.6789758209903</v>
      </c>
      <c r="M21" s="36" t="n">
        <f aca="false">M22*0.93%</f>
        <v>45.8384902961255</v>
      </c>
    </row>
    <row r="22" s="35" customFormat="true" ht="12.75" hidden="false" customHeight="false" outlineLevel="0" collapsed="false">
      <c r="A22" s="35" t="s">
        <v>39</v>
      </c>
      <c r="B22" s="36" t="n">
        <f aca="false">3336.93-130.34</f>
        <v>3206.59</v>
      </c>
      <c r="C22" s="36" t="n">
        <f aca="false">3496.93</f>
        <v>3496.93</v>
      </c>
      <c r="D22" s="36" t="n">
        <f aca="false">C22+C21+C20</f>
        <v>3609.451449</v>
      </c>
      <c r="E22" s="36" t="n">
        <f aca="false">D22+D21+D20</f>
        <v>3963.0193474757</v>
      </c>
      <c r="F22" s="36" t="n">
        <f aca="false">E22+E21+E20</f>
        <v>4079.87542740722</v>
      </c>
      <c r="G22" s="36" t="n">
        <f aca="false">F22+F21+F20</f>
        <v>4197.81826888211</v>
      </c>
      <c r="H22" s="36" t="n">
        <f aca="false">G22+G21+G20</f>
        <v>4316.85797878272</v>
      </c>
      <c r="I22" s="36" t="n">
        <f aca="false">H22+H21+H20</f>
        <v>4437.00475798539</v>
      </c>
      <c r="J22" s="36" t="n">
        <f aca="false">I22+I21+I20</f>
        <v>4558.26890223466</v>
      </c>
      <c r="K22" s="36" t="n">
        <f aca="false">J22+J21+J20</f>
        <v>4680.66080302544</v>
      </c>
      <c r="L22" s="36" t="n">
        <f aca="false">K22+K21+K20</f>
        <v>4804.19094849358</v>
      </c>
      <c r="M22" s="36" t="n">
        <f aca="false">L22+L21+L20</f>
        <v>4928.86992431457</v>
      </c>
    </row>
    <row r="23" s="3" customFormat="true" ht="3" hidden="false" customHeight="true" outlineLevel="0" collapsed="false">
      <c r="C23" s="7"/>
      <c r="E23" s="7"/>
      <c r="F23" s="7"/>
      <c r="G23" s="7"/>
      <c r="H23" s="7"/>
      <c r="I23" s="7"/>
      <c r="J23" s="7"/>
      <c r="K23" s="7"/>
      <c r="L23" s="7"/>
      <c r="M23" s="7"/>
    </row>
    <row r="24" s="4" customFormat="true" ht="12.75" hidden="false" customHeight="false" outlineLevel="0" collapsed="false">
      <c r="A24" s="4" t="s">
        <v>18</v>
      </c>
      <c r="B24" s="5" t="n">
        <f aca="false">SUM(B25:B40)</f>
        <v>5138.33</v>
      </c>
      <c r="C24" s="5" t="n">
        <f aca="false">SUM(C25:C40)</f>
        <v>4960.32</v>
      </c>
      <c r="D24" s="5" t="n">
        <f aca="false">SUM(D25:D40)</f>
        <v>10461.02</v>
      </c>
      <c r="E24" s="5" t="n">
        <f aca="false">SUM(E25:E40)</f>
        <v>5573.822</v>
      </c>
      <c r="F24" s="5" t="n">
        <f aca="false">SUM(F25:F40)</f>
        <v>5372.45</v>
      </c>
      <c r="G24" s="5" t="n">
        <f aca="false">SUM(G25:G40)</f>
        <v>5391.29</v>
      </c>
      <c r="H24" s="5" t="n">
        <f aca="false">SUM(H25:H40)</f>
        <v>5391.29</v>
      </c>
      <c r="I24" s="5" t="n">
        <f aca="false">SUM(I25:I40)</f>
        <v>5391.29</v>
      </c>
      <c r="J24" s="5" t="n">
        <f aca="false">SUM(J25:J40)</f>
        <v>5735.86</v>
      </c>
      <c r="K24" s="5" t="n">
        <f aca="false">SUM(K25:K40)</f>
        <v>4857.5</v>
      </c>
      <c r="L24" s="5" t="n">
        <f aca="false">SUM(L25:L40)</f>
        <v>4868.65</v>
      </c>
      <c r="M24" s="5" t="n">
        <f aca="false">SUM(M25:M40)</f>
        <v>4591.29</v>
      </c>
    </row>
    <row r="25" s="35" customFormat="true" ht="12.75" hidden="false" customHeight="false" outlineLevel="0" collapsed="false">
      <c r="A25" s="35" t="s">
        <v>19</v>
      </c>
      <c r="B25" s="36" t="n">
        <f aca="false">1339.56+3.5+15.65</f>
        <v>1358.71</v>
      </c>
      <c r="C25" s="36" t="n">
        <v>1339.56</v>
      </c>
      <c r="D25" s="36" t="n">
        <f aca="false">C25</f>
        <v>1339.56</v>
      </c>
      <c r="E25" s="36" t="n">
        <f aca="false">D25</f>
        <v>1339.56</v>
      </c>
      <c r="F25" s="36" t="n">
        <f aca="false">E25</f>
        <v>1339.56</v>
      </c>
      <c r="G25" s="36" t="n">
        <f aca="false">F25</f>
        <v>1339.56</v>
      </c>
      <c r="H25" s="36" t="n">
        <f aca="false">G25</f>
        <v>1339.56</v>
      </c>
      <c r="I25" s="36" t="n">
        <f aca="false">H25</f>
        <v>1339.56</v>
      </c>
      <c r="J25" s="36" t="n">
        <f aca="false">I25</f>
        <v>1339.56</v>
      </c>
      <c r="K25" s="36" t="n">
        <f aca="false">J25</f>
        <v>1339.56</v>
      </c>
      <c r="L25" s="36" t="n">
        <f aca="false">K25</f>
        <v>1339.56</v>
      </c>
      <c r="M25" s="36" t="n">
        <f aca="false">L25</f>
        <v>1339.56</v>
      </c>
    </row>
    <row r="26" s="35" customFormat="true" ht="12.75" hidden="false" customHeight="false" outlineLevel="0" collapsed="false">
      <c r="A26" s="35" t="s">
        <v>20</v>
      </c>
      <c r="B26" s="36" t="n">
        <v>430</v>
      </c>
      <c r="C26" s="36" t="n">
        <v>430</v>
      </c>
      <c r="D26" s="36" t="n">
        <v>430</v>
      </c>
      <c r="E26" s="36" t="n">
        <v>430</v>
      </c>
      <c r="F26" s="36" t="n">
        <v>430</v>
      </c>
      <c r="G26" s="36" t="n">
        <v>430</v>
      </c>
      <c r="H26" s="36" t="n">
        <v>430</v>
      </c>
      <c r="I26" s="36" t="n">
        <v>430</v>
      </c>
      <c r="J26" s="36" t="n">
        <v>430</v>
      </c>
      <c r="K26" s="36" t="n">
        <v>430</v>
      </c>
      <c r="L26" s="36" t="n">
        <v>430</v>
      </c>
      <c r="M26" s="36" t="n">
        <v>430</v>
      </c>
    </row>
    <row r="27" s="35" customFormat="true" ht="12.75" hidden="false" customHeight="false" outlineLevel="0" collapsed="false">
      <c r="A27" s="35" t="s">
        <v>130</v>
      </c>
      <c r="B27" s="36" t="n">
        <f aca="false">232.25+20.5</f>
        <v>252.75</v>
      </c>
      <c r="C27" s="36"/>
      <c r="D27" s="36" t="n">
        <v>0</v>
      </c>
      <c r="E27" s="36" t="n">
        <v>0</v>
      </c>
      <c r="F27" s="36" t="n">
        <v>0</v>
      </c>
      <c r="G27" s="36" t="n">
        <v>0</v>
      </c>
      <c r="H27" s="36" t="n">
        <v>0</v>
      </c>
      <c r="I27" s="36" t="n">
        <v>0</v>
      </c>
      <c r="J27" s="36" t="n">
        <v>0</v>
      </c>
      <c r="K27" s="36" t="n">
        <v>0</v>
      </c>
      <c r="L27" s="36" t="n">
        <v>0</v>
      </c>
      <c r="M27" s="36" t="n">
        <v>0</v>
      </c>
    </row>
    <row r="28" s="35" customFormat="true" ht="12.75" hidden="false" customHeight="false" outlineLevel="0" collapsed="false">
      <c r="A28" s="35" t="s">
        <v>22</v>
      </c>
      <c r="B28" s="36" t="n">
        <v>147.91</v>
      </c>
      <c r="C28" s="36" t="n">
        <v>141.27</v>
      </c>
      <c r="D28" s="36" t="n">
        <v>307.43</v>
      </c>
      <c r="E28" s="36" t="n">
        <f aca="false">D28*40%</f>
        <v>122.972</v>
      </c>
      <c r="F28" s="36" t="n">
        <v>64.98</v>
      </c>
      <c r="G28" s="36" t="n">
        <f aca="false">F28</f>
        <v>64.98</v>
      </c>
      <c r="H28" s="36" t="n">
        <f aca="false">G28</f>
        <v>64.98</v>
      </c>
      <c r="I28" s="36" t="n">
        <f aca="false">H28</f>
        <v>64.98</v>
      </c>
      <c r="J28" s="36" t="n">
        <f aca="false">I28</f>
        <v>64.98</v>
      </c>
      <c r="K28" s="36" t="n">
        <f aca="false">J28</f>
        <v>64.98</v>
      </c>
      <c r="L28" s="36" t="n">
        <f aca="false">K28</f>
        <v>64.98</v>
      </c>
      <c r="M28" s="36" t="n">
        <f aca="false">L28</f>
        <v>64.98</v>
      </c>
    </row>
    <row r="29" s="35" customFormat="true" ht="12.75" hidden="false" customHeight="false" outlineLevel="0" collapsed="false">
      <c r="A29" s="35" t="s">
        <v>23</v>
      </c>
      <c r="B29" s="36" t="n">
        <v>104.8</v>
      </c>
      <c r="C29" s="36" t="n">
        <v>79.9</v>
      </c>
      <c r="D29" s="36" t="n">
        <v>79.9</v>
      </c>
      <c r="E29" s="36" t="n">
        <v>79.9</v>
      </c>
      <c r="F29" s="36" t="n">
        <v>79.9</v>
      </c>
      <c r="G29" s="36" t="n">
        <v>79.9</v>
      </c>
      <c r="H29" s="36" t="n">
        <v>79.9</v>
      </c>
      <c r="I29" s="36" t="n">
        <v>79.9</v>
      </c>
      <c r="J29" s="36" t="n">
        <v>79.9</v>
      </c>
      <c r="K29" s="36" t="n">
        <v>79.9</v>
      </c>
      <c r="L29" s="36" t="n">
        <v>79.9</v>
      </c>
      <c r="M29" s="36" t="n">
        <v>79.9</v>
      </c>
    </row>
    <row r="30" s="35" customFormat="true" ht="12.75" hidden="false" customHeight="false" outlineLevel="0" collapsed="false">
      <c r="A30" s="35" t="s">
        <v>108</v>
      </c>
      <c r="B30" s="36" t="n">
        <v>0</v>
      </c>
      <c r="C30" s="36" t="n">
        <v>22.9</v>
      </c>
      <c r="D30" s="36" t="n">
        <v>22.9</v>
      </c>
      <c r="E30" s="36" t="n">
        <v>22.9</v>
      </c>
      <c r="F30" s="36" t="n">
        <v>22.9</v>
      </c>
      <c r="G30" s="36" t="n">
        <v>22.9</v>
      </c>
      <c r="H30" s="36" t="n">
        <v>22.9</v>
      </c>
      <c r="I30" s="36" t="n">
        <v>22.9</v>
      </c>
      <c r="J30" s="36" t="n">
        <v>22.9</v>
      </c>
      <c r="K30" s="36" t="n">
        <v>22.9</v>
      </c>
      <c r="L30" s="36" t="n">
        <v>22.9</v>
      </c>
      <c r="M30" s="36" t="n">
        <v>22.9</v>
      </c>
    </row>
    <row r="31" s="35" customFormat="true" ht="12.75" hidden="false" customHeight="false" outlineLevel="0" collapsed="false">
      <c r="A31" s="35" t="s">
        <v>135</v>
      </c>
      <c r="B31" s="36" t="n">
        <f aca="false">143.38+49.83</f>
        <v>193.21</v>
      </c>
      <c r="C31" s="36" t="n">
        <f aca="false">281.47-C32</f>
        <v>181.47</v>
      </c>
      <c r="D31" s="36" t="n">
        <v>93.93</v>
      </c>
      <c r="E31" s="36" t="n">
        <v>89.9</v>
      </c>
      <c r="F31" s="36" t="n">
        <v>71.06</v>
      </c>
      <c r="G31" s="36" t="n">
        <v>89.9</v>
      </c>
      <c r="H31" s="36" t="n">
        <v>89.9</v>
      </c>
      <c r="I31" s="36" t="n">
        <v>89.9</v>
      </c>
      <c r="J31" s="36" t="n">
        <v>89.9</v>
      </c>
      <c r="K31" s="36" t="n">
        <v>89.9</v>
      </c>
      <c r="L31" s="36" t="n">
        <v>89.9</v>
      </c>
      <c r="M31" s="36" t="n">
        <v>89.9</v>
      </c>
    </row>
    <row r="32" s="35" customFormat="true" ht="12.75" hidden="false" customHeight="false" outlineLevel="0" collapsed="false">
      <c r="A32" s="35" t="s">
        <v>131</v>
      </c>
      <c r="B32" s="36" t="n">
        <f aca="false">25+15+15+15</f>
        <v>70</v>
      </c>
      <c r="C32" s="36" t="n">
        <v>100</v>
      </c>
      <c r="D32" s="36" t="n">
        <v>100</v>
      </c>
      <c r="E32" s="36" t="n">
        <v>100</v>
      </c>
      <c r="F32" s="36" t="n">
        <v>100</v>
      </c>
      <c r="G32" s="36" t="n">
        <v>100</v>
      </c>
      <c r="H32" s="36" t="n">
        <v>100</v>
      </c>
      <c r="I32" s="36" t="n">
        <v>100</v>
      </c>
      <c r="J32" s="36" t="n">
        <v>100</v>
      </c>
      <c r="K32" s="36" t="n">
        <v>100</v>
      </c>
      <c r="L32" s="36" t="n">
        <v>100</v>
      </c>
      <c r="M32" s="36" t="n">
        <v>100</v>
      </c>
    </row>
    <row r="33" s="35" customFormat="true" ht="12.75" hidden="false" customHeight="false" outlineLevel="0" collapsed="false">
      <c r="A33" s="35" t="s">
        <v>109</v>
      </c>
      <c r="B33" s="36" t="n">
        <v>1200</v>
      </c>
      <c r="C33" s="36" t="n">
        <v>1260</v>
      </c>
      <c r="D33" s="36" t="n">
        <f aca="false">186.3+1184.54+1472.59</f>
        <v>2843.43</v>
      </c>
      <c r="E33" s="36" t="n">
        <f aca="false">1184.54+200</f>
        <v>1384.54</v>
      </c>
      <c r="F33" s="36" t="n">
        <v>1260</v>
      </c>
      <c r="G33" s="36" t="n">
        <v>1260</v>
      </c>
      <c r="H33" s="36" t="n">
        <v>1260</v>
      </c>
      <c r="I33" s="36" t="n">
        <v>1260</v>
      </c>
      <c r="J33" s="36" t="n">
        <v>1260</v>
      </c>
      <c r="K33" s="36" t="n">
        <v>1260</v>
      </c>
      <c r="L33" s="36" t="n">
        <v>1260</v>
      </c>
      <c r="M33" s="36" t="n">
        <v>1260</v>
      </c>
    </row>
    <row r="34" s="35" customFormat="true" ht="12.75" hidden="false" customHeight="false" outlineLevel="0" collapsed="false">
      <c r="A34" s="35" t="s">
        <v>132</v>
      </c>
      <c r="B34" s="36" t="n">
        <v>362.5</v>
      </c>
      <c r="C34" s="36" t="n">
        <v>362.5</v>
      </c>
      <c r="D34" s="36" t="n">
        <v>362</v>
      </c>
      <c r="E34" s="36" t="n">
        <f aca="false">D34</f>
        <v>362</v>
      </c>
      <c r="F34" s="36" t="n">
        <f aca="false">E34</f>
        <v>362</v>
      </c>
      <c r="G34" s="36" t="n">
        <f aca="false">F34</f>
        <v>362</v>
      </c>
      <c r="H34" s="36" t="n">
        <f aca="false">G34</f>
        <v>362</v>
      </c>
      <c r="I34" s="36" t="n">
        <f aca="false">H34</f>
        <v>362</v>
      </c>
      <c r="J34" s="36" t="n">
        <f aca="false">I34</f>
        <v>362</v>
      </c>
      <c r="K34" s="36" t="n">
        <f aca="false">J34</f>
        <v>362</v>
      </c>
      <c r="L34" s="36" t="n">
        <f aca="false">K34</f>
        <v>362</v>
      </c>
      <c r="M34" s="36" t="n">
        <f aca="false">L34</f>
        <v>362</v>
      </c>
    </row>
    <row r="35" s="35" customFormat="true" ht="12.75" hidden="false" customHeight="false" outlineLevel="0" collapsed="false">
      <c r="A35" s="35" t="s">
        <v>32</v>
      </c>
      <c r="B35" s="36" t="n">
        <v>1000</v>
      </c>
      <c r="C35" s="36" t="n">
        <v>500</v>
      </c>
      <c r="D35" s="36" t="n">
        <f aca="false">500+2879.82</f>
        <v>3379.82</v>
      </c>
      <c r="E35" s="36" t="n">
        <v>500</v>
      </c>
      <c r="F35" s="36" t="n">
        <v>500</v>
      </c>
      <c r="G35" s="36" t="n">
        <v>500</v>
      </c>
      <c r="H35" s="36" t="n">
        <v>500</v>
      </c>
      <c r="I35" s="36" t="n">
        <v>500</v>
      </c>
      <c r="J35" s="36" t="n">
        <v>500</v>
      </c>
      <c r="K35" s="36" t="n">
        <v>500</v>
      </c>
      <c r="L35" s="36" t="n">
        <v>500</v>
      </c>
      <c r="M35" s="36" t="n">
        <v>500</v>
      </c>
    </row>
    <row r="36" s="35" customFormat="true" ht="12.75" hidden="false" customHeight="false" outlineLevel="0" collapsed="false">
      <c r="A36" s="35" t="s">
        <v>136</v>
      </c>
      <c r="B36" s="36" t="n">
        <v>0</v>
      </c>
      <c r="C36" s="36" t="n">
        <f aca="false">57.21*2</f>
        <v>114.42</v>
      </c>
      <c r="D36" s="36" t="n">
        <f aca="false">57.21*2</f>
        <v>114.42</v>
      </c>
      <c r="E36" s="36" t="n">
        <f aca="false">57.21*2</f>
        <v>114.42</v>
      </c>
      <c r="F36" s="36" t="n">
        <f aca="false">57.21*2</f>
        <v>114.42</v>
      </c>
      <c r="G36" s="36" t="n">
        <f aca="false">57.21*2</f>
        <v>114.42</v>
      </c>
      <c r="H36" s="36" t="n">
        <f aca="false">57.21*2</f>
        <v>114.42</v>
      </c>
      <c r="I36" s="36" t="n">
        <f aca="false">57.21*2</f>
        <v>114.42</v>
      </c>
      <c r="J36" s="36" t="n">
        <f aca="false">57.21*2</f>
        <v>114.42</v>
      </c>
      <c r="K36" s="36" t="n">
        <f aca="false">57.21*2</f>
        <v>114.42</v>
      </c>
      <c r="L36" s="36" t="n">
        <f aca="false">57.21*2</f>
        <v>114.42</v>
      </c>
      <c r="M36" s="36" t="n">
        <f aca="false">57.21*2</f>
        <v>114.42</v>
      </c>
    </row>
    <row r="37" s="35" customFormat="true" ht="12.75" hidden="false" customHeight="false" outlineLevel="0" collapsed="false">
      <c r="A37" s="35" t="s">
        <v>117</v>
      </c>
      <c r="B37" s="36" t="n">
        <v>0</v>
      </c>
      <c r="C37" s="36" t="n">
        <v>0</v>
      </c>
      <c r="D37" s="36" t="n">
        <f aca="false">300+80+196.08</f>
        <v>576.08</v>
      </c>
      <c r="E37" s="36" t="n">
        <v>196.08</v>
      </c>
      <c r="F37" s="36" t="n">
        <v>196.08</v>
      </c>
      <c r="G37" s="36" t="n">
        <v>196.08</v>
      </c>
      <c r="H37" s="36" t="n">
        <v>196.08</v>
      </c>
      <c r="I37" s="36" t="n">
        <v>196.08</v>
      </c>
      <c r="J37" s="36" t="n">
        <f aca="false">$I$37+198.11+127.69+127.69+85.13+85.13+130.36+195.23+195.23</f>
        <v>1340.65</v>
      </c>
      <c r="K37" s="36" t="n">
        <f aca="false">$I$37+198.11+68.1</f>
        <v>462.29</v>
      </c>
      <c r="L37" s="36" t="n">
        <f aca="false">$I$37+198.11+79.25</f>
        <v>473.44</v>
      </c>
      <c r="M37" s="36" t="n">
        <v>196.08</v>
      </c>
    </row>
    <row r="38" s="35" customFormat="true" ht="12.75" hidden="false" customHeight="false" outlineLevel="0" collapsed="false">
      <c r="A38" s="35" t="s">
        <v>137</v>
      </c>
      <c r="B38" s="36" t="n">
        <v>0</v>
      </c>
      <c r="C38" s="36" t="n">
        <v>0</v>
      </c>
      <c r="D38" s="36" t="n">
        <v>800</v>
      </c>
      <c r="E38" s="36" t="n">
        <v>800</v>
      </c>
      <c r="F38" s="36" t="n">
        <v>800</v>
      </c>
      <c r="G38" s="36" t="n">
        <v>800</v>
      </c>
      <c r="H38" s="36" t="n">
        <v>800</v>
      </c>
      <c r="I38" s="36" t="n">
        <v>800</v>
      </c>
      <c r="J38" s="36" t="n">
        <v>0</v>
      </c>
      <c r="K38" s="36" t="n">
        <v>0</v>
      </c>
      <c r="L38" s="36" t="n">
        <v>0</v>
      </c>
      <c r="M38" s="36" t="n">
        <v>0</v>
      </c>
    </row>
    <row r="39" s="35" customFormat="true" ht="12.75" hidden="false" customHeight="false" outlineLevel="0" collapsed="false">
      <c r="A39" s="35" t="s">
        <v>31</v>
      </c>
      <c r="B39" s="36" t="n">
        <v>11.55</v>
      </c>
      <c r="C39" s="36" t="n">
        <v>11.55</v>
      </c>
      <c r="D39" s="36" t="n">
        <v>11.55</v>
      </c>
      <c r="E39" s="36" t="n">
        <v>11.55</v>
      </c>
      <c r="F39" s="36" t="n">
        <v>11.55</v>
      </c>
      <c r="G39" s="36" t="n">
        <v>11.55</v>
      </c>
      <c r="H39" s="36" t="n">
        <v>11.55</v>
      </c>
      <c r="I39" s="36" t="n">
        <v>11.55</v>
      </c>
      <c r="J39" s="36" t="n">
        <v>11.55</v>
      </c>
      <c r="K39" s="36" t="n">
        <v>11.55</v>
      </c>
      <c r="L39" s="36" t="n">
        <v>11.55</v>
      </c>
      <c r="M39" s="36" t="n">
        <v>11.55</v>
      </c>
    </row>
    <row r="40" s="35" customFormat="true" ht="12.75" hidden="false" customHeight="false" outlineLevel="0" collapsed="false">
      <c r="A40" s="35" t="s">
        <v>124</v>
      </c>
      <c r="B40" s="36" t="n">
        <v>6.9</v>
      </c>
      <c r="C40" s="36" t="n">
        <f aca="false">6.9+389.85+20</f>
        <v>416.75</v>
      </c>
      <c r="D40" s="36" t="n">
        <v>0</v>
      </c>
      <c r="E40" s="36" t="n">
        <v>20</v>
      </c>
      <c r="F40" s="36" t="n">
        <f aca="false">E40</f>
        <v>20</v>
      </c>
      <c r="G40" s="36" t="n">
        <f aca="false">F40</f>
        <v>20</v>
      </c>
      <c r="H40" s="36" t="n">
        <f aca="false">G40</f>
        <v>20</v>
      </c>
      <c r="I40" s="36" t="n">
        <f aca="false">H40</f>
        <v>20</v>
      </c>
      <c r="J40" s="36" t="n">
        <f aca="false">I40</f>
        <v>20</v>
      </c>
      <c r="K40" s="36" t="n">
        <f aca="false">J40</f>
        <v>20</v>
      </c>
      <c r="L40" s="36" t="n">
        <f aca="false">K40</f>
        <v>20</v>
      </c>
      <c r="M40" s="36" t="n">
        <f aca="false">L40</f>
        <v>20</v>
      </c>
    </row>
    <row r="41" s="3" customFormat="true" ht="3" hidden="false" customHeight="true" outlineLevel="0" collapsed="false">
      <c r="C41" s="7"/>
      <c r="E41" s="7"/>
      <c r="F41" s="7"/>
      <c r="G41" s="7"/>
      <c r="H41" s="7"/>
      <c r="I41" s="7"/>
      <c r="J41" s="7"/>
      <c r="K41" s="7"/>
      <c r="L41" s="7"/>
      <c r="M41" s="7"/>
    </row>
    <row r="42" s="4" customFormat="true" ht="12.75" hidden="false" customHeight="false" outlineLevel="0" collapsed="false">
      <c r="A42" s="4" t="s">
        <v>126</v>
      </c>
      <c r="B42" s="5" t="n">
        <f aca="false">B3-B14-B20-B24</f>
        <v>-1217.86</v>
      </c>
      <c r="C42" s="5" t="n">
        <f aca="false">C3-C20-C24</f>
        <v>10395.84975</v>
      </c>
      <c r="D42" s="5" t="n">
        <f aca="false">D3-D17-D20-D24</f>
        <v>-28839.2</v>
      </c>
      <c r="E42" s="5" t="n">
        <f aca="false">E3-E17-E20-E24</f>
        <v>10419.238</v>
      </c>
      <c r="F42" s="5" t="n">
        <f aca="false">F3-F14-F20-F24</f>
        <v>79.7099999999991</v>
      </c>
      <c r="G42" s="5" t="n">
        <f aca="false">G3-G14-G20-G24</f>
        <v>60.869999999999</v>
      </c>
      <c r="H42" s="5" t="n">
        <f aca="false">H3-H14-H20-H24</f>
        <v>60.869999999999</v>
      </c>
      <c r="I42" s="5" t="n">
        <f aca="false">I3-I14-I20-I24</f>
        <v>60.869999999999</v>
      </c>
      <c r="J42" s="5" t="n">
        <f aca="false">J3-J14-J20-J24</f>
        <v>-983.700000000001</v>
      </c>
      <c r="K42" s="5" t="n">
        <f aca="false">K3-K14-K20-K24</f>
        <v>-105.34</v>
      </c>
      <c r="L42" s="5" t="n">
        <f aca="false">L3-L14-L20-L24</f>
        <v>2004.51</v>
      </c>
      <c r="M42" s="5" t="n">
        <f aca="false">M3-M14-M20-M24</f>
        <v>2281.87</v>
      </c>
    </row>
    <row r="43" s="4" customFormat="true" ht="12.75" hidden="false" customHeight="false" outlineLevel="0" collapsed="false">
      <c r="A43" s="4" t="s">
        <v>127</v>
      </c>
      <c r="B43" s="5" t="n">
        <f aca="false">1527.3+1616+124.85+B28+B27+B29+B31+B32+B42</f>
        <v>2818.96</v>
      </c>
      <c r="C43" s="5" t="n">
        <f aca="false">B43+C42</f>
        <v>13214.80975</v>
      </c>
      <c r="D43" s="5" t="n">
        <f aca="false">C43+D42</f>
        <v>-15624.39025</v>
      </c>
      <c r="E43" s="5" t="n">
        <f aca="false">D43+E42</f>
        <v>-5205.15225</v>
      </c>
      <c r="F43" s="5" t="n">
        <f aca="false">E43+F42</f>
        <v>-5125.44225</v>
      </c>
      <c r="G43" s="5" t="n">
        <f aca="false">F43+G42</f>
        <v>-5064.57225</v>
      </c>
      <c r="H43" s="5" t="n">
        <f aca="false">G43+H42</f>
        <v>-5003.70225</v>
      </c>
      <c r="I43" s="5" t="n">
        <f aca="false">H43+I42</f>
        <v>-4942.83225</v>
      </c>
      <c r="J43" s="5" t="n">
        <f aca="false">I43+J42</f>
        <v>-5926.53225</v>
      </c>
      <c r="K43" s="5" t="n">
        <f aca="false">J43+K42</f>
        <v>-6031.87225</v>
      </c>
      <c r="L43" s="5" t="n">
        <f aca="false">K43+L42</f>
        <v>-4027.36225</v>
      </c>
      <c r="M43" s="5" t="n">
        <f aca="false">L43+M42</f>
        <v>-1745.49225</v>
      </c>
    </row>
    <row r="45" customFormat="false" ht="15" hidden="false" customHeight="false" outlineLevel="0" collapsed="false">
      <c r="B45" s="0" t="s">
        <v>138</v>
      </c>
      <c r="C45" s="0" t="s">
        <v>139</v>
      </c>
      <c r="D45" s="0" t="s">
        <v>140</v>
      </c>
      <c r="E45" s="0" t="s">
        <v>141</v>
      </c>
      <c r="F45" s="0" t="s">
        <v>142</v>
      </c>
      <c r="G45" s="0" t="s">
        <v>143</v>
      </c>
      <c r="H45" s="0" t="s">
        <v>144</v>
      </c>
      <c r="N45" s="0" t="s">
        <v>138</v>
      </c>
      <c r="O45" s="0" t="s">
        <v>139</v>
      </c>
      <c r="P45" s="0" t="s">
        <v>143</v>
      </c>
      <c r="Q45" s="0" t="s">
        <v>145</v>
      </c>
      <c r="R45" s="0" t="s">
        <v>146</v>
      </c>
      <c r="S45" s="0" t="s">
        <v>147</v>
      </c>
      <c r="T45" s="0" t="s">
        <v>144</v>
      </c>
      <c r="U45" s="0" t="s">
        <v>148</v>
      </c>
      <c r="V45" s="0" t="s">
        <v>149</v>
      </c>
    </row>
    <row r="46" customFormat="false" ht="15" hidden="false" customHeight="false" outlineLevel="0" collapsed="false">
      <c r="D46" s="0" t="s">
        <v>150</v>
      </c>
      <c r="I46" s="40" t="n">
        <v>2320.46</v>
      </c>
      <c r="O46" s="41" t="n">
        <v>42744</v>
      </c>
      <c r="P46" s="0" t="s">
        <v>151</v>
      </c>
      <c r="Q46" s="40" t="n">
        <v>3000</v>
      </c>
      <c r="R46" s="41" t="n">
        <v>46394</v>
      </c>
      <c r="S46" s="41" t="n">
        <v>42774</v>
      </c>
      <c r="T46" s="40" t="n">
        <v>3046.88</v>
      </c>
      <c r="U46" s="40" t="n">
        <v>3036.34</v>
      </c>
      <c r="V46" s="42" t="n">
        <f aca="false">Q57*R57</f>
        <v>0.00929966666666667</v>
      </c>
      <c r="W46" s="13" t="n">
        <f aca="false">Q46*V46</f>
        <v>27.899</v>
      </c>
      <c r="X46" s="13" t="n">
        <f aca="false">1-W46/SUM($W$46:$W$50)</f>
        <v>0.837589737554431</v>
      </c>
    </row>
    <row r="47" customFormat="false" ht="15" hidden="false" customHeight="false" outlineLevel="0" collapsed="false">
      <c r="C47" s="41" t="n">
        <v>42373</v>
      </c>
      <c r="D47" s="0" t="s">
        <v>152</v>
      </c>
      <c r="E47" s="43" t="n">
        <v>8005926</v>
      </c>
      <c r="G47" s="0" t="s">
        <v>153</v>
      </c>
      <c r="H47" s="0" t="n">
        <f aca="false">251.24+6.8+0.32</f>
        <v>258.36</v>
      </c>
      <c r="I47" s="40" t="n">
        <v>2571.7</v>
      </c>
      <c r="O47" s="41" t="n">
        <v>42755</v>
      </c>
      <c r="P47" s="0" t="s">
        <v>154</v>
      </c>
      <c r="Q47" s="40" t="n">
        <v>5000</v>
      </c>
      <c r="R47" s="41" t="n">
        <v>46405</v>
      </c>
      <c r="S47" s="41" t="n">
        <v>42815</v>
      </c>
      <c r="T47" s="40" t="n">
        <v>5000</v>
      </c>
      <c r="U47" s="40" t="n">
        <v>5000</v>
      </c>
      <c r="V47" s="42" t="n">
        <f aca="false">Q58*R57</f>
        <v>0.00950183333333333</v>
      </c>
      <c r="W47" s="13" t="n">
        <f aca="false">Q47*V47</f>
        <v>47.5091666666667</v>
      </c>
      <c r="X47" s="13" t="n">
        <f aca="false">1-W47/SUM($W$46:$W$50)</f>
        <v>0.723431799458633</v>
      </c>
    </row>
    <row r="48" customFormat="false" ht="15" hidden="false" customHeight="false" outlineLevel="0" collapsed="false">
      <c r="I48" s="42" t="n">
        <f aca="false">H47/I46/12</f>
        <v>0.00927833274436965</v>
      </c>
      <c r="O48" s="41" t="n">
        <v>42772</v>
      </c>
      <c r="P48" s="0" t="s">
        <v>155</v>
      </c>
      <c r="Q48" s="40" t="n">
        <v>2000</v>
      </c>
      <c r="R48" s="41" t="n">
        <v>46422</v>
      </c>
      <c r="S48" s="41" t="n">
        <v>42953</v>
      </c>
      <c r="T48" s="40" t="n">
        <v>2000</v>
      </c>
      <c r="U48" s="40" t="n">
        <v>2000</v>
      </c>
      <c r="V48" s="42" t="n">
        <f aca="false">Q59*R57</f>
        <v>0.009704</v>
      </c>
      <c r="W48" s="13" t="n">
        <f aca="false">Q48*V48</f>
        <v>19.408</v>
      </c>
      <c r="X48" s="13" t="n">
        <f aca="false">1-W48/SUM($W$46:$W$50)</f>
        <v>0.887018947863952</v>
      </c>
    </row>
    <row r="49" customFormat="false" ht="15" hidden="false" customHeight="false" outlineLevel="0" collapsed="false">
      <c r="O49" s="41" t="n">
        <v>42788</v>
      </c>
      <c r="P49" s="0" t="s">
        <v>154</v>
      </c>
      <c r="Q49" s="40" t="n">
        <v>3300</v>
      </c>
      <c r="R49" s="41" t="n">
        <v>46437</v>
      </c>
      <c r="S49" s="41" t="n">
        <v>42848</v>
      </c>
      <c r="T49" s="40" t="n">
        <v>3300</v>
      </c>
      <c r="U49" s="40" t="n">
        <v>3300</v>
      </c>
      <c r="V49" s="42" t="n">
        <f aca="false">Q58*R57</f>
        <v>0.00950183333333333</v>
      </c>
      <c r="W49" s="13" t="n">
        <f aca="false">Q49*V49</f>
        <v>31.35605</v>
      </c>
      <c r="X49" s="13" t="n">
        <f aca="false">1-W49/SUM($W$46:$W$50)</f>
        <v>0.817464987642697</v>
      </c>
    </row>
    <row r="50" customFormat="false" ht="15" hidden="false" customHeight="false" outlineLevel="0" collapsed="false">
      <c r="O50" s="41" t="n">
        <v>42795</v>
      </c>
      <c r="P50" s="0" t="s">
        <v>155</v>
      </c>
      <c r="Q50" s="40" t="n">
        <v>4700</v>
      </c>
      <c r="R50" s="41" t="n">
        <v>46444</v>
      </c>
      <c r="S50" s="41" t="n">
        <v>42976</v>
      </c>
      <c r="T50" s="40" t="n">
        <v>4700</v>
      </c>
      <c r="U50" s="40" t="n">
        <v>4700</v>
      </c>
      <c r="V50" s="42" t="n">
        <f aca="false">Q59*R57</f>
        <v>0.009704</v>
      </c>
      <c r="W50" s="13" t="n">
        <f aca="false">Q50*V50</f>
        <v>45.6088</v>
      </c>
      <c r="X50" s="13" t="n">
        <f aca="false">1-W50/SUM($W$46:$W$50)</f>
        <v>0.734494527480287</v>
      </c>
    </row>
    <row r="51" customFormat="false" ht="15" hidden="false" customHeight="false" outlineLevel="0" collapsed="false">
      <c r="E51" s="0" t="s">
        <v>156</v>
      </c>
      <c r="F51" s="0" t="n">
        <v>246.61</v>
      </c>
      <c r="G51" s="0" t="n">
        <v>60.6</v>
      </c>
      <c r="H51" s="0" t="n">
        <v>1.5</v>
      </c>
      <c r="I51" s="0" t="n">
        <v>2.78</v>
      </c>
      <c r="J51" s="0" t="n">
        <v>309.99</v>
      </c>
      <c r="K51" s="44" t="n">
        <f aca="false">I51/F51</f>
        <v>0.0112728599813471</v>
      </c>
      <c r="W51" s="13" t="n">
        <f aca="false">SUM(W46:W50)</f>
        <v>171.781016666667</v>
      </c>
      <c r="X51" s="13" t="n">
        <f aca="false">1-W51/SUM($W$46:$W$50)</f>
        <v>0</v>
      </c>
    </row>
    <row r="52" customFormat="false" ht="15" hidden="false" customHeight="false" outlineLevel="0" collapsed="false">
      <c r="E52" s="0" t="s">
        <v>157</v>
      </c>
      <c r="F52" s="0" t="n">
        <v>309.99</v>
      </c>
      <c r="G52" s="0" t="n">
        <v>60.6</v>
      </c>
      <c r="H52" s="0" t="n">
        <v>1.5</v>
      </c>
      <c r="I52" s="0" t="n">
        <v>3.28</v>
      </c>
      <c r="J52" s="0" t="n">
        <v>373.87</v>
      </c>
      <c r="K52" s="44" t="n">
        <f aca="false">I52/F52</f>
        <v>0.0105809864834349</v>
      </c>
      <c r="W52" s="44" t="n">
        <f aca="false">W51/SUM(Q46:Q50)</f>
        <v>0.00954338981481482</v>
      </c>
      <c r="X52" s="13" t="n">
        <f aca="false">1-W52/SUM($W$46:$W$50)</f>
        <v>0.999944444444444</v>
      </c>
    </row>
    <row r="53" customFormat="false" ht="15" hidden="false" customHeight="false" outlineLevel="0" collapsed="false">
      <c r="E53" s="0" t="s">
        <v>158</v>
      </c>
      <c r="F53" s="0" t="n">
        <v>373.87</v>
      </c>
      <c r="G53" s="0" t="n">
        <v>60.6</v>
      </c>
      <c r="H53" s="0" t="n">
        <v>1.5</v>
      </c>
      <c r="I53" s="0" t="n">
        <v>4.46</v>
      </c>
      <c r="J53" s="0" t="n">
        <v>438.93</v>
      </c>
      <c r="K53" s="44" t="n">
        <f aca="false">I53/F53</f>
        <v>0.0119292802310964</v>
      </c>
      <c r="N53" s="0" t="s">
        <v>159</v>
      </c>
      <c r="U53" s="40" t="n">
        <f aca="false">SUM(U46:U52)</f>
        <v>18036.34</v>
      </c>
      <c r="W53" s="13"/>
      <c r="X53" s="45"/>
    </row>
    <row r="54" customFormat="false" ht="15" hidden="false" customHeight="false" outlineLevel="0" collapsed="false">
      <c r="E54" s="0" t="s">
        <v>160</v>
      </c>
      <c r="F54" s="0" t="n">
        <v>438.93</v>
      </c>
      <c r="G54" s="0" t="n">
        <v>60.6</v>
      </c>
      <c r="H54" s="0" t="n">
        <v>1.5</v>
      </c>
      <c r="I54" s="0" t="n">
        <v>5.17</v>
      </c>
      <c r="J54" s="0" t="n">
        <v>504.7</v>
      </c>
      <c r="K54" s="44" t="n">
        <f aca="false">I54/F54</f>
        <v>0.0117786435194678</v>
      </c>
    </row>
    <row r="55" customFormat="false" ht="15" hidden="false" customHeight="false" outlineLevel="0" collapsed="false">
      <c r="E55" s="0" t="s">
        <v>161</v>
      </c>
      <c r="F55" s="0" t="n">
        <v>504.7</v>
      </c>
      <c r="G55" s="0" t="n">
        <v>60.6</v>
      </c>
      <c r="H55" s="0" t="n">
        <v>1.5</v>
      </c>
      <c r="I55" s="0" t="n">
        <v>5.53</v>
      </c>
      <c r="J55" s="0" t="n">
        <v>570.83</v>
      </c>
      <c r="K55" s="44" t="n">
        <f aca="false">I55/F55</f>
        <v>0.0109570041608877</v>
      </c>
    </row>
    <row r="56" customFormat="false" ht="15" hidden="false" customHeight="false" outlineLevel="0" collapsed="false">
      <c r="E56" s="0" t="s">
        <v>162</v>
      </c>
      <c r="F56" s="0" t="n">
        <v>570.83</v>
      </c>
      <c r="G56" s="0" t="n">
        <v>60.6</v>
      </c>
      <c r="H56" s="0" t="n">
        <v>1.5</v>
      </c>
      <c r="I56" s="0" t="n">
        <v>6.79</v>
      </c>
      <c r="J56" s="0" t="n">
        <v>638.22</v>
      </c>
      <c r="K56" s="44" t="n">
        <f aca="false">I56/F56</f>
        <v>0.0118949599705692</v>
      </c>
      <c r="P56" s="0" t="s">
        <v>163</v>
      </c>
      <c r="Q56" s="0" t="s">
        <v>164</v>
      </c>
      <c r="R56" s="0" t="s">
        <v>165</v>
      </c>
    </row>
    <row r="57" customFormat="false" ht="15" hidden="false" customHeight="false" outlineLevel="0" collapsed="false">
      <c r="E57" s="0" t="s">
        <v>166</v>
      </c>
      <c r="F57" s="0" t="n">
        <v>638.22</v>
      </c>
      <c r="G57" s="0" t="n">
        <v>60.6</v>
      </c>
      <c r="H57" s="0" t="n">
        <v>1.5</v>
      </c>
      <c r="I57" s="0" t="n">
        <v>7.33</v>
      </c>
      <c r="J57" s="0" t="n">
        <v>706.15</v>
      </c>
      <c r="K57" s="44" t="n">
        <f aca="false">I57/F57</f>
        <v>0.0114850678449438</v>
      </c>
      <c r="P57" s="0" t="n">
        <v>30</v>
      </c>
      <c r="Q57" s="46" t="n">
        <v>0.92</v>
      </c>
      <c r="R57" s="42" t="n">
        <f aca="false">12.13%/12</f>
        <v>0.0101083333333333</v>
      </c>
    </row>
    <row r="58" customFormat="false" ht="15" hidden="false" customHeight="false" outlineLevel="0" collapsed="false">
      <c r="E58" s="0" t="s">
        <v>167</v>
      </c>
      <c r="F58" s="0" t="n">
        <v>706.15</v>
      </c>
      <c r="G58" s="0" t="n">
        <v>60.6</v>
      </c>
      <c r="H58" s="0" t="n">
        <v>1.5</v>
      </c>
      <c r="I58" s="0" t="n">
        <v>8.78</v>
      </c>
      <c r="J58" s="0" t="n">
        <v>775.53</v>
      </c>
      <c r="K58" s="44" t="n">
        <f aca="false">I58/F58</f>
        <v>0.012433618919493</v>
      </c>
      <c r="P58" s="0" t="n">
        <v>60</v>
      </c>
      <c r="Q58" s="46" t="n">
        <v>0.94</v>
      </c>
    </row>
    <row r="59" customFormat="false" ht="15" hidden="false" customHeight="false" outlineLevel="0" collapsed="false">
      <c r="E59" s="0" t="s">
        <v>168</v>
      </c>
      <c r="F59" s="0" t="n">
        <v>775.53</v>
      </c>
      <c r="G59" s="0" t="n">
        <v>60.6</v>
      </c>
      <c r="H59" s="0" t="n">
        <v>1.5</v>
      </c>
      <c r="I59" s="0" t="n">
        <v>9.06</v>
      </c>
      <c r="J59" s="0" t="n">
        <v>845.19</v>
      </c>
      <c r="K59" s="44" t="n">
        <f aca="false">I59/F59</f>
        <v>0.0116823333720166</v>
      </c>
      <c r="P59" s="0" t="n">
        <v>181</v>
      </c>
      <c r="Q59" s="46" t="n">
        <v>0.96</v>
      </c>
    </row>
    <row r="60" customFormat="false" ht="15" hidden="false" customHeight="false" outlineLevel="0" collapsed="false">
      <c r="E60" s="0" t="s">
        <v>169</v>
      </c>
      <c r="F60" s="0" t="n">
        <v>845.19</v>
      </c>
      <c r="G60" s="0" t="n">
        <v>60.6</v>
      </c>
      <c r="H60" s="0" t="n">
        <v>1.5</v>
      </c>
      <c r="I60" s="0" t="n">
        <v>8.99</v>
      </c>
      <c r="J60" s="0" t="n">
        <v>914.78</v>
      </c>
      <c r="K60" s="44" t="n">
        <f aca="false">I60/F60</f>
        <v>0.0106366615790532</v>
      </c>
      <c r="P60" s="0" t="n">
        <v>361</v>
      </c>
      <c r="Q60" s="46" t="n">
        <v>0.98</v>
      </c>
    </row>
    <row r="61" customFormat="false" ht="15" hidden="false" customHeight="false" outlineLevel="0" collapsed="false">
      <c r="E61" s="0" t="s">
        <v>170</v>
      </c>
      <c r="F61" s="0" t="n">
        <v>914.78</v>
      </c>
      <c r="G61" s="0" t="n">
        <v>60.6</v>
      </c>
      <c r="H61" s="0" t="n">
        <v>1.5</v>
      </c>
      <c r="I61" s="0" t="n">
        <v>8.46</v>
      </c>
      <c r="J61" s="0" t="n">
        <v>983.84</v>
      </c>
      <c r="K61" s="44" t="n">
        <f aca="false">I61/F61</f>
        <v>0.00924812523229629</v>
      </c>
      <c r="P61" s="0" t="n">
        <v>721</v>
      </c>
      <c r="Q61" s="46" t="n">
        <v>0.99</v>
      </c>
    </row>
    <row r="62" customFormat="false" ht="15" hidden="false" customHeight="false" outlineLevel="0" collapsed="false">
      <c r="E62" s="0" t="s">
        <v>171</v>
      </c>
      <c r="F62" s="0" t="n">
        <v>983.84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f aca="false">I62/F62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4609375" defaultRowHeight="15" zeroHeight="false" outlineLevelRow="0" outlineLevelCol="0"/>
  <cols>
    <col collapsed="false" customWidth="true" hidden="false" outlineLevel="0" max="2" min="2" style="0" width="11.86"/>
    <col collapsed="false" customWidth="true" hidden="false" outlineLevel="0" max="6" min="3" style="0" width="9.58"/>
    <col collapsed="false" customWidth="true" hidden="false" outlineLevel="0" max="7" min="7" style="0" width="9.71"/>
    <col collapsed="false" customWidth="true" hidden="false" outlineLevel="0" max="10" min="8" style="0" width="9.58"/>
    <col collapsed="false" customWidth="true" hidden="false" outlineLevel="0" max="11" min="11" style="0" width="9.71"/>
    <col collapsed="false" customWidth="true" hidden="false" outlineLevel="0" max="12" min="12" style="0" width="9.58"/>
    <col collapsed="false" customWidth="true" hidden="false" outlineLevel="0" max="13" min="13" style="0" width="10.29"/>
    <col collapsed="false" customWidth="true" hidden="false" outlineLevel="0" max="14" min="14" style="0" width="10.14"/>
    <col collapsed="false" customWidth="true" hidden="false" outlineLevel="0" max="15" min="15" style="0" width="13.29"/>
  </cols>
  <sheetData>
    <row r="2" customFormat="false" ht="15" hidden="false" customHeight="false" outlineLevel="0" collapsed="false">
      <c r="B2" s="0" t="s">
        <v>172</v>
      </c>
      <c r="C2" s="0" t="s">
        <v>84</v>
      </c>
      <c r="D2" s="0" t="s">
        <v>85</v>
      </c>
      <c r="E2" s="0" t="s">
        <v>86</v>
      </c>
      <c r="F2" s="0" t="s">
        <v>87</v>
      </c>
      <c r="G2" s="0" t="s">
        <v>88</v>
      </c>
      <c r="H2" s="0" t="s">
        <v>89</v>
      </c>
      <c r="I2" s="0" t="s">
        <v>90</v>
      </c>
      <c r="J2" s="0" t="s">
        <v>91</v>
      </c>
      <c r="K2" s="0" t="s">
        <v>92</v>
      </c>
      <c r="L2" s="0" t="s">
        <v>93</v>
      </c>
      <c r="M2" s="0" t="s">
        <v>94</v>
      </c>
      <c r="N2" s="0" t="s">
        <v>95</v>
      </c>
      <c r="O2" s="0" t="s">
        <v>173</v>
      </c>
    </row>
    <row r="3" customFormat="false" ht="15" hidden="false" customHeight="false" outlineLevel="0" collapsed="false">
      <c r="B3" s="0" t="s">
        <v>174</v>
      </c>
      <c r="C3" s="13" t="n">
        <v>1000</v>
      </c>
      <c r="D3" s="13" t="n">
        <v>1000</v>
      </c>
      <c r="E3" s="13" t="n">
        <v>1000</v>
      </c>
      <c r="F3" s="13" t="n">
        <v>1000</v>
      </c>
      <c r="G3" s="13" t="n">
        <v>1000</v>
      </c>
      <c r="H3" s="13" t="n">
        <v>1000</v>
      </c>
      <c r="I3" s="13" t="n">
        <v>1000</v>
      </c>
      <c r="J3" s="13" t="n">
        <v>1000</v>
      </c>
      <c r="K3" s="13" t="n">
        <v>1000</v>
      </c>
      <c r="L3" s="13" t="n">
        <v>1000</v>
      </c>
      <c r="M3" s="13" t="n">
        <v>1000</v>
      </c>
      <c r="N3" s="13" t="n">
        <v>1000</v>
      </c>
      <c r="O3" s="47" t="n">
        <f aca="false">SUM(C3:N3)</f>
        <v>12000</v>
      </c>
    </row>
    <row r="4" customFormat="false" ht="15" hidden="false" customHeight="false" outlineLevel="0" collapsed="false">
      <c r="B4" s="0" t="s">
        <v>175</v>
      </c>
      <c r="C4" s="13" t="n">
        <v>300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0</v>
      </c>
      <c r="N4" s="13" t="n">
        <v>0</v>
      </c>
      <c r="O4" s="47" t="n">
        <f aca="false">SUM(C4:N4)</f>
        <v>300</v>
      </c>
    </row>
    <row r="5" customFormat="false" ht="15" hidden="false" customHeight="false" outlineLevel="0" collapsed="false">
      <c r="B5" s="0" t="s">
        <v>176</v>
      </c>
      <c r="C5" s="13" t="n">
        <v>450</v>
      </c>
      <c r="D5" s="13" t="n">
        <v>450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  <c r="M5" s="13" t="n">
        <v>0</v>
      </c>
      <c r="N5" s="13" t="n">
        <v>0</v>
      </c>
      <c r="O5" s="47" t="n">
        <f aca="false">SUM(C5:N5)</f>
        <v>900</v>
      </c>
    </row>
    <row r="6" customFormat="false" ht="15" hidden="false" customHeight="false" outlineLevel="0" collapsed="false">
      <c r="B6" s="0" t="s">
        <v>177</v>
      </c>
      <c r="C6" s="13" t="n">
        <v>400</v>
      </c>
      <c r="D6" s="13" t="n">
        <v>400</v>
      </c>
      <c r="E6" s="13" t="n">
        <v>400</v>
      </c>
      <c r="F6" s="13" t="n">
        <v>400</v>
      </c>
      <c r="G6" s="13" t="n">
        <v>400</v>
      </c>
      <c r="H6" s="13" t="n">
        <v>400</v>
      </c>
      <c r="I6" s="13" t="n">
        <v>400</v>
      </c>
      <c r="J6" s="13" t="n">
        <v>400</v>
      </c>
      <c r="K6" s="13" t="n">
        <v>400</v>
      </c>
      <c r="L6" s="13" t="n">
        <v>400</v>
      </c>
      <c r="M6" s="13" t="n">
        <v>400</v>
      </c>
      <c r="N6" s="13" t="n">
        <v>400</v>
      </c>
      <c r="O6" s="47" t="n">
        <f aca="false">SUM(C6:N6)</f>
        <v>4800</v>
      </c>
    </row>
    <row r="7" customFormat="false" ht="15" hidden="false" customHeight="false" outlineLevel="0" collapsed="false">
      <c r="B7" s="0" t="s">
        <v>178</v>
      </c>
      <c r="C7" s="13" t="n">
        <v>200</v>
      </c>
      <c r="D7" s="13" t="n">
        <v>200</v>
      </c>
      <c r="E7" s="13" t="n">
        <v>140</v>
      </c>
      <c r="F7" s="13" t="n">
        <v>80</v>
      </c>
      <c r="G7" s="13" t="n">
        <v>60</v>
      </c>
      <c r="H7" s="13" t="n">
        <v>60</v>
      </c>
      <c r="I7" s="13" t="n">
        <v>60</v>
      </c>
      <c r="J7" s="13" t="n">
        <v>60</v>
      </c>
      <c r="K7" s="13" t="n">
        <v>60</v>
      </c>
      <c r="L7" s="13" t="n">
        <v>80</v>
      </c>
      <c r="M7" s="13" t="n">
        <v>80</v>
      </c>
      <c r="N7" s="13" t="n">
        <v>140</v>
      </c>
      <c r="O7" s="47" t="n">
        <f aca="false">SUM(C7:N7)</f>
        <v>1220</v>
      </c>
    </row>
    <row r="8" customFormat="false" ht="15" hidden="false" customHeight="false" outlineLevel="0" collapsed="false">
      <c r="B8" s="0" t="s">
        <v>179</v>
      </c>
      <c r="C8" s="13" t="n">
        <v>80</v>
      </c>
      <c r="D8" s="13" t="n">
        <v>80</v>
      </c>
      <c r="E8" s="13" t="n">
        <v>80</v>
      </c>
      <c r="F8" s="13" t="n">
        <v>80</v>
      </c>
      <c r="G8" s="13" t="n">
        <v>80</v>
      </c>
      <c r="H8" s="13" t="n">
        <v>80</v>
      </c>
      <c r="I8" s="13" t="n">
        <v>80</v>
      </c>
      <c r="J8" s="13" t="n">
        <v>80</v>
      </c>
      <c r="K8" s="13" t="n">
        <v>80</v>
      </c>
      <c r="L8" s="13" t="n">
        <v>80</v>
      </c>
      <c r="M8" s="13" t="n">
        <v>80</v>
      </c>
      <c r="N8" s="13" t="n">
        <v>80</v>
      </c>
      <c r="O8" s="47" t="n">
        <f aca="false">SUM(C8:N8)</f>
        <v>960</v>
      </c>
    </row>
    <row r="9" customFormat="false" ht="15" hidden="false" customHeight="false" outlineLevel="0" collapsed="false">
      <c r="O9" s="47" t="n">
        <f aca="false">SUM(O3:O8)</f>
        <v>20180</v>
      </c>
    </row>
    <row r="10" customFormat="false" ht="15" hidden="false" customHeight="false" outlineLevel="0" collapsed="false">
      <c r="B10" s="0" t="s">
        <v>180</v>
      </c>
    </row>
    <row r="11" customFormat="false" ht="15" hidden="false" customHeight="false" outlineLevel="0" collapsed="false">
      <c r="B11" s="0" t="s">
        <v>181</v>
      </c>
      <c r="C11" s="0" t="n">
        <v>60</v>
      </c>
      <c r="D11" s="0" t="n">
        <v>45</v>
      </c>
      <c r="E11" s="0" t="n">
        <v>30</v>
      </c>
      <c r="F11" s="0" t="n">
        <v>15</v>
      </c>
    </row>
    <row r="12" customFormat="false" ht="15" hidden="false" customHeight="false" outlineLevel="0" collapsed="false">
      <c r="B12" s="0" t="s">
        <v>182</v>
      </c>
      <c r="C12" s="13" t="n">
        <f aca="false">$O$9/C11</f>
        <v>336.333333333333</v>
      </c>
      <c r="D12" s="13" t="n">
        <f aca="false">$O$9/D11</f>
        <v>448.444444444445</v>
      </c>
      <c r="E12" s="13" t="n">
        <f aca="false">$O$9/E11</f>
        <v>672.666666666667</v>
      </c>
      <c r="F12" s="13" t="n">
        <f aca="false">$O$9/F11</f>
        <v>1345.33333333333</v>
      </c>
    </row>
    <row r="13" customFormat="false" ht="15" hidden="false" customHeight="false" outlineLevel="0" collapsed="false">
      <c r="B13" s="0" t="s">
        <v>183</v>
      </c>
      <c r="C13" s="11" t="n">
        <f aca="false">C12*10%</f>
        <v>33.6333333333333</v>
      </c>
      <c r="D13" s="11" t="n">
        <f aca="false">D12*10%</f>
        <v>44.8444444444445</v>
      </c>
      <c r="E13" s="11" t="n">
        <f aca="false">E12*10%</f>
        <v>67.2666666666667</v>
      </c>
      <c r="F13" s="11" t="n">
        <f aca="false">F12*10%</f>
        <v>134.533333333333</v>
      </c>
    </row>
    <row r="14" customFormat="false" ht="15" hidden="false" customHeight="false" outlineLevel="0" collapsed="false">
      <c r="B14" s="0" t="s">
        <v>184</v>
      </c>
      <c r="C14" s="11" t="n">
        <f aca="false">SUM(C12:C13)</f>
        <v>369.966666666667</v>
      </c>
      <c r="D14" s="11" t="n">
        <f aca="false">SUM(D12:D13)</f>
        <v>493.288888888889</v>
      </c>
      <c r="E14" s="11" t="n">
        <f aca="false">SUM(E12:E13)</f>
        <v>739.933333333333</v>
      </c>
      <c r="F14" s="11" t="n">
        <f aca="false">SUM(F12:F13)</f>
        <v>1479.86666666667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2016-12-17T11:28:50Z</dcterms:created>
  <dc:creator>Andre Rosa</dc:creator>
  <dc:description/>
  <dc:language>pt-BR</dc:language>
  <cp:lastModifiedBy/>
  <dcterms:modified xsi:type="dcterms:W3CDTF">2021-02-04T19:40:13Z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