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tle/Downloads/EXCEL-CLASSIFICATION/llamaindex/POC_data/aws/"/>
    </mc:Choice>
  </mc:AlternateContent>
  <xr:revisionPtr revIDLastSave="0" documentId="13_ncr:1_{7FB90972-5166-894E-8EFE-69B7AA94926B}" xr6:coauthVersionLast="47" xr6:coauthVersionMax="47" xr10:uidLastSave="{00000000-0000-0000-0000-000000000000}"/>
  <bookViews>
    <workbookView xWindow="62080" yWindow="5080" windowWidth="28180" windowHeight="21560" xr2:uid="{51230A60-FC88-4E2E-847E-A61C050FE00B}"/>
  </bookViews>
  <sheets>
    <sheet name="02-09-25" sheetId="1" r:id="rId1"/>
  </sheets>
  <definedNames>
    <definedName name="_xlnm._FilterDatabase" localSheetId="0" hidden="1">'02-09-25'!$A$5:$AX$16</definedName>
    <definedName name="_xlnm.Print_Area" localSheetId="0">'02-09-25'!$A$3:$K$41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07" i="1" l="1"/>
  <c r="AL107" i="1"/>
  <c r="AK107" i="1"/>
  <c r="AI107" i="1"/>
  <c r="AH107" i="1"/>
  <c r="AF107" i="1"/>
  <c r="AE107" i="1"/>
  <c r="AD107" i="1"/>
  <c r="AC107" i="1"/>
  <c r="Y107" i="1"/>
  <c r="X107" i="1"/>
  <c r="W107" i="1"/>
  <c r="V107" i="1"/>
  <c r="U107" i="1"/>
  <c r="L107" i="1"/>
  <c r="J107" i="1"/>
  <c r="AG106" i="1"/>
  <c r="K106" i="1"/>
  <c r="AG105" i="1"/>
  <c r="I105" i="1"/>
  <c r="AG104" i="1"/>
  <c r="N104" i="1"/>
  <c r="M104" i="1"/>
  <c r="I104" i="1"/>
  <c r="AG103" i="1"/>
  <c r="I103" i="1"/>
  <c r="AG102" i="1"/>
  <c r="S102" i="1"/>
  <c r="R102" i="1"/>
  <c r="Q102" i="1"/>
  <c r="P102" i="1"/>
  <c r="O102" i="1"/>
  <c r="N102" i="1"/>
  <c r="M102" i="1"/>
  <c r="AN101" i="1"/>
  <c r="AM101" i="1"/>
  <c r="I101" i="1"/>
  <c r="AG100" i="1"/>
  <c r="S100" i="1"/>
  <c r="R100" i="1"/>
  <c r="Q100" i="1"/>
  <c r="P100" i="1"/>
  <c r="O100" i="1"/>
  <c r="N100" i="1"/>
  <c r="M100" i="1"/>
  <c r="I100" i="1"/>
  <c r="AG99" i="1"/>
  <c r="AB99" i="1"/>
  <c r="Z99" i="1"/>
  <c r="K99" i="1"/>
  <c r="AN98" i="1"/>
  <c r="AM98" i="1"/>
  <c r="S98" i="1"/>
  <c r="R98" i="1"/>
  <c r="Q98" i="1"/>
  <c r="P98" i="1"/>
  <c r="O98" i="1"/>
  <c r="N98" i="1"/>
  <c r="M98" i="1"/>
  <c r="I98" i="1"/>
  <c r="AG97" i="1"/>
  <c r="S97" i="1"/>
  <c r="R97" i="1"/>
  <c r="Q97" i="1"/>
  <c r="P97" i="1"/>
  <c r="O97" i="1"/>
  <c r="N97" i="1"/>
  <c r="M97" i="1"/>
  <c r="I97" i="1"/>
  <c r="AG96" i="1"/>
  <c r="I96" i="1"/>
  <c r="AG95" i="1"/>
  <c r="I95" i="1"/>
  <c r="AN94" i="1"/>
  <c r="AM94" i="1"/>
  <c r="AG94" i="1"/>
  <c r="I94" i="1"/>
  <c r="AG93" i="1"/>
  <c r="Z93" i="1"/>
  <c r="K93" i="1"/>
  <c r="AN92" i="1"/>
  <c r="AM92" i="1"/>
  <c r="AG92" i="1"/>
  <c r="I92" i="1"/>
  <c r="AG91" i="1"/>
  <c r="I91" i="1"/>
  <c r="AG90" i="1"/>
  <c r="Z90" i="1"/>
  <c r="K90" i="1"/>
  <c r="AG88" i="1"/>
  <c r="S88" i="1"/>
  <c r="R88" i="1"/>
  <c r="Q88" i="1"/>
  <c r="P88" i="1"/>
  <c r="O88" i="1"/>
  <c r="N88" i="1"/>
  <c r="M88" i="1"/>
  <c r="AG87" i="1"/>
  <c r="S87" i="1"/>
  <c r="R87" i="1"/>
  <c r="Q87" i="1"/>
  <c r="P87" i="1"/>
  <c r="O87" i="1"/>
  <c r="N87" i="1"/>
  <c r="M87" i="1"/>
  <c r="AG86" i="1"/>
  <c r="S86" i="1"/>
  <c r="R86" i="1"/>
  <c r="Q86" i="1"/>
  <c r="P86" i="1"/>
  <c r="O86" i="1"/>
  <c r="N86" i="1"/>
  <c r="M86" i="1"/>
  <c r="AG85" i="1"/>
  <c r="S85" i="1"/>
  <c r="R85" i="1"/>
  <c r="Q85" i="1"/>
  <c r="P85" i="1"/>
  <c r="O85" i="1"/>
  <c r="N85" i="1"/>
  <c r="M85" i="1"/>
  <c r="AG84" i="1"/>
  <c r="S84" i="1"/>
  <c r="R84" i="1"/>
  <c r="Q84" i="1"/>
  <c r="P84" i="1"/>
  <c r="O84" i="1"/>
  <c r="N84" i="1"/>
  <c r="M84" i="1"/>
  <c r="AG83" i="1"/>
  <c r="S83" i="1"/>
  <c r="R83" i="1"/>
  <c r="Q83" i="1"/>
  <c r="P83" i="1"/>
  <c r="O83" i="1"/>
  <c r="N83" i="1"/>
  <c r="M83" i="1"/>
  <c r="S82" i="1"/>
  <c r="R82" i="1"/>
  <c r="Q82" i="1"/>
  <c r="P82" i="1"/>
  <c r="O82" i="1"/>
  <c r="N82" i="1"/>
  <c r="M82" i="1"/>
  <c r="AO75" i="1"/>
  <c r="AL75" i="1"/>
  <c r="AK75" i="1"/>
  <c r="AG75" i="1"/>
  <c r="AF75" i="1"/>
  <c r="AE75" i="1"/>
  <c r="AD75" i="1"/>
  <c r="AC75" i="1"/>
  <c r="Z75" i="1"/>
  <c r="Y75" i="1"/>
  <c r="X75" i="1"/>
  <c r="W75" i="1"/>
  <c r="V75" i="1"/>
  <c r="U75" i="1"/>
  <c r="L75" i="1"/>
  <c r="J75" i="1"/>
  <c r="AN73" i="1"/>
  <c r="AN75" i="1" s="1"/>
  <c r="AM73" i="1"/>
  <c r="AM75" i="1" s="1"/>
  <c r="AJ73" i="1"/>
  <c r="AJ75" i="1" s="1"/>
  <c r="S73" i="1"/>
  <c r="S75" i="1" s="1"/>
  <c r="R73" i="1"/>
  <c r="R75" i="1" s="1"/>
  <c r="Q73" i="1"/>
  <c r="Q75" i="1" s="1"/>
  <c r="P73" i="1"/>
  <c r="P75" i="1" s="1"/>
  <c r="O73" i="1"/>
  <c r="O75" i="1" s="1"/>
  <c r="N73" i="1"/>
  <c r="N75" i="1" s="1"/>
  <c r="M73" i="1"/>
  <c r="I73" i="1"/>
  <c r="I75" i="1" s="1"/>
  <c r="AO66" i="1"/>
  <c r="AN66" i="1"/>
  <c r="AM66" i="1"/>
  <c r="AL66" i="1"/>
  <c r="AK66" i="1"/>
  <c r="AJ66" i="1"/>
  <c r="AI66" i="1"/>
  <c r="AH66" i="1"/>
  <c r="AF66" i="1"/>
  <c r="Y66" i="1"/>
  <c r="X66" i="1"/>
  <c r="W66" i="1"/>
  <c r="V66" i="1"/>
  <c r="L66" i="1"/>
  <c r="J66" i="1"/>
  <c r="I66" i="1"/>
  <c r="AA65" i="1"/>
  <c r="S65" i="1"/>
  <c r="R65" i="1"/>
  <c r="Q65" i="1"/>
  <c r="P65" i="1"/>
  <c r="O65" i="1"/>
  <c r="N65" i="1"/>
  <c r="M65" i="1"/>
  <c r="AA64" i="1"/>
  <c r="S64" i="1"/>
  <c r="R64" i="1"/>
  <c r="Q64" i="1"/>
  <c r="P64" i="1"/>
  <c r="O64" i="1"/>
  <c r="N64" i="1"/>
  <c r="M64" i="1"/>
  <c r="S63" i="1"/>
  <c r="R63" i="1"/>
  <c r="Q63" i="1"/>
  <c r="P63" i="1"/>
  <c r="O63" i="1"/>
  <c r="N63" i="1"/>
  <c r="M63" i="1"/>
  <c r="S62" i="1"/>
  <c r="R62" i="1"/>
  <c r="Q62" i="1"/>
  <c r="P62" i="1"/>
  <c r="O62" i="1"/>
  <c r="N62" i="1"/>
  <c r="M62" i="1"/>
  <c r="S61" i="1"/>
  <c r="R61" i="1"/>
  <c r="Q61" i="1"/>
  <c r="P61" i="1"/>
  <c r="O61" i="1"/>
  <c r="N61" i="1"/>
  <c r="S60" i="1"/>
  <c r="R60" i="1"/>
  <c r="Q60" i="1"/>
  <c r="P60" i="1"/>
  <c r="O60" i="1"/>
  <c r="N60" i="1"/>
  <c r="M60" i="1"/>
  <c r="U59" i="1"/>
  <c r="U66" i="1" s="1"/>
  <c r="S59" i="1"/>
  <c r="R59" i="1"/>
  <c r="Q59" i="1"/>
  <c r="P59" i="1"/>
  <c r="O59" i="1"/>
  <c r="N59" i="1"/>
  <c r="M59" i="1"/>
  <c r="S58" i="1"/>
  <c r="R58" i="1"/>
  <c r="Q58" i="1"/>
  <c r="P58" i="1"/>
  <c r="O58" i="1"/>
  <c r="N58" i="1"/>
  <c r="M58" i="1"/>
  <c r="AO51" i="1"/>
  <c r="AF51" i="1"/>
  <c r="AE51" i="1"/>
  <c r="AD51" i="1"/>
  <c r="AC51" i="1"/>
  <c r="Z51" i="1"/>
  <c r="X51" i="1"/>
  <c r="W51" i="1"/>
  <c r="V51" i="1"/>
  <c r="U51" i="1"/>
  <c r="K50" i="1"/>
  <c r="AG50" i="1" s="1"/>
  <c r="I50" i="1"/>
  <c r="S49" i="1"/>
  <c r="R49" i="1"/>
  <c r="Q49" i="1"/>
  <c r="P49" i="1"/>
  <c r="O49" i="1"/>
  <c r="N49" i="1"/>
  <c r="M49" i="1"/>
  <c r="I49" i="1"/>
  <c r="AN48" i="1"/>
  <c r="AN51" i="1" s="1"/>
  <c r="I48" i="1"/>
  <c r="F48" i="1"/>
  <c r="F49" i="1" s="1"/>
  <c r="F50" i="1" s="1"/>
  <c r="AN43" i="1"/>
  <c r="AO41" i="1"/>
  <c r="AO43" i="1" s="1"/>
  <c r="AF41" i="1"/>
  <c r="AE41" i="1"/>
  <c r="AD41" i="1"/>
  <c r="W41" i="1"/>
  <c r="V41" i="1"/>
  <c r="U41" i="1"/>
  <c r="AH40" i="1"/>
  <c r="Y40" i="1"/>
  <c r="AN39" i="1"/>
  <c r="AM39" i="1"/>
  <c r="AG39" i="1"/>
  <c r="S39" i="1"/>
  <c r="R39" i="1"/>
  <c r="Q39" i="1"/>
  <c r="P39" i="1"/>
  <c r="O39" i="1"/>
  <c r="AG38" i="1"/>
  <c r="S38" i="1"/>
  <c r="R38" i="1"/>
  <c r="Q38" i="1"/>
  <c r="P38" i="1"/>
  <c r="O38" i="1"/>
  <c r="AG37" i="1"/>
  <c r="S37" i="1"/>
  <c r="R37" i="1"/>
  <c r="Q37" i="1"/>
  <c r="P37" i="1"/>
  <c r="O37" i="1"/>
  <c r="K37" i="1" s="1"/>
  <c r="AG36" i="1"/>
  <c r="S36" i="1"/>
  <c r="R36" i="1"/>
  <c r="Q36" i="1"/>
  <c r="P36" i="1"/>
  <c r="O36" i="1"/>
  <c r="AG35" i="1"/>
  <c r="S35" i="1"/>
  <c r="R35" i="1"/>
  <c r="Q35" i="1"/>
  <c r="P35" i="1"/>
  <c r="O35" i="1"/>
  <c r="AN34" i="1"/>
  <c r="AM34" i="1"/>
  <c r="AG34" i="1"/>
  <c r="S34" i="1"/>
  <c r="S104" i="1" s="1"/>
  <c r="R34" i="1"/>
  <c r="R104" i="1" s="1"/>
  <c r="Q34" i="1"/>
  <c r="Q104" i="1" s="1"/>
  <c r="P34" i="1"/>
  <c r="P104" i="1" s="1"/>
  <c r="O34" i="1"/>
  <c r="O104" i="1" s="1"/>
  <c r="AM33" i="1"/>
  <c r="AG33" i="1"/>
  <c r="I33" i="1"/>
  <c r="J33" i="1" s="1"/>
  <c r="P33" i="1" s="1"/>
  <c r="AN32" i="1"/>
  <c r="AG32" i="1"/>
  <c r="I32" i="1"/>
  <c r="J32" i="1" s="1"/>
  <c r="Q32" i="1" s="1"/>
  <c r="AG31" i="1"/>
  <c r="J31" i="1"/>
  <c r="S31" i="1" s="1"/>
  <c r="AM30" i="1"/>
  <c r="AG30" i="1"/>
  <c r="I30" i="1"/>
  <c r="J30" i="1" s="1"/>
  <c r="AN29" i="1"/>
  <c r="AG29" i="1"/>
  <c r="I29" i="1"/>
  <c r="J29" i="1" s="1"/>
  <c r="AN28" i="1"/>
  <c r="AG28" i="1"/>
  <c r="I28" i="1"/>
  <c r="J28" i="1" s="1"/>
  <c r="P28" i="1" s="1"/>
  <c r="AM27" i="1"/>
  <c r="AG27" i="1"/>
  <c r="I27" i="1"/>
  <c r="J27" i="1" s="1"/>
  <c r="O27" i="1" s="1"/>
  <c r="AN26" i="1"/>
  <c r="AG26" i="1"/>
  <c r="I26" i="1"/>
  <c r="J26" i="1" s="1"/>
  <c r="P26" i="1" s="1"/>
  <c r="AN25" i="1"/>
  <c r="AG25" i="1"/>
  <c r="I25" i="1"/>
  <c r="J25" i="1" s="1"/>
  <c r="R25" i="1" s="1"/>
  <c r="AM24" i="1"/>
  <c r="AG24" i="1"/>
  <c r="I24" i="1"/>
  <c r="J24" i="1" s="1"/>
  <c r="R24" i="1" s="1"/>
  <c r="AN23" i="1"/>
  <c r="AG23" i="1"/>
  <c r="J23" i="1"/>
  <c r="Q23" i="1" s="1"/>
  <c r="I23" i="1"/>
  <c r="AN22" i="1"/>
  <c r="AG22" i="1"/>
  <c r="I22" i="1"/>
  <c r="J22" i="1" s="1"/>
  <c r="R22" i="1" s="1"/>
  <c r="R95" i="1" s="1"/>
  <c r="AM21" i="1"/>
  <c r="AG21" i="1"/>
  <c r="I21" i="1"/>
  <c r="J21" i="1" s="1"/>
  <c r="N21" i="1" s="1"/>
  <c r="AG20" i="1"/>
  <c r="S20" i="1"/>
  <c r="R20" i="1"/>
  <c r="Q20" i="1"/>
  <c r="P20" i="1"/>
  <c r="O20" i="1"/>
  <c r="N20" i="1"/>
  <c r="M20" i="1"/>
  <c r="I20" i="1"/>
  <c r="AN19" i="1"/>
  <c r="AG19" i="1"/>
  <c r="J19" i="1"/>
  <c r="S19" i="1" s="1"/>
  <c r="AN18" i="1"/>
  <c r="AM18" i="1"/>
  <c r="AG18" i="1"/>
  <c r="J18" i="1"/>
  <c r="S18" i="1" s="1"/>
  <c r="I18" i="1"/>
  <c r="Y17" i="1"/>
  <c r="AN16" i="1"/>
  <c r="AG16" i="1"/>
  <c r="J16" i="1"/>
  <c r="Q16" i="1" s="1"/>
  <c r="I16" i="1"/>
  <c r="AN15" i="1"/>
  <c r="AM15" i="1"/>
  <c r="AG15" i="1"/>
  <c r="J15" i="1"/>
  <c r="N15" i="1" s="1"/>
  <c r="N105" i="1" s="1"/>
  <c r="I15" i="1"/>
  <c r="AN14" i="1"/>
  <c r="AG14" i="1"/>
  <c r="I14" i="1"/>
  <c r="J14" i="1" s="1"/>
  <c r="AN13" i="1"/>
  <c r="AG13" i="1"/>
  <c r="I13" i="1"/>
  <c r="J13" i="1" s="1"/>
  <c r="S13" i="1" s="1"/>
  <c r="AN12" i="1"/>
  <c r="AM12" i="1"/>
  <c r="AG12" i="1"/>
  <c r="J12" i="1"/>
  <c r="S12" i="1" s="1"/>
  <c r="I12" i="1"/>
  <c r="AN11" i="1"/>
  <c r="AM11" i="1"/>
  <c r="AG11" i="1"/>
  <c r="J11" i="1"/>
  <c r="Q11" i="1" s="1"/>
  <c r="I11" i="1"/>
  <c r="AN10" i="1"/>
  <c r="AM10" i="1"/>
  <c r="AG10" i="1"/>
  <c r="J10" i="1"/>
  <c r="P10" i="1" s="1"/>
  <c r="I10" i="1"/>
  <c r="AN9" i="1"/>
  <c r="AG9" i="1"/>
  <c r="J9" i="1"/>
  <c r="N9" i="1" s="1"/>
  <c r="N91" i="1" s="1"/>
  <c r="I9" i="1"/>
  <c r="AN8" i="1"/>
  <c r="AM8" i="1"/>
  <c r="AG8" i="1"/>
  <c r="J8" i="1"/>
  <c r="S8" i="1" s="1"/>
  <c r="I8" i="1"/>
  <c r="AN7" i="1"/>
  <c r="AM7" i="1"/>
  <c r="AG7" i="1"/>
  <c r="J7" i="1"/>
  <c r="Q7" i="1" s="1"/>
  <c r="I7" i="1"/>
  <c r="F7" i="1"/>
  <c r="AN6" i="1"/>
  <c r="AG6" i="1"/>
  <c r="J6" i="1"/>
  <c r="S6" i="1" s="1"/>
  <c r="I6" i="1"/>
  <c r="G6" i="1"/>
  <c r="G7" i="1" s="1"/>
  <c r="M5" i="1"/>
  <c r="N5" i="1" s="1"/>
  <c r="O5" i="1" s="1"/>
  <c r="P5" i="1" s="1"/>
  <c r="Q5" i="1" s="1"/>
  <c r="R5" i="1" s="1"/>
  <c r="S5" i="1" s="1"/>
  <c r="AN107" i="1" l="1"/>
  <c r="K86" i="1"/>
  <c r="AB37" i="1"/>
  <c r="P21" i="1"/>
  <c r="R21" i="1"/>
  <c r="R11" i="1"/>
  <c r="S11" i="1"/>
  <c r="P11" i="1"/>
  <c r="S23" i="1"/>
  <c r="S103" i="1" s="1"/>
  <c r="S66" i="1"/>
  <c r="K104" i="1"/>
  <c r="AC63" i="1"/>
  <c r="AC66" i="1" s="1"/>
  <c r="AD62" i="1"/>
  <c r="K39" i="1"/>
  <c r="M18" i="1"/>
  <c r="K98" i="1"/>
  <c r="AA98" i="1" s="1"/>
  <c r="AA107" i="1" s="1"/>
  <c r="Q18" i="1"/>
  <c r="R19" i="1"/>
  <c r="Z83" i="1"/>
  <c r="K84" i="1"/>
  <c r="AM107" i="1"/>
  <c r="K97" i="1"/>
  <c r="Q30" i="1"/>
  <c r="O30" i="1"/>
  <c r="N22" i="1"/>
  <c r="N95" i="1" s="1"/>
  <c r="AB39" i="1"/>
  <c r="AE64" i="1"/>
  <c r="AB64" i="1"/>
  <c r="Z64" i="1" s="1"/>
  <c r="K87" i="1"/>
  <c r="O9" i="1"/>
  <c r="O91" i="1" s="1"/>
  <c r="M47" i="1"/>
  <c r="N47" i="1" s="1"/>
  <c r="O47" i="1" s="1"/>
  <c r="P47" i="1" s="1"/>
  <c r="Q47" i="1" s="1"/>
  <c r="R47" i="1" s="1"/>
  <c r="S47" i="1" s="1"/>
  <c r="K59" i="1"/>
  <c r="K61" i="1"/>
  <c r="M9" i="1"/>
  <c r="M91" i="1" s="1"/>
  <c r="Q10" i="1"/>
  <c r="Q6" i="1"/>
  <c r="M15" i="1"/>
  <c r="M105" i="1" s="1"/>
  <c r="N8" i="1"/>
  <c r="N94" i="1" s="1"/>
  <c r="R33" i="1"/>
  <c r="O66" i="1"/>
  <c r="AD63" i="1"/>
  <c r="Z88" i="1"/>
  <c r="N11" i="1"/>
  <c r="N12" i="1"/>
  <c r="O19" i="1"/>
  <c r="O23" i="1"/>
  <c r="O103" i="1" s="1"/>
  <c r="R26" i="1"/>
  <c r="AB60" i="1"/>
  <c r="AE62" i="1"/>
  <c r="K85" i="1"/>
  <c r="P9" i="1"/>
  <c r="P91" i="1" s="1"/>
  <c r="AB62" i="1"/>
  <c r="S9" i="1"/>
  <c r="S91" i="1" s="1"/>
  <c r="N13" i="1"/>
  <c r="N24" i="1"/>
  <c r="AB63" i="1"/>
  <c r="O15" i="1"/>
  <c r="O105" i="1" s="1"/>
  <c r="P24" i="1"/>
  <c r="N66" i="1"/>
  <c r="AE63" i="1"/>
  <c r="P15" i="1"/>
  <c r="P105" i="1" s="1"/>
  <c r="N26" i="1"/>
  <c r="AJ98" i="1"/>
  <c r="M11" i="1"/>
  <c r="S15" i="1"/>
  <c r="S105" i="1" s="1"/>
  <c r="N19" i="1"/>
  <c r="K20" i="1"/>
  <c r="AA20" i="1" s="1"/>
  <c r="Y20" i="1" s="1"/>
  <c r="M23" i="1"/>
  <c r="M103" i="1" s="1"/>
  <c r="AA66" i="1"/>
  <c r="O7" i="1"/>
  <c r="R7" i="1"/>
  <c r="O11" i="1"/>
  <c r="P19" i="1"/>
  <c r="M66" i="1"/>
  <c r="Z84" i="1"/>
  <c r="Z87" i="1"/>
  <c r="K88" i="1"/>
  <c r="Z97" i="1"/>
  <c r="I107" i="1"/>
  <c r="S94" i="1"/>
  <c r="Q92" i="1"/>
  <c r="G8" i="1"/>
  <c r="H7" i="1"/>
  <c r="S101" i="1"/>
  <c r="N14" i="1"/>
  <c r="S14" i="1"/>
  <c r="M14" i="1"/>
  <c r="O14" i="1"/>
  <c r="R14" i="1"/>
  <c r="Q14" i="1"/>
  <c r="P14" i="1"/>
  <c r="R29" i="1"/>
  <c r="P29" i="1"/>
  <c r="N29" i="1"/>
  <c r="S29" i="1"/>
  <c r="M29" i="1"/>
  <c r="R6" i="1"/>
  <c r="M7" i="1"/>
  <c r="S7" i="1"/>
  <c r="O8" i="1"/>
  <c r="Q9" i="1"/>
  <c r="Q91" i="1" s="1"/>
  <c r="R10" i="1"/>
  <c r="O12" i="1"/>
  <c r="O13" i="1"/>
  <c r="Q15" i="1"/>
  <c r="Q105" i="1" s="1"/>
  <c r="P18" i="1"/>
  <c r="N18" i="1"/>
  <c r="R18" i="1"/>
  <c r="S22" i="1"/>
  <c r="S95" i="1" s="1"/>
  <c r="M22" i="1"/>
  <c r="Q22" i="1"/>
  <c r="Q95" i="1" s="1"/>
  <c r="O22" i="1"/>
  <c r="O95" i="1" s="1"/>
  <c r="Q96" i="1"/>
  <c r="Q103" i="1"/>
  <c r="P27" i="1"/>
  <c r="N27" i="1"/>
  <c r="R27" i="1"/>
  <c r="Q27" i="1"/>
  <c r="Q28" i="1"/>
  <c r="O28" i="1"/>
  <c r="S28" i="1"/>
  <c r="M28" i="1"/>
  <c r="R28" i="1"/>
  <c r="O29" i="1"/>
  <c r="R32" i="1"/>
  <c r="P32" i="1"/>
  <c r="N32" i="1"/>
  <c r="S32" i="1"/>
  <c r="M32" i="1"/>
  <c r="M6" i="1"/>
  <c r="N7" i="1"/>
  <c r="P8" i="1"/>
  <c r="R9" i="1"/>
  <c r="R91" i="1" s="1"/>
  <c r="M10" i="1"/>
  <c r="S10" i="1"/>
  <c r="P12" i="1"/>
  <c r="P13" i="1"/>
  <c r="R15" i="1"/>
  <c r="R105" i="1" s="1"/>
  <c r="M16" i="1"/>
  <c r="O25" i="1"/>
  <c r="S25" i="1"/>
  <c r="AC25" i="1" s="1"/>
  <c r="M25" i="1"/>
  <c r="Q25" i="1"/>
  <c r="M27" i="1"/>
  <c r="N28" i="1"/>
  <c r="Q29" i="1"/>
  <c r="O32" i="1"/>
  <c r="K36" i="1"/>
  <c r="K38" i="1"/>
  <c r="AB61" i="1"/>
  <c r="J41" i="1"/>
  <c r="S16" i="1"/>
  <c r="G48" i="1"/>
  <c r="N6" i="1"/>
  <c r="Q8" i="1"/>
  <c r="N10" i="1"/>
  <c r="Q12" i="1"/>
  <c r="Q13" i="1"/>
  <c r="O16" i="1"/>
  <c r="N31" i="1"/>
  <c r="R31" i="1"/>
  <c r="P31" i="1"/>
  <c r="O31" i="1"/>
  <c r="AA37" i="1"/>
  <c r="Y37" i="1" s="1"/>
  <c r="AI37" i="1"/>
  <c r="K83" i="1"/>
  <c r="H6" i="1"/>
  <c r="O6" i="1"/>
  <c r="P7" i="1"/>
  <c r="R8" i="1"/>
  <c r="O10" i="1"/>
  <c r="R12" i="1"/>
  <c r="R13" i="1"/>
  <c r="O18" i="1"/>
  <c r="S21" i="1"/>
  <c r="AC21" i="1" s="1"/>
  <c r="M21" i="1"/>
  <c r="Q21" i="1"/>
  <c r="O21" i="1"/>
  <c r="P22" i="1"/>
  <c r="P95" i="1" s="1"/>
  <c r="N23" i="1"/>
  <c r="R23" i="1"/>
  <c r="P23" i="1"/>
  <c r="N25" i="1"/>
  <c r="O26" i="1"/>
  <c r="S26" i="1"/>
  <c r="M26" i="1"/>
  <c r="Q26" i="1"/>
  <c r="S27" i="1"/>
  <c r="M31" i="1"/>
  <c r="S33" i="1"/>
  <c r="M33" i="1"/>
  <c r="Q33" i="1"/>
  <c r="O33" i="1"/>
  <c r="N33" i="1"/>
  <c r="AB36" i="1"/>
  <c r="AB38" i="1"/>
  <c r="P16" i="1"/>
  <c r="N16" i="1"/>
  <c r="I41" i="1"/>
  <c r="P6" i="1"/>
  <c r="AG41" i="1"/>
  <c r="F8" i="1"/>
  <c r="M8" i="1"/>
  <c r="M12" i="1"/>
  <c r="M13" i="1"/>
  <c r="R16" i="1"/>
  <c r="O24" i="1"/>
  <c r="S24" i="1"/>
  <c r="AC24" i="1" s="1"/>
  <c r="M24" i="1"/>
  <c r="Q24" i="1"/>
  <c r="P25" i="1"/>
  <c r="R30" i="1"/>
  <c r="P30" i="1"/>
  <c r="N30" i="1"/>
  <c r="S30" i="1"/>
  <c r="M30" i="1"/>
  <c r="Q31" i="1"/>
  <c r="K35" i="1"/>
  <c r="Z104" i="1"/>
  <c r="AB49" i="1"/>
  <c r="K49" i="1"/>
  <c r="R66" i="1"/>
  <c r="AB65" i="1"/>
  <c r="AG65" i="1" s="1"/>
  <c r="Z82" i="1"/>
  <c r="I51" i="1"/>
  <c r="J48" i="1"/>
  <c r="AB58" i="1"/>
  <c r="K58" i="1"/>
  <c r="Z86" i="1"/>
  <c r="Z100" i="1"/>
  <c r="Q19" i="1"/>
  <c r="K60" i="1"/>
  <c r="K73" i="1"/>
  <c r="Z85" i="1"/>
  <c r="P66" i="1"/>
  <c r="K102" i="1"/>
  <c r="AB102" i="1"/>
  <c r="AB107" i="1" s="1"/>
  <c r="M19" i="1"/>
  <c r="K34" i="1"/>
  <c r="Q66" i="1"/>
  <c r="AB59" i="1"/>
  <c r="K62" i="1"/>
  <c r="AB73" i="1"/>
  <c r="AB75" i="1" s="1"/>
  <c r="M75" i="1"/>
  <c r="K100" i="1"/>
  <c r="K82" i="1"/>
  <c r="AG61" i="1" l="1"/>
  <c r="AA39" i="1"/>
  <c r="AI20" i="1"/>
  <c r="Y39" i="1"/>
  <c r="AH39" i="1"/>
  <c r="AJ32" i="1"/>
  <c r="Z105" i="1"/>
  <c r="AG49" i="1"/>
  <c r="AG51" i="1" s="1"/>
  <c r="AB66" i="1"/>
  <c r="S96" i="1"/>
  <c r="O96" i="1"/>
  <c r="AD66" i="1"/>
  <c r="AG60" i="1"/>
  <c r="AG59" i="1"/>
  <c r="AH20" i="1"/>
  <c r="K105" i="1"/>
  <c r="K107" i="1" s="1"/>
  <c r="AJ11" i="1"/>
  <c r="Z91" i="1"/>
  <c r="M96" i="1"/>
  <c r="AB41" i="1"/>
  <c r="AH37" i="1"/>
  <c r="Z63" i="1"/>
  <c r="AG63" i="1" s="1"/>
  <c r="Z15" i="1"/>
  <c r="K11" i="1"/>
  <c r="AG64" i="1"/>
  <c r="K15" i="1"/>
  <c r="K18" i="1"/>
  <c r="AI18" i="1" s="1"/>
  <c r="O92" i="1"/>
  <c r="N101" i="1"/>
  <c r="R92" i="1"/>
  <c r="AE66" i="1"/>
  <c r="AG82" i="1"/>
  <c r="AG107" i="1" s="1"/>
  <c r="Z11" i="1"/>
  <c r="K23" i="1"/>
  <c r="AA23" i="1" s="1"/>
  <c r="Y23" i="1" s="1"/>
  <c r="K21" i="1"/>
  <c r="AJ21" i="1"/>
  <c r="AJ19" i="1"/>
  <c r="K19" i="1"/>
  <c r="K30" i="1"/>
  <c r="AJ30" i="1"/>
  <c r="Z9" i="1"/>
  <c r="R103" i="1"/>
  <c r="R96" i="1"/>
  <c r="P92" i="1"/>
  <c r="Q101" i="1"/>
  <c r="N41" i="1"/>
  <c r="AA38" i="1"/>
  <c r="Y38" i="1" s="1"/>
  <c r="AI38" i="1"/>
  <c r="AJ16" i="1"/>
  <c r="Z16" i="1"/>
  <c r="K16" i="1"/>
  <c r="M41" i="1"/>
  <c r="Z6" i="1"/>
  <c r="AJ6" i="1"/>
  <c r="K6" i="1"/>
  <c r="K32" i="1"/>
  <c r="S92" i="1"/>
  <c r="S41" i="1"/>
  <c r="AI34" i="1"/>
  <c r="AA34" i="1"/>
  <c r="Y34" i="1" s="1"/>
  <c r="O48" i="1"/>
  <c r="O51" i="1" s="1"/>
  <c r="S48" i="1"/>
  <c r="S51" i="1" s="1"/>
  <c r="Q48" i="1"/>
  <c r="Q51" i="1" s="1"/>
  <c r="P48" i="1"/>
  <c r="P51" i="1" s="1"/>
  <c r="N48" i="1"/>
  <c r="N51" i="1" s="1"/>
  <c r="M48" i="1"/>
  <c r="J51" i="1"/>
  <c r="R48" i="1"/>
  <c r="R51" i="1" s="1"/>
  <c r="P103" i="1"/>
  <c r="P96" i="1"/>
  <c r="R94" i="1"/>
  <c r="Q94" i="1"/>
  <c r="K27" i="1"/>
  <c r="AJ27" i="1"/>
  <c r="N92" i="1"/>
  <c r="O94" i="1"/>
  <c r="K75" i="1"/>
  <c r="K77" i="1" s="1"/>
  <c r="AI73" i="1"/>
  <c r="AI75" i="1" s="1"/>
  <c r="AA73" i="1"/>
  <c r="AA75" i="1" s="1"/>
  <c r="AJ24" i="1"/>
  <c r="K24" i="1"/>
  <c r="M94" i="1"/>
  <c r="K8" i="1"/>
  <c r="Z8" i="1"/>
  <c r="AJ26" i="1"/>
  <c r="K26" i="1"/>
  <c r="N96" i="1"/>
  <c r="N103" i="1"/>
  <c r="AJ23" i="1"/>
  <c r="H48" i="1"/>
  <c r="G49" i="1"/>
  <c r="AA36" i="1"/>
  <c r="Y36" i="1" s="1"/>
  <c r="AI36" i="1"/>
  <c r="AJ25" i="1"/>
  <c r="K25" i="1"/>
  <c r="Z10" i="1"/>
  <c r="K10" i="1"/>
  <c r="AJ28" i="1"/>
  <c r="K28" i="1"/>
  <c r="M95" i="1"/>
  <c r="AJ22" i="1"/>
  <c r="K22" i="1"/>
  <c r="O101" i="1"/>
  <c r="M92" i="1"/>
  <c r="Z7" i="1"/>
  <c r="K7" i="1"/>
  <c r="AC29" i="1"/>
  <c r="O41" i="1"/>
  <c r="R41" i="1"/>
  <c r="Z62" i="1"/>
  <c r="F9" i="1"/>
  <c r="AJ33" i="1"/>
  <c r="K33" i="1"/>
  <c r="R101" i="1"/>
  <c r="AJ14" i="1"/>
  <c r="K14" i="1"/>
  <c r="Z14" i="1"/>
  <c r="AB43" i="1" s="1"/>
  <c r="G9" i="1"/>
  <c r="H8" i="1"/>
  <c r="K66" i="1"/>
  <c r="K68" i="1" s="1"/>
  <c r="AG58" i="1"/>
  <c r="M101" i="1"/>
  <c r="AJ13" i="1"/>
  <c r="K13" i="1"/>
  <c r="Z13" i="1"/>
  <c r="AC12" i="1"/>
  <c r="Z12" i="1" s="1"/>
  <c r="AJ15" i="1"/>
  <c r="AJ9" i="1"/>
  <c r="P101" i="1"/>
  <c r="K9" i="1"/>
  <c r="Q41" i="1"/>
  <c r="K29" i="1"/>
  <c r="AJ29" i="1"/>
  <c r="AI35" i="1"/>
  <c r="AA35" i="1"/>
  <c r="Y35" i="1" s="1"/>
  <c r="K12" i="1"/>
  <c r="AJ12" i="1"/>
  <c r="AI12" i="1" s="1"/>
  <c r="P41" i="1"/>
  <c r="K31" i="1"/>
  <c r="P94" i="1"/>
  <c r="K91" i="1"/>
  <c r="AI11" i="1" l="1"/>
  <c r="AH15" i="1"/>
  <c r="K96" i="1"/>
  <c r="Y15" i="1"/>
  <c r="AI15" i="1"/>
  <c r="S107" i="1"/>
  <c r="AH11" i="1"/>
  <c r="Z103" i="1"/>
  <c r="Q107" i="1"/>
  <c r="AH12" i="1"/>
  <c r="Z96" i="1"/>
  <c r="Y11" i="1"/>
  <c r="Z66" i="1"/>
  <c r="AG62" i="1"/>
  <c r="AG66" i="1" s="1"/>
  <c r="AH23" i="1"/>
  <c r="AA18" i="1"/>
  <c r="AH18" i="1" s="1"/>
  <c r="K103" i="1"/>
  <c r="AH38" i="1"/>
  <c r="H9" i="1"/>
  <c r="G10" i="1"/>
  <c r="AI28" i="1"/>
  <c r="AM28" i="1"/>
  <c r="AA27" i="1"/>
  <c r="Y27" i="1" s="1"/>
  <c r="Y13" i="1"/>
  <c r="AH13" i="1"/>
  <c r="R107" i="1"/>
  <c r="Y10" i="1"/>
  <c r="AH10" i="1"/>
  <c r="AI10" i="1"/>
  <c r="AM23" i="1"/>
  <c r="AI23" i="1"/>
  <c r="Y8" i="1"/>
  <c r="AI8" i="1"/>
  <c r="AH8" i="1"/>
  <c r="O107" i="1"/>
  <c r="K41" i="1"/>
  <c r="AH6" i="1"/>
  <c r="Y6" i="1"/>
  <c r="AM19" i="1"/>
  <c r="AI19" i="1"/>
  <c r="AA32" i="1"/>
  <c r="Y32" i="1" s="1"/>
  <c r="AH35" i="1"/>
  <c r="AI29" i="1"/>
  <c r="AM29" i="1"/>
  <c r="AM9" i="1"/>
  <c r="AI9" i="1"/>
  <c r="AI13" i="1"/>
  <c r="AM13" i="1"/>
  <c r="AH7" i="1"/>
  <c r="AI7" i="1"/>
  <c r="Y7" i="1"/>
  <c r="AA22" i="1"/>
  <c r="Y22" i="1" s="1"/>
  <c r="AH36" i="1"/>
  <c r="K94" i="1"/>
  <c r="AH73" i="1"/>
  <c r="AH75" i="1" s="1"/>
  <c r="AJ41" i="1"/>
  <c r="AM6" i="1"/>
  <c r="AI6" i="1"/>
  <c r="AM16" i="1"/>
  <c r="AI16" i="1"/>
  <c r="F10" i="1"/>
  <c r="AJ101" i="1"/>
  <c r="K101" i="1"/>
  <c r="AM22" i="1"/>
  <c r="AI22" i="1"/>
  <c r="H49" i="1"/>
  <c r="G50" i="1"/>
  <c r="H50" i="1" s="1"/>
  <c r="N107" i="1"/>
  <c r="Z41" i="1"/>
  <c r="Y16" i="1"/>
  <c r="AH16" i="1"/>
  <c r="AA19" i="1"/>
  <c r="Y19" i="1" s="1"/>
  <c r="AA29" i="1"/>
  <c r="Y29" i="1" s="1"/>
  <c r="Y14" i="1"/>
  <c r="AH14" i="1"/>
  <c r="AI31" i="1"/>
  <c r="AA31" i="1"/>
  <c r="Y31" i="1" s="1"/>
  <c r="AH31" i="1"/>
  <c r="AC41" i="1"/>
  <c r="Y12" i="1"/>
  <c r="AM14" i="1"/>
  <c r="AI14" i="1"/>
  <c r="AA33" i="1"/>
  <c r="Y33" i="1" s="1"/>
  <c r="K92" i="1"/>
  <c r="M107" i="1"/>
  <c r="K95" i="1"/>
  <c r="Z95" i="1"/>
  <c r="AA25" i="1"/>
  <c r="Y25" i="1" s="1"/>
  <c r="AH25" i="1"/>
  <c r="AA26" i="1"/>
  <c r="Y26" i="1" s="1"/>
  <c r="AA24" i="1"/>
  <c r="Y24" i="1" s="1"/>
  <c r="P107" i="1"/>
  <c r="AI30" i="1"/>
  <c r="AN30" i="1"/>
  <c r="AI21" i="1"/>
  <c r="AN21" i="1"/>
  <c r="Y9" i="1"/>
  <c r="AH9" i="1"/>
  <c r="AN33" i="1"/>
  <c r="AI33" i="1"/>
  <c r="AA28" i="1"/>
  <c r="Y28" i="1" s="1"/>
  <c r="AM25" i="1"/>
  <c r="AI25" i="1"/>
  <c r="AI26" i="1"/>
  <c r="AM26" i="1"/>
  <c r="AI24" i="1"/>
  <c r="AN24" i="1"/>
  <c r="AI27" i="1"/>
  <c r="AN27" i="1"/>
  <c r="AB48" i="1"/>
  <c r="AB51" i="1" s="1"/>
  <c r="M51" i="1"/>
  <c r="AJ48" i="1"/>
  <c r="K48" i="1"/>
  <c r="AH34" i="1"/>
  <c r="AI32" i="1"/>
  <c r="AM32" i="1"/>
  <c r="AA30" i="1"/>
  <c r="Y30" i="1" s="1"/>
  <c r="AA21" i="1"/>
  <c r="Y21" i="1" s="1"/>
  <c r="AH21" i="1"/>
  <c r="Y18" i="1" l="1"/>
  <c r="AH27" i="1"/>
  <c r="AH22" i="1"/>
  <c r="AM41" i="1"/>
  <c r="AM48" i="1"/>
  <c r="AM51" i="1" s="1"/>
  <c r="AJ51" i="1"/>
  <c r="AN41" i="1"/>
  <c r="F11" i="1"/>
  <c r="K51" i="1"/>
  <c r="AA48" i="1"/>
  <c r="AA51" i="1" s="1"/>
  <c r="AI92" i="1"/>
  <c r="Z92" i="1"/>
  <c r="AH92" i="1" s="1"/>
  <c r="AH30" i="1"/>
  <c r="AH26" i="1"/>
  <c r="AH32" i="1"/>
  <c r="AH29" i="1"/>
  <c r="AA41" i="1"/>
  <c r="AH41" i="1" s="1"/>
  <c r="H10" i="1"/>
  <c r="G11" i="1"/>
  <c r="Z101" i="1"/>
  <c r="AH101" i="1" s="1"/>
  <c r="Y101" i="1"/>
  <c r="K43" i="1"/>
  <c r="AH28" i="1"/>
  <c r="AH33" i="1"/>
  <c r="AH24" i="1"/>
  <c r="AH19" i="1"/>
  <c r="AI101" i="1"/>
  <c r="AJ107" i="1"/>
  <c r="Z94" i="1"/>
  <c r="AI94" i="1"/>
  <c r="AH94" i="1"/>
  <c r="AH51" i="1" l="1"/>
  <c r="K53" i="1"/>
  <c r="G12" i="1"/>
  <c r="H11" i="1"/>
  <c r="AG42" i="1"/>
  <c r="Z107" i="1"/>
  <c r="F12" i="1"/>
  <c r="AN42" i="1"/>
  <c r="H12" i="1" l="1"/>
  <c r="G13" i="1"/>
  <c r="F13" i="1"/>
  <c r="F14" i="1" l="1"/>
  <c r="G14" i="1"/>
  <c r="H13" i="1"/>
  <c r="H14" i="1" l="1"/>
  <c r="G15" i="1"/>
  <c r="F15" i="1"/>
  <c r="F16" i="1" l="1"/>
  <c r="H15" i="1"/>
  <c r="G16" i="1"/>
  <c r="F58" i="1" l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G58" i="1"/>
  <c r="G18" i="1"/>
  <c r="H16" i="1"/>
  <c r="F73" i="1" l="1"/>
  <c r="F32" i="1"/>
  <c r="F33" i="1" s="1"/>
  <c r="F34" i="1" s="1"/>
  <c r="F35" i="1" s="1"/>
  <c r="F36" i="1" s="1"/>
  <c r="F37" i="1" s="1"/>
  <c r="F38" i="1" s="1"/>
  <c r="F39" i="1" s="1"/>
  <c r="F59" i="1"/>
  <c r="F60" i="1" s="1"/>
  <c r="F61" i="1" s="1"/>
  <c r="F62" i="1" s="1"/>
  <c r="F63" i="1" s="1"/>
  <c r="F64" i="1" s="1"/>
  <c r="F65" i="1" s="1"/>
  <c r="M57" i="1"/>
  <c r="N57" i="1" s="1"/>
  <c r="O57" i="1" s="1"/>
  <c r="P57" i="1" s="1"/>
  <c r="Q57" i="1" s="1"/>
  <c r="R57" i="1" s="1"/>
  <c r="S57" i="1" s="1"/>
  <c r="G19" i="1"/>
  <c r="H18" i="1"/>
  <c r="G59" i="1"/>
  <c r="H58" i="1"/>
  <c r="H59" i="1" l="1"/>
  <c r="G60" i="1"/>
  <c r="G20" i="1"/>
  <c r="H19" i="1"/>
  <c r="M72" i="1"/>
  <c r="N72" i="1" s="1"/>
  <c r="O72" i="1" s="1"/>
  <c r="P72" i="1" s="1"/>
  <c r="Q72" i="1" s="1"/>
  <c r="R72" i="1" s="1"/>
  <c r="S72" i="1" s="1"/>
  <c r="F82" i="1"/>
  <c r="F74" i="1"/>
  <c r="F83" i="1" l="1"/>
  <c r="F84" i="1" s="1"/>
  <c r="F85" i="1" s="1"/>
  <c r="F86" i="1" s="1"/>
  <c r="F87" i="1" s="1"/>
  <c r="F88" i="1" s="1"/>
  <c r="F90" i="1" s="1"/>
  <c r="M81" i="1"/>
  <c r="N81" i="1" s="1"/>
  <c r="O81" i="1" s="1"/>
  <c r="P81" i="1" s="1"/>
  <c r="Q81" i="1" s="1"/>
  <c r="R81" i="1" s="1"/>
  <c r="S81" i="1" s="1"/>
  <c r="G61" i="1"/>
  <c r="H60" i="1"/>
  <c r="G21" i="1"/>
  <c r="H20" i="1"/>
  <c r="G62" i="1" l="1"/>
  <c r="H61" i="1"/>
  <c r="H21" i="1"/>
  <c r="G22" i="1"/>
  <c r="F91" i="1"/>
  <c r="F92" i="1"/>
  <c r="F94" i="1" l="1"/>
  <c r="F96" i="1" s="1"/>
  <c r="F98" i="1" s="1"/>
  <c r="F100" i="1" s="1"/>
  <c r="F102" i="1" s="1"/>
  <c r="F104" i="1" s="1"/>
  <c r="F93" i="1"/>
  <c r="F95" i="1" s="1"/>
  <c r="F97" i="1" s="1"/>
  <c r="F99" i="1" s="1"/>
  <c r="F101" i="1" s="1"/>
  <c r="F103" i="1" s="1"/>
  <c r="F105" i="1" s="1"/>
  <c r="G23" i="1"/>
  <c r="H22" i="1"/>
  <c r="G63" i="1"/>
  <c r="H62" i="1"/>
  <c r="G64" i="1" l="1"/>
  <c r="H63" i="1"/>
  <c r="G24" i="1"/>
  <c r="H23" i="1"/>
  <c r="H24" i="1" l="1"/>
  <c r="G25" i="1"/>
  <c r="G65" i="1"/>
  <c r="H65" i="1" s="1"/>
  <c r="H64" i="1"/>
  <c r="H25" i="1" l="1"/>
  <c r="G26" i="1"/>
  <c r="H26" i="1" l="1"/>
  <c r="G27" i="1"/>
  <c r="H27" i="1" l="1"/>
  <c r="G28" i="1"/>
  <c r="G34" i="1" l="1"/>
  <c r="H34" i="1" s="1"/>
  <c r="H28" i="1"/>
  <c r="G29" i="1"/>
  <c r="G30" i="1" l="1"/>
  <c r="H29" i="1"/>
  <c r="G31" i="1" l="1"/>
  <c r="H30" i="1"/>
  <c r="G73" i="1" l="1"/>
  <c r="G35" i="1"/>
  <c r="G32" i="1"/>
  <c r="H31" i="1"/>
  <c r="G82" i="1" l="1"/>
  <c r="G74" i="1"/>
  <c r="H73" i="1"/>
  <c r="G37" i="1"/>
  <c r="G33" i="1"/>
  <c r="H32" i="1"/>
  <c r="G36" i="1"/>
  <c r="H36" i="1" s="1"/>
  <c r="H35" i="1"/>
  <c r="H33" i="1" l="1"/>
  <c r="G39" i="1"/>
  <c r="H39" i="1" s="1"/>
  <c r="G38" i="1"/>
  <c r="H38" i="1" s="1"/>
  <c r="H37" i="1"/>
  <c r="G83" i="1"/>
  <c r="H82" i="1"/>
  <c r="G84" i="1" l="1"/>
  <c r="H83" i="1"/>
  <c r="G85" i="1" l="1"/>
  <c r="H84" i="1"/>
  <c r="G86" i="1" l="1"/>
  <c r="H85" i="1"/>
  <c r="G90" i="1" l="1"/>
  <c r="G87" i="1"/>
  <c r="H86" i="1"/>
  <c r="H87" i="1" l="1"/>
  <c r="G88" i="1"/>
  <c r="G94" i="1"/>
  <c r="G91" i="1"/>
  <c r="H90" i="1"/>
  <c r="G92" i="1" l="1"/>
  <c r="H88" i="1"/>
  <c r="G95" i="1"/>
  <c r="H91" i="1"/>
  <c r="G98" i="1"/>
  <c r="H94" i="1"/>
  <c r="H98" i="1" l="1"/>
  <c r="G102" i="1"/>
  <c r="H102" i="1" s="1"/>
  <c r="G99" i="1"/>
  <c r="H95" i="1"/>
  <c r="G96" i="1"/>
  <c r="H92" i="1"/>
  <c r="G93" i="1"/>
  <c r="G100" i="1" l="1"/>
  <c r="H96" i="1"/>
  <c r="G103" i="1"/>
  <c r="H103" i="1" s="1"/>
  <c r="H99" i="1"/>
  <c r="H93" i="1"/>
  <c r="G97" i="1"/>
  <c r="G101" i="1" l="1"/>
  <c r="H97" i="1"/>
  <c r="G104" i="1"/>
  <c r="H104" i="1" s="1"/>
  <c r="H100" i="1"/>
  <c r="G105" i="1" l="1"/>
  <c r="H101" i="1"/>
  <c r="H10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Danyael Brand</author>
    <author>tc={7B342FA3-4D1C-4EDD-AD37-EC4A79A3854F}</author>
    <author>tc={6D01B7C8-38AC-4868-BDF7-76CCCC8582B9}</author>
    <author>tc={4578C327-326B-408E-B833-B623179DC34C}</author>
    <author>tc={1EF62A24-7DD2-4511-BF65-2A341BA2E0AC}</author>
  </authors>
  <commentList>
    <comment ref="AK21" authorId="0" shapeId="0" xr:uid="{2AABBA70-D690-48C1-B709-CB8CB91F9A38}">
      <text>
        <r>
          <rPr>
            <b/>
            <sz val="9"/>
            <color rgb="FF000000"/>
            <rFont val="Tahoma"/>
            <family val="2"/>
          </rPr>
          <t>Danyael Brand: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10%</t>
        </r>
      </text>
    </comment>
    <comment ref="AO22" authorId="1" shapeId="0" xr:uid="{7B342FA3-4D1C-4EDD-AD37-EC4A79A385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	2 Person
Monthly Premium	$  1,874.28 
Phish Pays$     937.14 
Chargeback Per month$     937.14 
Chargeback Per Week$     216.26 
</t>
      </text>
    </comment>
    <comment ref="AO24" authorId="2" shapeId="0" xr:uid="{6D01B7C8-38AC-4868-BDF7-76CCCC8582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	2 Person
Monthly Premium	$  1,874.28 
Phish Pays$     937.14 
Chargeback Per month$     937.14 
Chargeback Per Week$     216.26 
</t>
      </text>
    </comment>
    <comment ref="AO30" authorId="3" shapeId="0" xr:uid="{4578C327-326B-408E-B833-B623179DC3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	Parent/Child
Monthly Premium	$  1,808.68
Phish Pays$     937.14 
Chargeback Per month$     871.54
Chargeback Per Week$     201.12 
</t>
      </text>
    </comment>
    <comment ref="U62" authorId="4" shapeId="0" xr:uid="{1EF62A24-7DD2-4511-BF65-2A341BA2E0AC}">
      <text>
        <t>[Threaded comment]
Your version of Excel allows you to read this threaded comment; however, any edits to it will get removed if the file is opened in a newer version of Excel. Learn more: https://go.microsoft.com/fwlink/?linkid=870924
Comment:
    Airfare</t>
      </text>
    </comment>
  </commentList>
</comments>
</file>

<file path=xl/sharedStrings.xml><?xml version="1.0" encoding="utf-8"?>
<sst xmlns="http://schemas.openxmlformats.org/spreadsheetml/2006/main" count="597" uniqueCount="269">
  <si>
    <t>W-2 Box 12 B Code D</t>
  </si>
  <si>
    <t>W-2 Box 12  Code AA</t>
  </si>
  <si>
    <t>Reduce Wages but  not on w-2 Caf 125</t>
  </si>
  <si>
    <t>Mexico 2025</t>
  </si>
  <si>
    <t>1=401 Reg</t>
  </si>
  <si>
    <t>EFFECTIVE 4/1/2024</t>
  </si>
  <si>
    <t>EFFECTIVE 5/1/2024</t>
  </si>
  <si>
    <t>Home State</t>
  </si>
  <si>
    <t>COST CODE</t>
  </si>
  <si>
    <t>2= ROTH 401K</t>
  </si>
  <si>
    <t>PHISH</t>
  </si>
  <si>
    <t>Off Tour 100%</t>
  </si>
  <si>
    <t>NON TAXABLE</t>
  </si>
  <si>
    <t>NON-TAXABLE</t>
  </si>
  <si>
    <t>TAXABLE</t>
  </si>
  <si>
    <t>Last Name</t>
  </si>
  <si>
    <t>First Name</t>
  </si>
  <si>
    <t>Title</t>
  </si>
  <si>
    <t>SS</t>
  </si>
  <si>
    <t>H.S.</t>
  </si>
  <si>
    <t>Start Date</t>
  </si>
  <si>
    <t>End Date</t>
  </si>
  <si>
    <t>#Days</t>
  </si>
  <si>
    <t>Weekly/On</t>
  </si>
  <si>
    <t>Weekly/Off</t>
  </si>
  <si>
    <t>Pay for Week Including PD and Reimb</t>
  </si>
  <si>
    <t>Expense Deduction /Addition</t>
  </si>
  <si>
    <t>Per Diem</t>
  </si>
  <si>
    <t>Notes</t>
  </si>
  <si>
    <t>Overhead</t>
  </si>
  <si>
    <t>Retainer</t>
  </si>
  <si>
    <t>Spring 2025</t>
  </si>
  <si>
    <t>Summer 2025</t>
  </si>
  <si>
    <t>Name</t>
  </si>
  <si>
    <t>Reimb/PD</t>
  </si>
  <si>
    <t>Wages for 401K</t>
  </si>
  <si>
    <t>Rate</t>
  </si>
  <si>
    <t>Type</t>
  </si>
  <si>
    <t>401 K •	Pre-Tax Deferrals</t>
  </si>
  <si>
    <t>401 K•	Roth Deferrals</t>
  </si>
  <si>
    <t>INSURANCE DEDUCTION</t>
  </si>
  <si>
    <t>Ronald</t>
  </si>
  <si>
    <t>Temp Bass Tech</t>
  </si>
  <si>
    <t>CA</t>
  </si>
  <si>
    <t>Mark</t>
  </si>
  <si>
    <t>Monitor Technician</t>
  </si>
  <si>
    <t>PA</t>
  </si>
  <si>
    <t>Garry</t>
  </si>
  <si>
    <t>FOH Audio</t>
  </si>
  <si>
    <t>Abby</t>
  </si>
  <si>
    <t>Prod Asst</t>
  </si>
  <si>
    <t>NY</t>
  </si>
  <si>
    <t>Christopher</t>
  </si>
  <si>
    <t>Lighting Director</t>
  </si>
  <si>
    <t>FL</t>
  </si>
  <si>
    <t>Edmund</t>
  </si>
  <si>
    <t>Key Board Tech</t>
  </si>
  <si>
    <t>Jesse</t>
  </si>
  <si>
    <t>Production Manager</t>
  </si>
  <si>
    <t>MI</t>
  </si>
  <si>
    <t>Justin</t>
  </si>
  <si>
    <t>Trey's Guitar Tech</t>
  </si>
  <si>
    <t>TN</t>
  </si>
  <si>
    <t>James</t>
  </si>
  <si>
    <t>Jon's Percussion Tech</t>
  </si>
  <si>
    <t>WI</t>
  </si>
  <si>
    <t>Stephanie</t>
  </si>
  <si>
    <t>Tour Accountant</t>
  </si>
  <si>
    <t>Meagan</t>
  </si>
  <si>
    <t>All Home State</t>
  </si>
  <si>
    <t>Bryan</t>
  </si>
  <si>
    <t>Tour Manager</t>
  </si>
  <si>
    <t>David</t>
  </si>
  <si>
    <t>Motion Tech</t>
  </si>
  <si>
    <t>Daniel</t>
  </si>
  <si>
    <t>VT</t>
  </si>
  <si>
    <t>Chelsea</t>
  </si>
  <si>
    <t>Production Coordinator</t>
  </si>
  <si>
    <t>CO</t>
  </si>
  <si>
    <t>Knute</t>
  </si>
  <si>
    <t>Security</t>
  </si>
  <si>
    <t>Robert</t>
  </si>
  <si>
    <t>Addl monitor technician</t>
  </si>
  <si>
    <t>Davis</t>
  </si>
  <si>
    <t>Kieran</t>
  </si>
  <si>
    <t>Head Rigger</t>
  </si>
  <si>
    <t>Kira</t>
  </si>
  <si>
    <t>Ticketing</t>
  </si>
  <si>
    <t>Andrew</t>
  </si>
  <si>
    <t>Lighting Programmer</t>
  </si>
  <si>
    <t>Ricardo</t>
  </si>
  <si>
    <t>Security 2</t>
  </si>
  <si>
    <t>TX</t>
  </si>
  <si>
    <t>Glenn</t>
  </si>
  <si>
    <t>Rigger 2</t>
  </si>
  <si>
    <t>IN</t>
  </si>
  <si>
    <t>Catering Coord</t>
  </si>
  <si>
    <t>Keith</t>
  </si>
  <si>
    <t>Automation 2nd</t>
  </si>
  <si>
    <t>Madison</t>
  </si>
  <si>
    <t>Automation crew chief</t>
  </si>
  <si>
    <t>WA</t>
  </si>
  <si>
    <t>Lindsay</t>
  </si>
  <si>
    <t>Amber</t>
  </si>
  <si>
    <t>Allan (AJ)</t>
  </si>
  <si>
    <t>NYC</t>
  </si>
  <si>
    <t>Mitchell</t>
  </si>
  <si>
    <t>Jeff</t>
  </si>
  <si>
    <t>Drum Tech</t>
  </si>
  <si>
    <t>Axel</t>
  </si>
  <si>
    <t xml:space="preserve">        TOTAL PAYROLL</t>
  </si>
  <si>
    <t>Proof</t>
  </si>
  <si>
    <t>PHISH MAIL ORDER INC-MERCH</t>
  </si>
  <si>
    <t xml:space="preserve">Merch Truck </t>
  </si>
  <si>
    <t>KY</t>
  </si>
  <si>
    <t>Drew</t>
  </si>
  <si>
    <t>Merch Driver</t>
  </si>
  <si>
    <t>ALL HOME STATE</t>
  </si>
  <si>
    <t>Anthony</t>
  </si>
  <si>
    <t>Merch Assist</t>
  </si>
  <si>
    <t>PHISH MAIL ORDER INC-WWF</t>
  </si>
  <si>
    <t>Matthew</t>
  </si>
  <si>
    <t>WWF</t>
  </si>
  <si>
    <t>VA</t>
  </si>
  <si>
    <t>Esther</t>
  </si>
  <si>
    <t>Ollie</t>
  </si>
  <si>
    <t>Vinny</t>
  </si>
  <si>
    <t>Dawn</t>
  </si>
  <si>
    <t>Mike Gordon</t>
  </si>
  <si>
    <t>Ally Coalition</t>
  </si>
  <si>
    <t>PDS/Reimb</t>
  </si>
  <si>
    <t>Acousic 2025</t>
  </si>
  <si>
    <t>Cyro</t>
  </si>
  <si>
    <t>Band</t>
  </si>
  <si>
    <t>NJ</t>
  </si>
  <si>
    <t>Jenn</t>
  </si>
  <si>
    <t>Natalie</t>
  </si>
  <si>
    <t>Derzon</t>
  </si>
  <si>
    <t>Russ</t>
  </si>
  <si>
    <t>Ray</t>
  </si>
  <si>
    <t>Jon</t>
  </si>
  <si>
    <t>Replacement Sax</t>
  </si>
  <si>
    <t>NC</t>
  </si>
  <si>
    <t>UNI</t>
  </si>
  <si>
    <t>xxx-xx-9111</t>
  </si>
  <si>
    <t>xxx-xx-6222</t>
  </si>
  <si>
    <t>xxx-xx-8333</t>
  </si>
  <si>
    <t>xxx-xx-2444</t>
  </si>
  <si>
    <t>xxx-xx-9555</t>
  </si>
  <si>
    <t>xxx-xx-7666</t>
  </si>
  <si>
    <t>xxx-xx-9777</t>
  </si>
  <si>
    <t>xxx-xx-5888</t>
  </si>
  <si>
    <t>xxx-xx-0999</t>
  </si>
  <si>
    <t>xxx-xx-4000</t>
  </si>
  <si>
    <t>xxx-xx-7111</t>
  </si>
  <si>
    <t>xxx-xx-3222</t>
  </si>
  <si>
    <t>xxx-xx-9333</t>
  </si>
  <si>
    <t>xxx-xx-7444</t>
  </si>
  <si>
    <t>xxx-xx-4555</t>
  </si>
  <si>
    <t>xxx-xx-2666</t>
  </si>
  <si>
    <t>xxx-xx-6777</t>
  </si>
  <si>
    <t>xxx-xx-2888</t>
  </si>
  <si>
    <t>xxx-xx-7999</t>
  </si>
  <si>
    <t>xxx-xx-4001</t>
  </si>
  <si>
    <t>xxx-xx-0111</t>
  </si>
  <si>
    <t>xxx-xx-5222</t>
  </si>
  <si>
    <t>xxx-xx-4333</t>
  </si>
  <si>
    <t>xxx-xx-3444</t>
  </si>
  <si>
    <t>xxx-xx-4556</t>
  </si>
  <si>
    <t>xxx-xx-7566</t>
  </si>
  <si>
    <t>xxx-xx-0777</t>
  </si>
  <si>
    <t>xxx-xx-7888</t>
  </si>
  <si>
    <t>xxx-xx-2999</t>
  </si>
  <si>
    <t>xxx-xx-1000</t>
  </si>
  <si>
    <t>xxx-xx-4111</t>
  </si>
  <si>
    <t>xxx-xx-1222</t>
  </si>
  <si>
    <t xml:space="preserve">xxx-xx-7002 </t>
  </si>
  <si>
    <t>xxx-xx-8003</t>
  </si>
  <si>
    <t>xxx-xx-3004</t>
  </si>
  <si>
    <t>Smith</t>
  </si>
  <si>
    <t>Johnson</t>
  </si>
  <si>
    <t>Williams</t>
  </si>
  <si>
    <t>Jones</t>
  </si>
  <si>
    <t>Garcia</t>
  </si>
  <si>
    <t>Miller</t>
  </si>
  <si>
    <t>Rodriguez</t>
  </si>
  <si>
    <t>Martinez</t>
  </si>
  <si>
    <t>Hernandez</t>
  </si>
  <si>
    <t>Lopez</t>
  </si>
  <si>
    <t>Gonzalez</t>
  </si>
  <si>
    <t>Anderson</t>
  </si>
  <si>
    <t>Thomas</t>
  </si>
  <si>
    <t>Taylor</t>
  </si>
  <si>
    <t>Jackson</t>
  </si>
  <si>
    <t>Martin</t>
  </si>
  <si>
    <t>xxx-xx-8001</t>
  </si>
  <si>
    <t>xxx-xx-8002</t>
  </si>
  <si>
    <t>xxx-xx-3003</t>
  </si>
  <si>
    <t>xxx-xx-5004</t>
  </si>
  <si>
    <t>xxx-xx-1005</t>
  </si>
  <si>
    <t>xxx-xx-2006</t>
  </si>
  <si>
    <t>xxx-xx-7007</t>
  </si>
  <si>
    <t>xxx-xx-6008</t>
  </si>
  <si>
    <t>xxx-xx-6009</t>
  </si>
  <si>
    <t>xxx-xx-7011</t>
  </si>
  <si>
    <t>xxx-xx-8012</t>
  </si>
  <si>
    <t>xxx-xx-6013</t>
  </si>
  <si>
    <t>xxx-xx-2014</t>
  </si>
  <si>
    <t>xxx-xx-2015</t>
  </si>
  <si>
    <t>xxx-xx-7016</t>
  </si>
  <si>
    <t>xxx-xx-6017</t>
  </si>
  <si>
    <t>xxx-xx-1018</t>
  </si>
  <si>
    <t>xxx-xx-1019</t>
  </si>
  <si>
    <t>xxx-xx-6020</t>
  </si>
  <si>
    <t>xxx-xx-2021</t>
  </si>
  <si>
    <t>xxx-xx-2022</t>
  </si>
  <si>
    <t>xxx-xx-7023</t>
  </si>
  <si>
    <t>xxx-xx-2024</t>
  </si>
  <si>
    <t>xxx-xx-2025</t>
  </si>
  <si>
    <t>xxx-xx-2026</t>
  </si>
  <si>
    <t>xxx-xx-2027</t>
  </si>
  <si>
    <t>xxx-xx-0028</t>
  </si>
  <si>
    <t>xxx-xx-0029</t>
  </si>
  <si>
    <t>Lee</t>
  </si>
  <si>
    <t>Perez</t>
  </si>
  <si>
    <t>Thompson</t>
  </si>
  <si>
    <t>White</t>
  </si>
  <si>
    <t>Harris</t>
  </si>
  <si>
    <t>Sanchez</t>
  </si>
  <si>
    <t>Clark</t>
  </si>
  <si>
    <t>Ramirez</t>
  </si>
  <si>
    <t>Lewis</t>
  </si>
  <si>
    <t>Robinson</t>
  </si>
  <si>
    <t>Walker</t>
  </si>
  <si>
    <t>Young</t>
  </si>
  <si>
    <t>Allen</t>
  </si>
  <si>
    <t>King</t>
  </si>
  <si>
    <t>Wright</t>
  </si>
  <si>
    <t>Scott</t>
  </si>
  <si>
    <t>Torres</t>
  </si>
  <si>
    <t>Nguyen</t>
  </si>
  <si>
    <t>Hill</t>
  </si>
  <si>
    <t>Flores</t>
  </si>
  <si>
    <t>Green</t>
  </si>
  <si>
    <t>Adams</t>
  </si>
  <si>
    <t>Nelson</t>
  </si>
  <si>
    <t>Baker</t>
  </si>
  <si>
    <t>Hall</t>
  </si>
  <si>
    <t>Rivera</t>
  </si>
  <si>
    <t>Campbell</t>
  </si>
  <si>
    <t>Carter</t>
  </si>
  <si>
    <t>Roberts</t>
  </si>
  <si>
    <t>Phillips</t>
  </si>
  <si>
    <t>Evans</t>
  </si>
  <si>
    <t>Turner</t>
  </si>
  <si>
    <t>Morris</t>
  </si>
  <si>
    <t>Morales</t>
  </si>
  <si>
    <t>Diaz</t>
  </si>
  <si>
    <t>Parker</t>
  </si>
  <si>
    <t>Cruz</t>
  </si>
  <si>
    <t>Edwards</t>
  </si>
  <si>
    <t>Collins</t>
  </si>
  <si>
    <t>Reyes</t>
  </si>
  <si>
    <t>Ortiz</t>
  </si>
  <si>
    <t>Morgan</t>
  </si>
  <si>
    <t>Cooper</t>
  </si>
  <si>
    <t>Peterson</t>
  </si>
  <si>
    <t>Bailey</t>
  </si>
  <si>
    <t>PAAA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</si>
</sst>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sz val="9"/>
      <color rgb="FFFF0000"/>
      <name val="Times New Roman"/>
      <family val="1"/>
    </font>
    <font>
      <sz val="9"/>
      <color theme="1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72">
    <xf numFmtId="0" fontId="0" fillId="0" borderId="0" xfId="0"/>
    <xf numFmtId="44" fontId="2" fillId="0" borderId="0" xfId="2" applyFont="1" applyFill="1"/>
    <xf numFmtId="44" fontId="2" fillId="0" borderId="0" xfId="2" applyFont="1" applyFill="1" applyBorder="1"/>
    <xf numFmtId="44" fontId="2" fillId="0" borderId="1" xfId="2" applyFont="1" applyFill="1" applyBorder="1"/>
    <xf numFmtId="44" fontId="2" fillId="0" borderId="2" xfId="2" applyFont="1" applyFill="1" applyBorder="1"/>
    <xf numFmtId="44" fontId="2" fillId="0" borderId="3" xfId="2" applyFont="1" applyFill="1" applyBorder="1"/>
    <xf numFmtId="44" fontId="2" fillId="0" borderId="0" xfId="2" applyFont="1" applyFill="1" applyProtection="1">
      <protection locked="0"/>
    </xf>
    <xf numFmtId="44" fontId="2" fillId="0" borderId="1" xfId="2" applyFont="1" applyFill="1" applyBorder="1" applyAlignment="1">
      <alignment wrapText="1"/>
    </xf>
    <xf numFmtId="44" fontId="2" fillId="0" borderId="4" xfId="2" quotePrefix="1" applyFont="1" applyFill="1" applyBorder="1" applyAlignment="1">
      <alignment horizontal="center"/>
    </xf>
    <xf numFmtId="44" fontId="3" fillId="0" borderId="4" xfId="2" applyFont="1" applyFill="1" applyBorder="1"/>
    <xf numFmtId="44" fontId="2" fillId="0" borderId="0" xfId="2" quotePrefix="1" applyFont="1" applyFill="1" applyAlignment="1">
      <alignment horizontal="center"/>
    </xf>
    <xf numFmtId="44" fontId="2" fillId="0" borderId="1" xfId="2" quotePrefix="1" applyFont="1" applyFill="1" applyBorder="1" applyAlignment="1">
      <alignment horizontal="center"/>
    </xf>
    <xf numFmtId="44" fontId="2" fillId="0" borderId="2" xfId="2" applyFont="1" applyFill="1" applyBorder="1" applyAlignment="1">
      <alignment horizontal="center"/>
    </xf>
    <xf numFmtId="44" fontId="2" fillId="0" borderId="5" xfId="2" applyFont="1" applyFill="1" applyBorder="1"/>
    <xf numFmtId="44" fontId="2" fillId="0" borderId="0" xfId="2" quotePrefix="1" applyFont="1" applyFill="1" applyBorder="1"/>
    <xf numFmtId="0" fontId="2" fillId="0" borderId="4" xfId="0" applyFont="1" applyBorder="1" applyAlignment="1" applyProtection="1">
      <alignment horizontal="center" wrapText="1" readingOrder="1"/>
      <protection locked="0"/>
    </xf>
    <xf numFmtId="44" fontId="2" fillId="0" borderId="0" xfId="2" applyFont="1" applyFill="1" applyAlignment="1">
      <alignment horizontal="center"/>
    </xf>
    <xf numFmtId="44" fontId="2" fillId="0" borderId="5" xfId="2" applyFont="1" applyFill="1" applyBorder="1" applyAlignment="1">
      <alignment horizontal="center"/>
    </xf>
    <xf numFmtId="44" fontId="2" fillId="0" borderId="6" xfId="2" applyFont="1" applyFill="1" applyBorder="1" applyAlignment="1">
      <alignment horizontal="center"/>
    </xf>
    <xf numFmtId="44" fontId="2" fillId="0" borderId="6" xfId="2" applyFont="1" applyFill="1" applyBorder="1"/>
    <xf numFmtId="0" fontId="2" fillId="0" borderId="7" xfId="0" applyFont="1" applyBorder="1" applyAlignment="1" applyProtection="1">
      <alignment horizontal="center" wrapText="1" readingOrder="1"/>
      <protection locked="0"/>
    </xf>
    <xf numFmtId="0" fontId="2" fillId="0" borderId="8" xfId="0" applyFont="1" applyBorder="1" applyAlignment="1" applyProtection="1">
      <alignment horizontal="center" wrapText="1" readingOrder="1"/>
      <protection locked="0"/>
    </xf>
    <xf numFmtId="44" fontId="2" fillId="0" borderId="0" xfId="2" applyFont="1" applyFill="1" applyBorder="1" applyAlignment="1">
      <alignment horizontal="center" wrapText="1"/>
    </xf>
    <xf numFmtId="164" fontId="4" fillId="0" borderId="4" xfId="2" applyNumberFormat="1" applyFont="1" applyFill="1" applyBorder="1" applyAlignment="1">
      <alignment horizontal="center" wrapText="1"/>
    </xf>
    <xf numFmtId="44" fontId="2" fillId="0" borderId="0" xfId="2" applyFont="1" applyFill="1" applyAlignment="1">
      <alignment horizontal="center" wrapText="1"/>
    </xf>
    <xf numFmtId="44" fontId="2" fillId="0" borderId="0" xfId="2" applyFont="1" applyFill="1" applyAlignment="1" applyProtection="1">
      <alignment wrapText="1"/>
      <protection locked="0"/>
    </xf>
    <xf numFmtId="0" fontId="3" fillId="0" borderId="7" xfId="0" applyFont="1" applyBorder="1" applyAlignment="1" applyProtection="1">
      <alignment horizontal="left" vertical="center" wrapText="1" readingOrder="1"/>
      <protection locked="0"/>
    </xf>
    <xf numFmtId="164" fontId="3" fillId="0" borderId="7" xfId="0" applyNumberFormat="1" applyFont="1" applyBorder="1" applyAlignment="1" applyProtection="1">
      <alignment horizontal="center" vertical="center" wrapText="1" readingOrder="1"/>
      <protection locked="0"/>
    </xf>
    <xf numFmtId="0" fontId="3" fillId="0" borderId="7" xfId="0" applyFont="1" applyBorder="1" applyAlignment="1" applyProtection="1">
      <alignment horizontal="center" vertical="center" wrapText="1" readingOrder="1"/>
      <protection locked="0"/>
    </xf>
    <xf numFmtId="44" fontId="3" fillId="0" borderId="7" xfId="2" applyFont="1" applyFill="1" applyBorder="1" applyAlignment="1" applyProtection="1">
      <alignment vertical="center" wrapText="1" readingOrder="1"/>
      <protection locked="0"/>
    </xf>
    <xf numFmtId="44" fontId="3" fillId="0" borderId="8" xfId="2" applyFont="1" applyFill="1" applyBorder="1" applyAlignment="1" applyProtection="1">
      <alignment vertical="center" wrapText="1" readingOrder="1"/>
      <protection locked="0"/>
    </xf>
    <xf numFmtId="44" fontId="3" fillId="0" borderId="4" xfId="2" applyFont="1" applyFill="1" applyBorder="1" applyAlignment="1" applyProtection="1">
      <alignment vertical="center" wrapText="1" readingOrder="1"/>
      <protection locked="0"/>
    </xf>
    <xf numFmtId="44" fontId="2" fillId="0" borderId="0" xfId="2" applyFont="1" applyFill="1" applyBorder="1" applyAlignment="1">
      <alignment horizontal="center"/>
    </xf>
    <xf numFmtId="44" fontId="3" fillId="0" borderId="9" xfId="2" applyFont="1" applyFill="1" applyBorder="1" applyAlignment="1" applyProtection="1">
      <alignment vertical="center" wrapText="1" readingOrder="1"/>
      <protection locked="0"/>
    </xf>
    <xf numFmtId="44" fontId="2" fillId="2" borderId="10" xfId="2" applyFont="1" applyFill="1" applyBorder="1"/>
    <xf numFmtId="9" fontId="3" fillId="0" borderId="4" xfId="3" applyFont="1" applyFill="1" applyBorder="1" applyAlignment="1" applyProtection="1">
      <alignment vertical="center" wrapText="1" readingOrder="1"/>
      <protection locked="0"/>
    </xf>
    <xf numFmtId="165" fontId="3" fillId="0" borderId="4" xfId="1" applyNumberFormat="1" applyFont="1" applyFill="1" applyBorder="1" applyAlignment="1" applyProtection="1">
      <alignment vertical="center" wrapText="1" readingOrder="1"/>
      <protection locked="0"/>
    </xf>
    <xf numFmtId="44" fontId="2" fillId="0" borderId="10" xfId="2" applyFont="1" applyFill="1" applyBorder="1"/>
    <xf numFmtId="44" fontId="2" fillId="0" borderId="11" xfId="2" applyFont="1" applyFill="1" applyBorder="1"/>
    <xf numFmtId="44" fontId="2" fillId="0" borderId="12" xfId="2" applyFont="1" applyFill="1" applyBorder="1" applyProtection="1">
      <protection locked="0"/>
    </xf>
    <xf numFmtId="0" fontId="3" fillId="0" borderId="13" xfId="0" applyFont="1" applyBorder="1" applyAlignment="1" applyProtection="1">
      <alignment horizontal="left" vertical="center" wrapText="1" readingOrder="1"/>
      <protection locked="0"/>
    </xf>
    <xf numFmtId="164" fontId="3" fillId="0" borderId="13" xfId="0" applyNumberFormat="1" applyFont="1" applyBorder="1" applyAlignment="1" applyProtection="1">
      <alignment horizontal="center" vertical="center" wrapText="1" readingOrder="1"/>
      <protection locked="0"/>
    </xf>
    <xf numFmtId="0" fontId="3" fillId="0" borderId="13" xfId="0" applyFont="1" applyBorder="1" applyAlignment="1" applyProtection="1">
      <alignment horizontal="center" vertical="center" wrapText="1" readingOrder="1"/>
      <protection locked="0"/>
    </xf>
    <xf numFmtId="44" fontId="5" fillId="0" borderId="13" xfId="2" applyFont="1" applyFill="1" applyBorder="1" applyAlignment="1" applyProtection="1">
      <alignment vertical="center" wrapText="1" readingOrder="1"/>
      <protection locked="0"/>
    </xf>
    <xf numFmtId="44" fontId="5" fillId="0" borderId="14" xfId="2" applyFont="1" applyFill="1" applyBorder="1" applyAlignment="1" applyProtection="1">
      <alignment vertical="center" wrapText="1" readingOrder="1"/>
      <protection locked="0"/>
    </xf>
    <xf numFmtId="44" fontId="3" fillId="0" borderId="15" xfId="2" applyFont="1" applyFill="1" applyBorder="1" applyAlignment="1" applyProtection="1">
      <alignment vertical="center" wrapText="1" readingOrder="1"/>
      <protection locked="0"/>
    </xf>
    <xf numFmtId="44" fontId="2" fillId="0" borderId="16" xfId="2" applyFont="1" applyFill="1" applyBorder="1"/>
    <xf numFmtId="44" fontId="3" fillId="0" borderId="4" xfId="2" applyFont="1" applyFill="1" applyBorder="1" applyAlignment="1" applyProtection="1">
      <alignment horizontal="center" vertical="center" wrapText="1" readingOrder="1"/>
      <protection locked="0"/>
    </xf>
    <xf numFmtId="0" fontId="3" fillId="0" borderId="4" xfId="0" applyFont="1" applyBorder="1" applyAlignment="1" applyProtection="1">
      <alignment horizontal="left" vertical="center" wrapText="1" readingOrder="1"/>
      <protection locked="0"/>
    </xf>
    <xf numFmtId="164" fontId="3" fillId="0" borderId="4" xfId="0" applyNumberFormat="1" applyFont="1" applyBorder="1" applyAlignment="1" applyProtection="1">
      <alignment horizontal="center" vertical="center" wrapText="1" readingOrder="1"/>
      <protection locked="0"/>
    </xf>
    <xf numFmtId="0" fontId="3" fillId="0" borderId="4" xfId="0" applyFont="1" applyBorder="1" applyAlignment="1" applyProtection="1">
      <alignment horizontal="center" vertical="center" wrapText="1" readingOrder="1"/>
      <protection locked="0"/>
    </xf>
    <xf numFmtId="44" fontId="2" fillId="0" borderId="4" xfId="2" applyFont="1" applyFill="1" applyBorder="1"/>
    <xf numFmtId="44" fontId="3" fillId="0" borderId="0" xfId="2" applyFont="1" applyFill="1" applyBorder="1" applyAlignment="1" applyProtection="1">
      <alignment vertical="center" wrapText="1" readingOrder="1"/>
      <protection locked="0"/>
    </xf>
    <xf numFmtId="0" fontId="3" fillId="0" borderId="17" xfId="0" applyFont="1" applyBorder="1" applyAlignment="1" applyProtection="1">
      <alignment horizontal="left" vertical="center" wrapText="1" readingOrder="1"/>
      <protection locked="0"/>
    </xf>
    <xf numFmtId="164" fontId="3" fillId="0" borderId="17" xfId="0" applyNumberFormat="1" applyFont="1" applyBorder="1" applyAlignment="1" applyProtection="1">
      <alignment horizontal="center" vertical="center" wrapText="1" readingOrder="1"/>
      <protection locked="0"/>
    </xf>
    <xf numFmtId="0" fontId="3" fillId="0" borderId="17" xfId="0" applyFont="1" applyBorder="1" applyAlignment="1" applyProtection="1">
      <alignment horizontal="center" vertical="center" wrapText="1" readingOrder="1"/>
      <protection locked="0"/>
    </xf>
    <xf numFmtId="44" fontId="3" fillId="0" borderId="17" xfId="2" applyFont="1" applyFill="1" applyBorder="1" applyAlignment="1" applyProtection="1">
      <alignment vertical="center" wrapText="1" readingOrder="1"/>
      <protection locked="0"/>
    </xf>
    <xf numFmtId="44" fontId="2" fillId="0" borderId="18" xfId="2" applyFont="1" applyFill="1" applyBorder="1"/>
    <xf numFmtId="44" fontId="2" fillId="0" borderId="4" xfId="2" applyFont="1" applyFill="1" applyBorder="1" applyAlignment="1">
      <alignment horizontal="center"/>
    </xf>
    <xf numFmtId="44" fontId="2" fillId="0" borderId="19" xfId="2" applyFont="1" applyFill="1" applyBorder="1" applyAlignment="1">
      <alignment horizontal="center"/>
    </xf>
    <xf numFmtId="44" fontId="2" fillId="0" borderId="20" xfId="2" applyFont="1" applyFill="1" applyBorder="1"/>
    <xf numFmtId="44" fontId="2" fillId="3" borderId="21" xfId="2" applyFont="1" applyFill="1" applyBorder="1"/>
    <xf numFmtId="44" fontId="2" fillId="3" borderId="22" xfId="2" applyFont="1" applyFill="1" applyBorder="1"/>
    <xf numFmtId="44" fontId="2" fillId="3" borderId="23" xfId="2" applyFont="1" applyFill="1" applyBorder="1"/>
    <xf numFmtId="44" fontId="2" fillId="3" borderId="23" xfId="2" applyFont="1" applyFill="1" applyBorder="1" applyAlignment="1">
      <alignment horizontal="center"/>
    </xf>
    <xf numFmtId="44" fontId="2" fillId="3" borderId="24" xfId="2" applyFont="1" applyFill="1" applyBorder="1" applyAlignment="1">
      <alignment horizontal="center"/>
    </xf>
    <xf numFmtId="44" fontId="2" fillId="3" borderId="0" xfId="2" applyFont="1" applyFill="1" applyBorder="1" applyAlignment="1">
      <alignment horizontal="center"/>
    </xf>
    <xf numFmtId="44" fontId="3" fillId="3" borderId="15" xfId="2" applyFont="1" applyFill="1" applyBorder="1" applyAlignment="1" applyProtection="1">
      <alignment vertical="center" wrapText="1" readingOrder="1"/>
      <protection locked="0"/>
    </xf>
    <xf numFmtId="44" fontId="2" fillId="3" borderId="25" xfId="2" applyFont="1" applyFill="1" applyBorder="1"/>
    <xf numFmtId="44" fontId="2" fillId="3" borderId="26" xfId="2" applyFont="1" applyFill="1" applyBorder="1"/>
    <xf numFmtId="44" fontId="2" fillId="3" borderId="0" xfId="2" applyFont="1" applyFill="1" applyProtection="1">
      <protection locked="0"/>
    </xf>
    <xf numFmtId="44" fontId="2" fillId="3" borderId="27" xfId="2" applyFont="1" applyFill="1" applyBorder="1"/>
    <xf numFmtId="44" fontId="2" fillId="3" borderId="20" xfId="2" applyFont="1" applyFill="1" applyBorder="1"/>
    <xf numFmtId="44" fontId="2" fillId="0" borderId="0" xfId="2" applyFont="1" applyProtection="1">
      <protection locked="0"/>
    </xf>
    <xf numFmtId="44" fontId="2" fillId="0" borderId="28" xfId="2" applyFont="1" applyBorder="1" applyProtection="1">
      <protection locked="0"/>
    </xf>
    <xf numFmtId="44" fontId="3" fillId="0" borderId="0" xfId="2" applyFont="1" applyFill="1" applyBorder="1" applyAlignment="1">
      <alignment vertical="center"/>
    </xf>
    <xf numFmtId="44" fontId="2" fillId="0" borderId="29" xfId="2" applyFont="1" applyFill="1" applyBorder="1" applyAlignment="1">
      <alignment horizontal="center"/>
    </xf>
    <xf numFmtId="44" fontId="2" fillId="4" borderId="30" xfId="2" applyFont="1" applyFill="1" applyBorder="1" applyAlignment="1">
      <alignment horizontal="center"/>
    </xf>
    <xf numFmtId="44" fontId="2" fillId="4" borderId="24" xfId="2" applyFont="1" applyFill="1" applyBorder="1" applyAlignment="1">
      <alignment horizontal="center"/>
    </xf>
    <xf numFmtId="44" fontId="2" fillId="4" borderId="0" xfId="2" applyFont="1" applyFill="1" applyBorder="1" applyAlignment="1">
      <alignment horizontal="center"/>
    </xf>
    <xf numFmtId="44" fontId="2" fillId="0" borderId="31" xfId="2" applyFont="1" applyFill="1" applyBorder="1"/>
    <xf numFmtId="44" fontId="2" fillId="4" borderId="0" xfId="2" applyFont="1" applyFill="1" applyProtection="1">
      <protection locked="0"/>
    </xf>
    <xf numFmtId="44" fontId="2" fillId="4" borderId="28" xfId="2" applyFont="1" applyFill="1" applyBorder="1" applyProtection="1">
      <protection locked="0"/>
    </xf>
    <xf numFmtId="44" fontId="2" fillId="0" borderId="0" xfId="2" quotePrefix="1" applyFont="1" applyBorder="1" applyAlignment="1">
      <alignment horizontal="center"/>
    </xf>
    <xf numFmtId="44" fontId="2" fillId="0" borderId="0" xfId="2" quotePrefix="1" applyFont="1" applyAlignment="1">
      <alignment horizontal="center"/>
    </xf>
    <xf numFmtId="44" fontId="3" fillId="0" borderId="0" xfId="2" applyFont="1"/>
    <xf numFmtId="44" fontId="2" fillId="0" borderId="5" xfId="2" applyFont="1" applyBorder="1" applyAlignment="1">
      <alignment horizontal="center"/>
    </xf>
    <xf numFmtId="44" fontId="2" fillId="0" borderId="0" xfId="2" applyFont="1" applyBorder="1" applyAlignment="1">
      <alignment horizontal="center"/>
    </xf>
    <xf numFmtId="44" fontId="2" fillId="0" borderId="6" xfId="2" applyFont="1" applyBorder="1" applyAlignment="1">
      <alignment horizontal="center"/>
    </xf>
    <xf numFmtId="44" fontId="2" fillId="0" borderId="5" xfId="2" applyFont="1" applyBorder="1"/>
    <xf numFmtId="44" fontId="2" fillId="0" borderId="0" xfId="2" applyFont="1" applyBorder="1"/>
    <xf numFmtId="44" fontId="2" fillId="0" borderId="6" xfId="2" applyFont="1" applyBorder="1"/>
    <xf numFmtId="44" fontId="2" fillId="0" borderId="3" xfId="2" applyFont="1" applyBorder="1"/>
    <xf numFmtId="44" fontId="2" fillId="5" borderId="5" xfId="2" applyFont="1" applyFill="1" applyBorder="1" applyAlignment="1">
      <alignment horizontal="center"/>
    </xf>
    <xf numFmtId="44" fontId="2" fillId="5" borderId="0" xfId="2" applyFont="1" applyFill="1" applyAlignment="1">
      <alignment horizontal="center"/>
    </xf>
    <xf numFmtId="44" fontId="2" fillId="0" borderId="0" xfId="2" applyFont="1"/>
    <xf numFmtId="44" fontId="2" fillId="0" borderId="0" xfId="2" applyFont="1" applyAlignment="1">
      <alignment horizontal="center"/>
    </xf>
    <xf numFmtId="44" fontId="2" fillId="0" borderId="0" xfId="2" applyFont="1" applyAlignment="1">
      <alignment horizontal="center" wrapText="1"/>
    </xf>
    <xf numFmtId="44" fontId="2" fillId="5" borderId="32" xfId="2" applyFont="1" applyFill="1" applyBorder="1" applyAlignment="1">
      <alignment horizontal="center"/>
    </xf>
    <xf numFmtId="44" fontId="2" fillId="5" borderId="33" xfId="2" applyFont="1" applyFill="1" applyBorder="1" applyAlignment="1">
      <alignment horizontal="center"/>
    </xf>
    <xf numFmtId="0" fontId="2" fillId="6" borderId="7" xfId="0" applyFont="1" applyFill="1" applyBorder="1" applyAlignment="1" applyProtection="1">
      <alignment horizontal="center" wrapText="1" readingOrder="1"/>
      <protection locked="0"/>
    </xf>
    <xf numFmtId="44" fontId="2" fillId="0" borderId="32" xfId="2" applyFont="1" applyBorder="1" applyAlignment="1">
      <alignment horizontal="center"/>
    </xf>
    <xf numFmtId="44" fontId="2" fillId="0" borderId="33" xfId="2" applyFont="1" applyBorder="1" applyAlignment="1">
      <alignment horizontal="center"/>
    </xf>
    <xf numFmtId="0" fontId="2" fillId="6" borderId="8" xfId="0" applyFont="1" applyFill="1" applyBorder="1" applyAlignment="1" applyProtection="1">
      <alignment horizontal="center" wrapText="1" readingOrder="1"/>
      <protection locked="0"/>
    </xf>
    <xf numFmtId="0" fontId="2" fillId="6" borderId="4" xfId="0" applyFont="1" applyFill="1" applyBorder="1" applyAlignment="1" applyProtection="1">
      <alignment horizontal="center" wrapText="1" readingOrder="1"/>
      <protection locked="0"/>
    </xf>
    <xf numFmtId="164" fontId="2" fillId="0" borderId="4" xfId="2" applyNumberFormat="1" applyFont="1" applyBorder="1" applyAlignment="1">
      <alignment horizontal="center" wrapText="1"/>
    </xf>
    <xf numFmtId="44" fontId="2" fillId="0" borderId="0" xfId="2" applyFont="1" applyAlignment="1" applyProtection="1">
      <alignment wrapText="1"/>
      <protection locked="0"/>
    </xf>
    <xf numFmtId="44" fontId="3" fillId="0" borderId="7" xfId="2" applyFont="1" applyBorder="1" applyAlignment="1" applyProtection="1">
      <alignment vertical="center" wrapText="1" readingOrder="1"/>
      <protection locked="0"/>
    </xf>
    <xf numFmtId="44" fontId="3" fillId="0" borderId="8" xfId="2" applyFont="1" applyBorder="1" applyAlignment="1" applyProtection="1">
      <alignment vertical="center" wrapText="1" readingOrder="1"/>
      <protection locked="0"/>
    </xf>
    <xf numFmtId="44" fontId="3" fillId="0" borderId="4" xfId="2" applyFont="1" applyBorder="1" applyAlignment="1" applyProtection="1">
      <alignment vertical="center" wrapText="1" readingOrder="1"/>
      <protection locked="0"/>
    </xf>
    <xf numFmtId="44" fontId="3" fillId="0" borderId="9" xfId="2" applyFont="1" applyBorder="1" applyAlignment="1" applyProtection="1">
      <alignment vertical="center" wrapText="1" readingOrder="1"/>
      <protection locked="0"/>
    </xf>
    <xf numFmtId="9" fontId="3" fillId="0" borderId="4" xfId="3" applyFont="1" applyBorder="1" applyAlignment="1" applyProtection="1">
      <alignment vertical="center" wrapText="1" readingOrder="1"/>
      <protection locked="0"/>
    </xf>
    <xf numFmtId="165" fontId="3" fillId="0" borderId="4" xfId="1" applyNumberFormat="1" applyFont="1" applyBorder="1" applyAlignment="1" applyProtection="1">
      <alignment vertical="center" wrapText="1" readingOrder="1"/>
      <protection locked="0"/>
    </xf>
    <xf numFmtId="44" fontId="2" fillId="3" borderId="30" xfId="2" applyFont="1" applyFill="1" applyBorder="1"/>
    <xf numFmtId="44" fontId="2" fillId="3" borderId="24" xfId="2" applyFont="1" applyFill="1" applyBorder="1"/>
    <xf numFmtId="44" fontId="2" fillId="0" borderId="2" xfId="2" applyFont="1" applyBorder="1"/>
    <xf numFmtId="44" fontId="2" fillId="0" borderId="1" xfId="2" quotePrefix="1" applyFont="1" applyBorder="1" applyAlignment="1">
      <alignment horizontal="center"/>
    </xf>
    <xf numFmtId="44" fontId="2" fillId="0" borderId="2" xfId="2" applyFont="1" applyBorder="1" applyAlignment="1">
      <alignment horizontal="center"/>
    </xf>
    <xf numFmtId="44" fontId="2" fillId="0" borderId="1" xfId="2" applyFont="1" applyBorder="1"/>
    <xf numFmtId="44" fontId="2" fillId="5" borderId="1" xfId="2" quotePrefix="1" applyFont="1" applyFill="1" applyBorder="1" applyAlignment="1">
      <alignment horizontal="center"/>
    </xf>
    <xf numFmtId="44" fontId="2" fillId="5" borderId="2" xfId="2" quotePrefix="1" applyFont="1" applyFill="1" applyBorder="1" applyAlignment="1">
      <alignment horizontal="center"/>
    </xf>
    <xf numFmtId="0" fontId="2" fillId="6" borderId="0" xfId="0" applyFont="1" applyFill="1" applyAlignment="1" applyProtection="1">
      <alignment horizontal="center" wrapText="1" readingOrder="1"/>
      <protection locked="0"/>
    </xf>
    <xf numFmtId="0" fontId="2" fillId="6" borderId="17" xfId="0" applyFont="1" applyFill="1" applyBorder="1" applyAlignment="1" applyProtection="1">
      <alignment horizontal="center" wrapText="1" readingOrder="1"/>
      <protection locked="0"/>
    </xf>
    <xf numFmtId="44" fontId="2" fillId="0" borderId="2" xfId="2" quotePrefix="1" applyFont="1" applyBorder="1" applyAlignment="1">
      <alignment horizontal="center"/>
    </xf>
    <xf numFmtId="44" fontId="2" fillId="0" borderId="20" xfId="2" applyFont="1" applyBorder="1"/>
    <xf numFmtId="44" fontId="2" fillId="0" borderId="31" xfId="2" applyFont="1" applyBorder="1"/>
    <xf numFmtId="44" fontId="2" fillId="0" borderId="11" xfId="2" applyFont="1" applyBorder="1"/>
    <xf numFmtId="164" fontId="2" fillId="0" borderId="11" xfId="2" applyNumberFormat="1" applyFont="1" applyBorder="1"/>
    <xf numFmtId="44" fontId="2" fillId="0" borderId="11" xfId="2" applyFont="1" applyBorder="1" applyAlignment="1">
      <alignment horizontal="center"/>
    </xf>
    <xf numFmtId="44" fontId="2" fillId="0" borderId="11" xfId="2" applyFont="1" applyFill="1" applyBorder="1" applyAlignment="1">
      <alignment horizontal="center"/>
    </xf>
    <xf numFmtId="44" fontId="2" fillId="0" borderId="34" xfId="2" applyFont="1" applyFill="1" applyBorder="1"/>
    <xf numFmtId="44" fontId="2" fillId="5" borderId="20" xfId="2" applyFont="1" applyFill="1" applyBorder="1"/>
    <xf numFmtId="44" fontId="2" fillId="5" borderId="31" xfId="2" applyFont="1" applyFill="1" applyBorder="1"/>
    <xf numFmtId="44" fontId="2" fillId="4" borderId="0" xfId="2" applyFont="1" applyFill="1" applyBorder="1" applyProtection="1">
      <protection locked="0"/>
    </xf>
    <xf numFmtId="44" fontId="3" fillId="0" borderId="35" xfId="2" applyFont="1" applyBorder="1"/>
    <xf numFmtId="44" fontId="2" fillId="0" borderId="10" xfId="2" applyFont="1" applyBorder="1" applyAlignment="1">
      <alignment vertical="center"/>
    </xf>
    <xf numFmtId="0" fontId="6" fillId="0" borderId="0" xfId="0" applyFont="1"/>
    <xf numFmtId="0" fontId="3" fillId="0" borderId="8" xfId="0" applyFont="1" applyBorder="1" applyAlignment="1" applyProtection="1">
      <alignment horizontal="center" wrapText="1" readingOrder="1"/>
      <protection locked="0"/>
    </xf>
    <xf numFmtId="0" fontId="6" fillId="2" borderId="0" xfId="0" applyFont="1" applyFill="1"/>
    <xf numFmtId="0" fontId="3" fillId="2" borderId="7" xfId="0" applyFont="1" applyFill="1" applyBorder="1" applyAlignment="1" applyProtection="1">
      <alignment horizontal="left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164" fontId="3" fillId="2" borderId="7" xfId="0" applyNumberFormat="1" applyFont="1" applyFill="1" applyBorder="1" applyAlignment="1" applyProtection="1">
      <alignment horizontal="center" vertical="center" wrapText="1" readingOrder="1"/>
      <protection locked="0"/>
    </xf>
    <xf numFmtId="44" fontId="3" fillId="2" borderId="7" xfId="2" applyFont="1" applyFill="1" applyBorder="1" applyAlignment="1" applyProtection="1">
      <alignment vertical="center" wrapText="1" readingOrder="1"/>
      <protection locked="0"/>
    </xf>
    <xf numFmtId="44" fontId="3" fillId="2" borderId="8" xfId="2" applyFont="1" applyFill="1" applyBorder="1" applyAlignment="1" applyProtection="1">
      <alignment vertical="center" wrapText="1" readingOrder="1"/>
      <protection locked="0"/>
    </xf>
    <xf numFmtId="44" fontId="3" fillId="2" borderId="4" xfId="2" applyFont="1" applyFill="1" applyBorder="1" applyAlignment="1" applyProtection="1">
      <alignment vertical="center" wrapText="1" readingOrder="1"/>
      <protection locked="0"/>
    </xf>
    <xf numFmtId="44" fontId="2" fillId="2" borderId="0" xfId="2" applyFont="1" applyFill="1" applyBorder="1" applyAlignment="1">
      <alignment horizontal="center"/>
    </xf>
    <xf numFmtId="44" fontId="2" fillId="2" borderId="0" xfId="2" applyFont="1" applyFill="1" applyBorder="1"/>
    <xf numFmtId="44" fontId="3" fillId="2" borderId="9" xfId="2" applyFont="1" applyFill="1" applyBorder="1" applyAlignment="1" applyProtection="1">
      <alignment vertical="center" wrapText="1" readingOrder="1"/>
      <protection locked="0"/>
    </xf>
    <xf numFmtId="44" fontId="2" fillId="2" borderId="0" xfId="2" applyFont="1" applyFill="1" applyProtection="1">
      <protection locked="0"/>
    </xf>
    <xf numFmtId="9" fontId="3" fillId="2" borderId="4" xfId="3" applyFont="1" applyFill="1" applyBorder="1" applyAlignment="1" applyProtection="1">
      <alignment vertical="center" wrapText="1" readingOrder="1"/>
      <protection locked="0"/>
    </xf>
    <xf numFmtId="165" fontId="3" fillId="2" borderId="4" xfId="1" applyNumberFormat="1" applyFont="1" applyFill="1" applyBorder="1" applyAlignment="1" applyProtection="1">
      <alignment vertical="center" wrapText="1" readingOrder="1"/>
      <protection locked="0"/>
    </xf>
    <xf numFmtId="0" fontId="3" fillId="2" borderId="0" xfId="0" applyFont="1" applyFill="1" applyAlignment="1" applyProtection="1">
      <alignment horizontal="left" vertical="center" wrapText="1" readingOrder="1"/>
      <protection locked="0"/>
    </xf>
    <xf numFmtId="164" fontId="3" fillId="2" borderId="0" xfId="0" applyNumberFormat="1" applyFont="1" applyFill="1" applyAlignment="1" applyProtection="1">
      <alignment horizontal="center" vertical="center" wrapText="1" readingOrder="1"/>
      <protection locked="0"/>
    </xf>
    <xf numFmtId="0" fontId="3" fillId="2" borderId="0" xfId="0" applyFont="1" applyFill="1" applyAlignment="1" applyProtection="1">
      <alignment horizontal="center" vertical="center" wrapText="1" readingOrder="1"/>
      <protection locked="0"/>
    </xf>
    <xf numFmtId="44" fontId="3" fillId="2" borderId="0" xfId="2" applyFont="1" applyFill="1" applyBorder="1" applyAlignment="1" applyProtection="1">
      <alignment vertical="center" wrapText="1" readingOrder="1"/>
      <protection locked="0"/>
    </xf>
    <xf numFmtId="44" fontId="2" fillId="2" borderId="0" xfId="2" applyFont="1" applyFill="1" applyBorder="1" applyProtection="1">
      <protection locked="0"/>
    </xf>
    <xf numFmtId="165" fontId="3" fillId="2" borderId="0" xfId="1" applyNumberFormat="1" applyFont="1" applyFill="1" applyBorder="1" applyAlignment="1" applyProtection="1">
      <alignment vertical="center" wrapText="1" readingOrder="1"/>
      <protection locked="0"/>
    </xf>
    <xf numFmtId="0" fontId="6" fillId="7" borderId="0" xfId="0" applyFont="1" applyFill="1"/>
    <xf numFmtId="0" fontId="3" fillId="7" borderId="7" xfId="0" applyFont="1" applyFill="1" applyBorder="1" applyAlignment="1" applyProtection="1">
      <alignment horizontal="left" vertical="center" wrapText="1" readingOrder="1"/>
      <protection locked="0"/>
    </xf>
    <xf numFmtId="0" fontId="3" fillId="7" borderId="7" xfId="0" applyFont="1" applyFill="1" applyBorder="1" applyAlignment="1" applyProtection="1">
      <alignment horizontal="center" vertical="center" wrapText="1" readingOrder="1"/>
      <protection locked="0"/>
    </xf>
    <xf numFmtId="164" fontId="3" fillId="7" borderId="7" xfId="0" applyNumberFormat="1" applyFont="1" applyFill="1" applyBorder="1" applyAlignment="1" applyProtection="1">
      <alignment horizontal="center" vertical="center" wrapText="1" readingOrder="1"/>
      <protection locked="0"/>
    </xf>
    <xf numFmtId="44" fontId="3" fillId="7" borderId="7" xfId="2" applyFont="1" applyFill="1" applyBorder="1" applyAlignment="1" applyProtection="1">
      <alignment vertical="center" wrapText="1" readingOrder="1"/>
      <protection locked="0"/>
    </xf>
    <xf numFmtId="44" fontId="3" fillId="7" borderId="8" xfId="2" applyFont="1" applyFill="1" applyBorder="1" applyAlignment="1" applyProtection="1">
      <alignment vertical="center" wrapText="1" readingOrder="1"/>
      <protection locked="0"/>
    </xf>
    <xf numFmtId="44" fontId="3" fillId="7" borderId="4" xfId="2" applyFont="1" applyFill="1" applyBorder="1" applyAlignment="1" applyProtection="1">
      <alignment vertical="center" wrapText="1" readingOrder="1"/>
      <protection locked="0"/>
    </xf>
    <xf numFmtId="44" fontId="2" fillId="7" borderId="0" xfId="2" applyFont="1" applyFill="1" applyBorder="1" applyAlignment="1">
      <alignment horizontal="center"/>
    </xf>
    <xf numFmtId="44" fontId="2" fillId="7" borderId="0" xfId="2" applyFont="1" applyFill="1" applyBorder="1"/>
    <xf numFmtId="44" fontId="3" fillId="7" borderId="9" xfId="2" applyFont="1" applyFill="1" applyBorder="1" applyAlignment="1" applyProtection="1">
      <alignment vertical="center" wrapText="1" readingOrder="1"/>
      <protection locked="0"/>
    </xf>
    <xf numFmtId="44" fontId="2" fillId="7" borderId="10" xfId="2" applyFont="1" applyFill="1" applyBorder="1"/>
    <xf numFmtId="44" fontId="2" fillId="7" borderId="0" xfId="2" applyFont="1" applyFill="1" applyProtection="1">
      <protection locked="0"/>
    </xf>
    <xf numFmtId="9" fontId="3" fillId="7" borderId="4" xfId="3" applyFont="1" applyFill="1" applyBorder="1" applyAlignment="1" applyProtection="1">
      <alignment vertical="center" wrapText="1" readingOrder="1"/>
      <protection locked="0"/>
    </xf>
    <xf numFmtId="165" fontId="3" fillId="7" borderId="4" xfId="1" applyNumberFormat="1" applyFont="1" applyFill="1" applyBorder="1" applyAlignment="1" applyProtection="1">
      <alignment vertical="center" wrapText="1" readingOrder="1"/>
      <protection locked="0"/>
    </xf>
    <xf numFmtId="44" fontId="9" fillId="0" borderId="0" xfId="4" applyNumberFormat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yael Brand" id="{FE42893A-107A-4ED5-9492-A5411587C89A}" userId="88ba66ba03b15bcb" providerId="Windows Live"/>
  <person displayName="Danyael Brand" id="{47CA009E-93B0-4C9E-9694-BEDD182CF9D0}" userId="S::danyael@bgandco1.onmicrosoft.com::3dbfebf0-a63c-4d45-95aa-544ec63dc8c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O22" dT="2024-12-30T19:20:32.29" personId="{FE42893A-107A-4ED5-9492-A5411587C89A}" id="{7B342FA3-4D1C-4EDD-AD37-EC4A79A3854F}">
    <text xml:space="preserve">
	2 Person
Monthly Premium	$  1,874.28 
Phish Pays$     937.14 
Chargeback Per month$     937.14 
Chargeback Per Week$     216.26 
</text>
  </threadedComment>
  <threadedComment ref="AO24" dT="2024-12-30T19:20:42.17" personId="{FE42893A-107A-4ED5-9492-A5411587C89A}" id="{6D01B7C8-38AC-4868-BDF7-76CCCC8582B9}">
    <text xml:space="preserve">
	2 Person
Monthly Premium	$  1,874.28 
Phish Pays$     937.14 
Chargeback Per month$     937.14 
Chargeback Per Week$     216.26 
</text>
  </threadedComment>
  <threadedComment ref="AO30" dT="2024-12-30T19:21:02.83" personId="{FE42893A-107A-4ED5-9492-A5411587C89A}" id="{4578C327-326B-408E-B833-B623179DC34C}">
    <text xml:space="preserve"> 
	Parent/Child
Monthly Premium	$  1,808.68
Phish Pays$     937.14 
Chargeback Per month$     871.54
Chargeback Per Week$     201.12 
</text>
  </threadedComment>
  <threadedComment ref="U62" dT="2023-02-27T16:51:08.35" personId="{47CA009E-93B0-4C9E-9694-BEDD182CF9D0}" id="{1EF62A24-7DD2-4511-BF65-2A341BA2E0AC}">
    <text>Airfare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07671-8432-41F0-A289-453431141865}">
  <sheetPr>
    <pageSetUpPr fitToPage="1"/>
  </sheetPr>
  <dimension ref="A1:AX135"/>
  <sheetViews>
    <sheetView tabSelected="1" topLeftCell="A108" zoomScale="118" zoomScaleNormal="71" zoomScalePageLayoutView="75" workbookViewId="0">
      <pane xSplit="1" topLeftCell="B1" activePane="topRight" state="frozen"/>
      <selection activeCell="M41" sqref="M41"/>
      <selection pane="topRight" activeCell="A116" sqref="A116:A135"/>
    </sheetView>
  </sheetViews>
  <sheetFormatPr baseColWidth="10" defaultColWidth="11.83203125" defaultRowHeight="15" customHeight="1" x14ac:dyDescent="0.15"/>
  <cols>
    <col min="1" max="1" width="44.1640625" style="95" bestFit="1" customWidth="1"/>
    <col min="2" max="2" width="8.83203125" style="95" bestFit="1" customWidth="1"/>
    <col min="3" max="3" width="28.33203125" style="95" bestFit="1" customWidth="1"/>
    <col min="4" max="4" width="29.1640625" style="95" bestFit="1" customWidth="1"/>
    <col min="5" max="5" width="6" style="95" customWidth="1"/>
    <col min="6" max="6" width="23.33203125" style="95" customWidth="1"/>
    <col min="7" max="7" width="13.83203125" style="95" customWidth="1"/>
    <col min="8" max="8" width="9.1640625" style="95" customWidth="1"/>
    <col min="9" max="9" width="15.33203125" style="1" bestFit="1" customWidth="1"/>
    <col min="10" max="10" width="14.5" style="1" bestFit="1" customWidth="1"/>
    <col min="11" max="11" width="33.6640625" style="1" bestFit="1" customWidth="1"/>
    <col min="12" max="12" width="4.5" style="2" customWidth="1"/>
    <col min="13" max="14" width="17.83203125" style="95" bestFit="1" customWidth="1"/>
    <col min="15" max="19" width="17.6640625" style="95" bestFit="1" customWidth="1"/>
    <col min="20" max="20" width="3.6640625" style="1" customWidth="1"/>
    <col min="21" max="21" width="29.1640625" style="95" customWidth="1"/>
    <col min="22" max="22" width="18.5" style="95" customWidth="1"/>
    <col min="23" max="23" width="19.33203125" style="95" customWidth="1"/>
    <col min="24" max="24" width="24.6640625" style="95" bestFit="1" customWidth="1"/>
    <col min="25" max="25" width="14.5" style="1" customWidth="1"/>
    <col min="26" max="26" width="15.83203125" style="95" customWidth="1"/>
    <col min="27" max="27" width="13.83203125" style="95" customWidth="1"/>
    <col min="28" max="28" width="17.5" style="95" customWidth="1"/>
    <col min="29" max="29" width="20.6640625" style="95" customWidth="1"/>
    <col min="30" max="30" width="23.5" style="95" customWidth="1"/>
    <col min="31" max="32" width="16.5" style="95" bestFit="1" customWidth="1"/>
    <col min="33" max="33" width="15.33203125" style="95" bestFit="1" customWidth="1"/>
    <col min="34" max="34" width="11.83203125" style="73" customWidth="1"/>
    <col min="35" max="35" width="14.33203125" style="73" customWidth="1"/>
    <col min="36" max="36" width="22.33203125" style="95" bestFit="1" customWidth="1"/>
    <col min="37" max="37" width="22.33203125" style="95" customWidth="1"/>
    <col min="38" max="38" width="18" style="95" bestFit="1" customWidth="1"/>
    <col min="39" max="39" width="28.5" style="95" bestFit="1" customWidth="1"/>
    <col min="40" max="40" width="25.33203125" style="95" bestFit="1" customWidth="1"/>
    <col min="41" max="41" width="29" style="95" customWidth="1"/>
    <col min="42" max="42" width="18.83203125" style="73" bestFit="1" customWidth="1"/>
    <col min="43" max="16384" width="11.83203125" style="73"/>
  </cols>
  <sheetData>
    <row r="1" spans="1:50" s="6" customFormat="1" ht="38.25" customHeight="1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3"/>
      <c r="V1" s="4"/>
      <c r="W1" s="4"/>
      <c r="X1" s="5"/>
      <c r="Y1" s="1"/>
      <c r="Z1" s="1"/>
      <c r="AA1" s="1"/>
      <c r="AB1" s="1"/>
      <c r="AC1" s="1"/>
      <c r="AD1" s="1"/>
      <c r="AE1" s="1"/>
      <c r="AF1" s="1"/>
      <c r="AG1" s="1"/>
      <c r="AJ1" s="3"/>
      <c r="AK1" s="4"/>
      <c r="AL1" s="4"/>
      <c r="AM1" s="3" t="s">
        <v>0</v>
      </c>
      <c r="AN1" s="3" t="s">
        <v>1</v>
      </c>
      <c r="AO1" s="7" t="s">
        <v>2</v>
      </c>
    </row>
    <row r="2" spans="1:50" s="6" customFormat="1" ht="15" customHeight="1" x14ac:dyDescent="0.1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2"/>
      <c r="M2" s="8"/>
      <c r="N2" s="8"/>
      <c r="O2" s="8"/>
      <c r="P2" s="8"/>
      <c r="Q2" s="8"/>
      <c r="R2" s="8"/>
      <c r="S2" s="9"/>
      <c r="T2" s="10"/>
      <c r="U2" s="11"/>
      <c r="V2" s="12" t="s">
        <v>3</v>
      </c>
      <c r="W2" s="12"/>
      <c r="X2" s="5"/>
      <c r="Y2" s="10"/>
      <c r="Z2" s="3"/>
      <c r="AA2" s="4"/>
      <c r="AB2" s="12"/>
      <c r="AC2" s="4"/>
      <c r="AD2" s="4"/>
      <c r="AE2" s="4"/>
      <c r="AF2" s="5"/>
      <c r="AG2" s="5"/>
      <c r="AJ2" s="11"/>
      <c r="AK2" s="4"/>
      <c r="AL2" s="4" t="s">
        <v>4</v>
      </c>
      <c r="AM2" s="11" t="s">
        <v>5</v>
      </c>
      <c r="AN2" s="11" t="s">
        <v>5</v>
      </c>
      <c r="AO2" s="11" t="s">
        <v>6</v>
      </c>
    </row>
    <row r="3" spans="1:50" s="6" customFormat="1" ht="15" customHeight="1" x14ac:dyDescent="0.15">
      <c r="A3" s="13"/>
      <c r="B3" s="2"/>
      <c r="C3" s="1"/>
      <c r="D3" s="1"/>
      <c r="E3" s="1"/>
      <c r="F3" s="1"/>
      <c r="G3" s="1"/>
      <c r="H3" s="1"/>
      <c r="I3" s="14"/>
      <c r="J3" s="14"/>
      <c r="K3" s="2"/>
      <c r="L3" s="2"/>
      <c r="M3" s="15" t="s">
        <v>7</v>
      </c>
      <c r="N3" s="15" t="s">
        <v>7</v>
      </c>
      <c r="O3" s="15" t="s">
        <v>7</v>
      </c>
      <c r="P3" s="15" t="s">
        <v>7</v>
      </c>
      <c r="Q3" s="15" t="s">
        <v>7</v>
      </c>
      <c r="R3" s="15" t="s">
        <v>7</v>
      </c>
      <c r="S3" s="15" t="s">
        <v>7</v>
      </c>
      <c r="T3" s="16"/>
      <c r="U3" s="17"/>
      <c r="V3" s="16"/>
      <c r="W3" s="16"/>
      <c r="X3" s="18"/>
      <c r="Y3" s="16"/>
      <c r="Z3" s="17" t="s">
        <v>8</v>
      </c>
      <c r="AA3" s="16" t="s">
        <v>8</v>
      </c>
      <c r="AB3" s="16" t="s">
        <v>8</v>
      </c>
      <c r="AC3" s="16" t="s">
        <v>8</v>
      </c>
      <c r="AD3" s="16" t="s">
        <v>8</v>
      </c>
      <c r="AE3" s="16" t="s">
        <v>8</v>
      </c>
      <c r="AF3" s="18" t="s">
        <v>8</v>
      </c>
      <c r="AG3" s="19"/>
      <c r="AJ3" s="17"/>
      <c r="AK3" s="1"/>
      <c r="AL3" s="1" t="s">
        <v>9</v>
      </c>
      <c r="AM3" s="17"/>
      <c r="AN3" s="17"/>
      <c r="AO3" s="17"/>
    </row>
    <row r="4" spans="1:50" s="6" customFormat="1" ht="14" thickBot="1" x14ac:dyDescent="0.2">
      <c r="A4" s="20" t="s">
        <v>10</v>
      </c>
      <c r="B4" s="2"/>
      <c r="C4" s="1"/>
      <c r="D4" s="1"/>
      <c r="E4" s="1"/>
      <c r="F4" s="1"/>
      <c r="G4" s="1"/>
      <c r="H4" s="1"/>
      <c r="I4" s="2"/>
      <c r="J4" s="2"/>
      <c r="K4" s="2"/>
      <c r="L4" s="2"/>
      <c r="M4" s="15" t="s">
        <v>11</v>
      </c>
      <c r="N4" s="15" t="s">
        <v>11</v>
      </c>
      <c r="O4" s="15" t="s">
        <v>11</v>
      </c>
      <c r="P4" s="15" t="s">
        <v>11</v>
      </c>
      <c r="Q4" s="15" t="s">
        <v>11</v>
      </c>
      <c r="R4" s="15" t="s">
        <v>11</v>
      </c>
      <c r="S4" s="15" t="s">
        <v>11</v>
      </c>
      <c r="T4" s="16"/>
      <c r="U4" s="21" t="s">
        <v>12</v>
      </c>
      <c r="V4" s="21" t="s">
        <v>12</v>
      </c>
      <c r="W4" s="21" t="s">
        <v>12</v>
      </c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 t="s">
        <v>13</v>
      </c>
      <c r="AN4" s="21" t="s">
        <v>14</v>
      </c>
      <c r="AO4" s="21" t="s">
        <v>13</v>
      </c>
      <c r="AP4" s="21"/>
      <c r="AQ4" s="21"/>
    </row>
    <row r="5" spans="1:50" s="25" customFormat="1" ht="39" customHeight="1" x14ac:dyDescent="0.15">
      <c r="A5" s="20" t="s">
        <v>15</v>
      </c>
      <c r="B5" s="20" t="s">
        <v>16</v>
      </c>
      <c r="C5" s="20" t="s">
        <v>17</v>
      </c>
      <c r="D5" s="20" t="s">
        <v>18</v>
      </c>
      <c r="E5" s="20" t="s">
        <v>19</v>
      </c>
      <c r="F5" s="20" t="s">
        <v>20</v>
      </c>
      <c r="G5" s="20" t="s">
        <v>21</v>
      </c>
      <c r="H5" s="20" t="s">
        <v>22</v>
      </c>
      <c r="I5" s="20" t="s">
        <v>23</v>
      </c>
      <c r="J5" s="21" t="s">
        <v>24</v>
      </c>
      <c r="K5" s="15" t="s">
        <v>25</v>
      </c>
      <c r="L5" s="22"/>
      <c r="M5" s="23">
        <f>+F6</f>
        <v>45691</v>
      </c>
      <c r="N5" s="23">
        <f>+M5+1</f>
        <v>45692</v>
      </c>
      <c r="O5" s="23">
        <f t="shared" ref="O5:S5" si="0">+N5+1</f>
        <v>45693</v>
      </c>
      <c r="P5" s="23">
        <f t="shared" si="0"/>
        <v>45694</v>
      </c>
      <c r="Q5" s="23">
        <f t="shared" si="0"/>
        <v>45695</v>
      </c>
      <c r="R5" s="23">
        <f t="shared" si="0"/>
        <v>45696</v>
      </c>
      <c r="S5" s="23">
        <f t="shared" si="0"/>
        <v>45697</v>
      </c>
      <c r="T5" s="24"/>
      <c r="U5" s="21" t="s">
        <v>26</v>
      </c>
      <c r="V5" s="21" t="s">
        <v>27</v>
      </c>
      <c r="W5" s="21" t="s">
        <v>27</v>
      </c>
      <c r="X5" s="21" t="s">
        <v>28</v>
      </c>
      <c r="Y5" s="21"/>
      <c r="Z5" s="21" t="s">
        <v>29</v>
      </c>
      <c r="AA5" s="21" t="s">
        <v>30</v>
      </c>
      <c r="AB5" s="12" t="s">
        <v>3</v>
      </c>
      <c r="AC5" s="21" t="s">
        <v>31</v>
      </c>
      <c r="AD5" s="21" t="s">
        <v>32</v>
      </c>
      <c r="AE5" s="21" t="s">
        <v>33</v>
      </c>
      <c r="AF5" s="21" t="s">
        <v>33</v>
      </c>
      <c r="AG5" s="137" t="s">
        <v>255</v>
      </c>
      <c r="AH5" s="21"/>
      <c r="AI5" s="21"/>
      <c r="AJ5" s="21" t="s">
        <v>35</v>
      </c>
      <c r="AK5" s="21" t="s">
        <v>36</v>
      </c>
      <c r="AL5" s="21" t="s">
        <v>37</v>
      </c>
      <c r="AM5" s="21" t="s">
        <v>38</v>
      </c>
      <c r="AN5" s="21" t="s">
        <v>39</v>
      </c>
      <c r="AO5" s="21" t="s">
        <v>40</v>
      </c>
      <c r="AP5" s="21"/>
      <c r="AQ5" s="21"/>
    </row>
    <row r="6" spans="1:50" s="6" customFormat="1" ht="15" customHeight="1" x14ac:dyDescent="0.15">
      <c r="A6" s="26" t="s">
        <v>255</v>
      </c>
      <c r="B6" s="26" t="s">
        <v>41</v>
      </c>
      <c r="C6" s="26" t="s">
        <v>42</v>
      </c>
      <c r="D6" s="26" t="s">
        <v>144</v>
      </c>
      <c r="E6" s="26" t="s">
        <v>43</v>
      </c>
      <c r="F6" s="27">
        <v>45691</v>
      </c>
      <c r="G6" s="27">
        <f t="shared" ref="G6" si="1">+F6+7-1</f>
        <v>45697</v>
      </c>
      <c r="H6" s="28">
        <f t="shared" ref="H6:H16" si="2">IF(G6-F6=0,0,G6-F6+1)</f>
        <v>7</v>
      </c>
      <c r="I6" s="29">
        <f>165000/52</f>
        <v>3173.0769230769229</v>
      </c>
      <c r="J6" s="30">
        <f>165000/52</f>
        <v>3173.0769230769229</v>
      </c>
      <c r="K6" s="31">
        <f>SUM(M6:W6)</f>
        <v>3173.0769230769224</v>
      </c>
      <c r="L6" s="32"/>
      <c r="M6" s="31">
        <f t="shared" ref="M6:S21" si="3">IF(M$4="Other 50%",($I6*0.5)/7,IF(M$4="Other 75%",($I6*0.75)/7,IF(M$4="Other 100%",$I6/7,IF(M$4="On Tour 50%",($I6*0.5)/7,IF(M$4="On Tour 100%",$I6/7,IF(M$4="Off Tour 50%",($J6*0.5)/7,IF(M$4="Off Tour 100%",$J6/7,0)))))))</f>
        <v>453.29670329670324</v>
      </c>
      <c r="N6" s="31">
        <f t="shared" si="3"/>
        <v>453.29670329670324</v>
      </c>
      <c r="O6" s="31">
        <f t="shared" si="3"/>
        <v>453.29670329670324</v>
      </c>
      <c r="P6" s="31">
        <f t="shared" si="3"/>
        <v>453.29670329670324</v>
      </c>
      <c r="Q6" s="31">
        <f t="shared" si="3"/>
        <v>453.29670329670324</v>
      </c>
      <c r="R6" s="31">
        <f t="shared" si="3"/>
        <v>453.29670329670324</v>
      </c>
      <c r="S6" s="31">
        <f t="shared" si="3"/>
        <v>453.29670329670324</v>
      </c>
      <c r="T6" s="2"/>
      <c r="U6" s="33">
        <v>0</v>
      </c>
      <c r="V6" s="33">
        <v>0</v>
      </c>
      <c r="W6" s="33">
        <v>0</v>
      </c>
      <c r="X6" s="34"/>
      <c r="Y6" s="2">
        <f>+AA6+AB6+AC6-K6+Z6+AD6+AE6+AF6+AG6</f>
        <v>0</v>
      </c>
      <c r="Z6" s="31">
        <f>+M6+N6+O6+P6+Q6+R6+S6-AA6-AB6-AC6-AD6-AE6-AF6</f>
        <v>3173.0769230769224</v>
      </c>
      <c r="AA6" s="31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f t="shared" ref="AG6:AG16" si="4">+U6+V6</f>
        <v>0</v>
      </c>
      <c r="AH6" s="6" t="b">
        <f t="shared" ref="AH6:AH41" si="5">K6=SUM(Z6:AG6)</f>
        <v>1</v>
      </c>
      <c r="AI6" s="31">
        <f>+AJ6-K6</f>
        <v>0</v>
      </c>
      <c r="AJ6" s="31">
        <f>SUM(M6:S6)</f>
        <v>3173.0769230769224</v>
      </c>
      <c r="AK6" s="35">
        <v>0.03</v>
      </c>
      <c r="AL6" s="36">
        <v>1</v>
      </c>
      <c r="AM6" s="31">
        <f>IF(AL6=1,AJ6*AK6,0)</f>
        <v>95.192307692307665</v>
      </c>
      <c r="AN6" s="31">
        <f>IF(AL6=2,AJ6*AK6,0)</f>
        <v>0</v>
      </c>
      <c r="AO6" s="31"/>
    </row>
    <row r="7" spans="1:50" s="39" customFormat="1" ht="15" customHeight="1" x14ac:dyDescent="0.15">
      <c r="A7" s="136" t="s">
        <v>256</v>
      </c>
      <c r="B7" s="26" t="s">
        <v>44</v>
      </c>
      <c r="C7" s="26" t="s">
        <v>45</v>
      </c>
      <c r="D7" s="26" t="s">
        <v>145</v>
      </c>
      <c r="E7" s="26" t="s">
        <v>46</v>
      </c>
      <c r="F7" s="27">
        <f>+F6</f>
        <v>45691</v>
      </c>
      <c r="G7" s="27">
        <f>+G6</f>
        <v>45697</v>
      </c>
      <c r="H7" s="28">
        <f t="shared" si="2"/>
        <v>7</v>
      </c>
      <c r="I7" s="29">
        <f>3653.85+100+100</f>
        <v>3853.85</v>
      </c>
      <c r="J7" s="30">
        <f>3653.85+100+100</f>
        <v>3853.85</v>
      </c>
      <c r="K7" s="31">
        <f t="shared" ref="K7:K16" si="6">SUM(M7:W7)</f>
        <v>3853.8500000000004</v>
      </c>
      <c r="L7" s="32"/>
      <c r="M7" s="31">
        <f t="shared" si="3"/>
        <v>550.54999999999995</v>
      </c>
      <c r="N7" s="31">
        <f t="shared" si="3"/>
        <v>550.54999999999995</v>
      </c>
      <c r="O7" s="31">
        <f t="shared" si="3"/>
        <v>550.54999999999995</v>
      </c>
      <c r="P7" s="31">
        <f t="shared" si="3"/>
        <v>550.54999999999995</v>
      </c>
      <c r="Q7" s="31">
        <f t="shared" si="3"/>
        <v>550.54999999999995</v>
      </c>
      <c r="R7" s="31">
        <f t="shared" si="3"/>
        <v>550.54999999999995</v>
      </c>
      <c r="S7" s="31">
        <f t="shared" si="3"/>
        <v>550.54999999999995</v>
      </c>
      <c r="T7" s="2"/>
      <c r="U7" s="33">
        <v>0</v>
      </c>
      <c r="V7" s="33">
        <v>0</v>
      </c>
      <c r="W7" s="33">
        <v>0</v>
      </c>
      <c r="X7" s="37"/>
      <c r="Y7" s="2">
        <f t="shared" ref="Y7:Y40" si="7">+AA7+AB7+AC7-K7+Z7+AD7+AE7+AF7+AG7</f>
        <v>0</v>
      </c>
      <c r="Z7" s="31">
        <f t="shared" ref="Z7:Z16" si="8">+M7+N7+O7+P7+Q7+R7+S7-AA7-AB7-AC7-AD7-AE7-AF7</f>
        <v>3853.8500000000004</v>
      </c>
      <c r="AA7" s="31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f t="shared" si="4"/>
        <v>0</v>
      </c>
      <c r="AH7" s="6" t="b">
        <f t="shared" si="5"/>
        <v>1</v>
      </c>
      <c r="AI7" s="31">
        <f t="shared" ref="AI7:AI38" si="9">+AJ7-K7</f>
        <v>-3853.8500000000004</v>
      </c>
      <c r="AJ7" s="31">
        <v>0</v>
      </c>
      <c r="AK7" s="38"/>
      <c r="AL7" s="36"/>
      <c r="AM7" s="31">
        <f t="shared" ref="AM7:AM16" si="10">IF(AL7=1,AJ7*AK7,0)</f>
        <v>0</v>
      </c>
      <c r="AN7" s="31">
        <f t="shared" ref="AN7:AN16" si="11">IF(AL7=2,AJ7*AK7,0)</f>
        <v>0</v>
      </c>
      <c r="AO7" s="31"/>
      <c r="AP7" s="6"/>
      <c r="AQ7" s="6"/>
      <c r="AR7" s="6"/>
      <c r="AS7" s="6"/>
      <c r="AT7" s="6"/>
      <c r="AU7" s="6"/>
      <c r="AV7" s="6"/>
      <c r="AW7" s="6"/>
      <c r="AX7" s="6"/>
    </row>
    <row r="8" spans="1:50" s="6" customFormat="1" ht="15" customHeight="1" x14ac:dyDescent="0.15">
      <c r="A8" s="136" t="s">
        <v>252</v>
      </c>
      <c r="B8" s="26" t="s">
        <v>47</v>
      </c>
      <c r="C8" s="26" t="s">
        <v>48</v>
      </c>
      <c r="D8" s="26" t="s">
        <v>146</v>
      </c>
      <c r="E8" s="26" t="s">
        <v>46</v>
      </c>
      <c r="F8" s="27">
        <f>+F7</f>
        <v>45691</v>
      </c>
      <c r="G8" s="27">
        <f t="shared" ref="G8:G16" si="12">+G7</f>
        <v>45697</v>
      </c>
      <c r="H8" s="28">
        <f t="shared" si="2"/>
        <v>7</v>
      </c>
      <c r="I8" s="29">
        <f>210000/52</f>
        <v>4038.4615384615386</v>
      </c>
      <c r="J8" s="30">
        <f>210000/52</f>
        <v>4038.4615384615386</v>
      </c>
      <c r="K8" s="31">
        <f t="shared" si="6"/>
        <v>4542.5615384615394</v>
      </c>
      <c r="L8" s="32"/>
      <c r="M8" s="31">
        <f t="shared" si="3"/>
        <v>576.92307692307691</v>
      </c>
      <c r="N8" s="31">
        <f t="shared" si="3"/>
        <v>576.92307692307691</v>
      </c>
      <c r="O8" s="31">
        <f t="shared" si="3"/>
        <v>576.92307692307691</v>
      </c>
      <c r="P8" s="31">
        <f t="shared" si="3"/>
        <v>576.92307692307691</v>
      </c>
      <c r="Q8" s="31">
        <f t="shared" si="3"/>
        <v>576.92307692307691</v>
      </c>
      <c r="R8" s="31">
        <f t="shared" si="3"/>
        <v>576.92307692307691</v>
      </c>
      <c r="S8" s="31">
        <f t="shared" si="3"/>
        <v>576.92307692307691</v>
      </c>
      <c r="T8" s="2"/>
      <c r="U8" s="33">
        <v>504.1</v>
      </c>
      <c r="V8" s="33">
        <v>0</v>
      </c>
      <c r="W8" s="33">
        <v>0</v>
      </c>
      <c r="X8" s="34"/>
      <c r="Y8" s="2">
        <f t="shared" si="7"/>
        <v>0</v>
      </c>
      <c r="Z8" s="31">
        <f t="shared" si="8"/>
        <v>4038.461538461539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f t="shared" si="4"/>
        <v>504.1</v>
      </c>
      <c r="AH8" s="6" t="b">
        <f t="shared" si="5"/>
        <v>1</v>
      </c>
      <c r="AI8" s="31">
        <f t="shared" si="9"/>
        <v>-4542.5615384615394</v>
      </c>
      <c r="AJ8" s="31">
        <v>0</v>
      </c>
      <c r="AK8" s="38"/>
      <c r="AL8" s="36"/>
      <c r="AM8" s="31">
        <f t="shared" si="10"/>
        <v>0</v>
      </c>
      <c r="AN8" s="31">
        <f t="shared" si="11"/>
        <v>0</v>
      </c>
      <c r="AO8" s="31"/>
    </row>
    <row r="9" spans="1:50" s="6" customFormat="1" ht="15" customHeight="1" x14ac:dyDescent="0.15">
      <c r="A9" s="136" t="s">
        <v>253</v>
      </c>
      <c r="B9" s="26" t="s">
        <v>49</v>
      </c>
      <c r="C9" s="26" t="s">
        <v>50</v>
      </c>
      <c r="D9" s="26" t="s">
        <v>147</v>
      </c>
      <c r="E9" s="26" t="s">
        <v>51</v>
      </c>
      <c r="F9" s="27">
        <f>+F8</f>
        <v>45691</v>
      </c>
      <c r="G9" s="27">
        <f t="shared" si="12"/>
        <v>45697</v>
      </c>
      <c r="H9" s="28">
        <f t="shared" si="2"/>
        <v>7</v>
      </c>
      <c r="I9" s="29">
        <f>100000/52</f>
        <v>1923.0769230769231</v>
      </c>
      <c r="J9" s="30">
        <f>100000/52</f>
        <v>1923.0769230769231</v>
      </c>
      <c r="K9" s="31">
        <f t="shared" si="6"/>
        <v>1923.0769230769229</v>
      </c>
      <c r="L9" s="32"/>
      <c r="M9" s="31">
        <f t="shared" si="3"/>
        <v>274.72527472527474</v>
      </c>
      <c r="N9" s="31">
        <f t="shared" si="3"/>
        <v>274.72527472527474</v>
      </c>
      <c r="O9" s="31">
        <f t="shared" si="3"/>
        <v>274.72527472527474</v>
      </c>
      <c r="P9" s="31">
        <f t="shared" si="3"/>
        <v>274.72527472527474</v>
      </c>
      <c r="Q9" s="31">
        <f t="shared" si="3"/>
        <v>274.72527472527474</v>
      </c>
      <c r="R9" s="31">
        <f t="shared" si="3"/>
        <v>274.72527472527474</v>
      </c>
      <c r="S9" s="31">
        <f t="shared" si="3"/>
        <v>274.72527472527474</v>
      </c>
      <c r="T9" s="2"/>
      <c r="U9" s="33">
        <v>0</v>
      </c>
      <c r="V9" s="33">
        <v>0</v>
      </c>
      <c r="W9" s="33">
        <v>0</v>
      </c>
      <c r="X9" s="37">
        <v>0</v>
      </c>
      <c r="Y9" s="2">
        <f t="shared" si="7"/>
        <v>0</v>
      </c>
      <c r="Z9" s="31">
        <f t="shared" si="8"/>
        <v>1923.0769230769229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f t="shared" si="4"/>
        <v>0</v>
      </c>
      <c r="AH9" s="6" t="b">
        <f t="shared" si="5"/>
        <v>1</v>
      </c>
      <c r="AI9" s="31">
        <f t="shared" si="9"/>
        <v>0</v>
      </c>
      <c r="AJ9" s="31">
        <f>SUM(M9:S9)</f>
        <v>1923.0769230769229</v>
      </c>
      <c r="AK9" s="35">
        <v>0.2</v>
      </c>
      <c r="AL9" s="36">
        <v>1</v>
      </c>
      <c r="AM9" s="31">
        <f t="shared" si="10"/>
        <v>384.61538461538458</v>
      </c>
      <c r="AN9" s="31">
        <f t="shared" si="11"/>
        <v>0</v>
      </c>
      <c r="AO9" s="31"/>
    </row>
    <row r="10" spans="1:50" s="6" customFormat="1" ht="15" customHeight="1" x14ac:dyDescent="0.15">
      <c r="A10" s="136" t="s">
        <v>254</v>
      </c>
      <c r="B10" s="26" t="s">
        <v>52</v>
      </c>
      <c r="C10" s="26" t="s">
        <v>53</v>
      </c>
      <c r="D10" s="26" t="s">
        <v>148</v>
      </c>
      <c r="E10" s="26" t="s">
        <v>54</v>
      </c>
      <c r="F10" s="27">
        <f t="shared" ref="F10:F16" si="13">+F9</f>
        <v>45691</v>
      </c>
      <c r="G10" s="27">
        <f t="shared" si="12"/>
        <v>45697</v>
      </c>
      <c r="H10" s="28">
        <f t="shared" si="2"/>
        <v>7</v>
      </c>
      <c r="I10" s="29">
        <f>((520000)/52)</f>
        <v>10000</v>
      </c>
      <c r="J10" s="30">
        <f>((520000)/52)</f>
        <v>10000</v>
      </c>
      <c r="K10" s="31">
        <f t="shared" si="6"/>
        <v>10000.000000000002</v>
      </c>
      <c r="L10" s="32"/>
      <c r="M10" s="31">
        <f t="shared" si="3"/>
        <v>1428.5714285714287</v>
      </c>
      <c r="N10" s="31">
        <f t="shared" si="3"/>
        <v>1428.5714285714287</v>
      </c>
      <c r="O10" s="31">
        <f t="shared" si="3"/>
        <v>1428.5714285714287</v>
      </c>
      <c r="P10" s="31">
        <f t="shared" si="3"/>
        <v>1428.5714285714287</v>
      </c>
      <c r="Q10" s="31">
        <f t="shared" si="3"/>
        <v>1428.5714285714287</v>
      </c>
      <c r="R10" s="31">
        <f t="shared" si="3"/>
        <v>1428.5714285714287</v>
      </c>
      <c r="S10" s="31">
        <f t="shared" si="3"/>
        <v>1428.5714285714287</v>
      </c>
      <c r="T10" s="2"/>
      <c r="U10" s="33">
        <v>0</v>
      </c>
      <c r="V10" s="33">
        <v>0</v>
      </c>
      <c r="W10" s="33">
        <v>0</v>
      </c>
      <c r="X10" s="37"/>
      <c r="Y10" s="2">
        <f t="shared" si="7"/>
        <v>0</v>
      </c>
      <c r="Z10" s="31">
        <f t="shared" si="8"/>
        <v>10000.000000000002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f t="shared" si="4"/>
        <v>0</v>
      </c>
      <c r="AH10" s="6" t="b">
        <f t="shared" si="5"/>
        <v>1</v>
      </c>
      <c r="AI10" s="31">
        <f t="shared" si="9"/>
        <v>-10000.000000000002</v>
      </c>
      <c r="AJ10" s="31">
        <v>0</v>
      </c>
      <c r="AK10" s="38"/>
      <c r="AL10" s="36"/>
      <c r="AM10" s="31">
        <f t="shared" si="10"/>
        <v>0</v>
      </c>
      <c r="AN10" s="31">
        <f t="shared" si="11"/>
        <v>0</v>
      </c>
      <c r="AO10" s="31"/>
    </row>
    <row r="11" spans="1:50" s="39" customFormat="1" ht="15" customHeight="1" x14ac:dyDescent="0.15">
      <c r="A11" s="136" t="s">
        <v>257</v>
      </c>
      <c r="B11" s="26" t="s">
        <v>55</v>
      </c>
      <c r="C11" s="26" t="s">
        <v>56</v>
      </c>
      <c r="D11" s="26" t="s">
        <v>149</v>
      </c>
      <c r="E11" s="26" t="s">
        <v>46</v>
      </c>
      <c r="F11" s="27">
        <f t="shared" si="13"/>
        <v>45691</v>
      </c>
      <c r="G11" s="27">
        <f t="shared" si="12"/>
        <v>45697</v>
      </c>
      <c r="H11" s="28">
        <f t="shared" si="2"/>
        <v>7</v>
      </c>
      <c r="I11" s="29">
        <f>2884.62+100+100</f>
        <v>3084.62</v>
      </c>
      <c r="J11" s="30">
        <f>2884.62+100+100</f>
        <v>3084.62</v>
      </c>
      <c r="K11" s="31">
        <f t="shared" si="6"/>
        <v>3084.6199999999994</v>
      </c>
      <c r="L11" s="32"/>
      <c r="M11" s="31">
        <f t="shared" si="3"/>
        <v>440.65999999999997</v>
      </c>
      <c r="N11" s="31">
        <f t="shared" si="3"/>
        <v>440.65999999999997</v>
      </c>
      <c r="O11" s="31">
        <f t="shared" si="3"/>
        <v>440.65999999999997</v>
      </c>
      <c r="P11" s="31">
        <f t="shared" si="3"/>
        <v>440.65999999999997</v>
      </c>
      <c r="Q11" s="31">
        <f t="shared" si="3"/>
        <v>440.65999999999997</v>
      </c>
      <c r="R11" s="31">
        <f t="shared" si="3"/>
        <v>440.65999999999997</v>
      </c>
      <c r="S11" s="31">
        <f t="shared" si="3"/>
        <v>440.65999999999997</v>
      </c>
      <c r="T11" s="2"/>
      <c r="U11" s="33">
        <v>0</v>
      </c>
      <c r="V11" s="33">
        <v>0</v>
      </c>
      <c r="W11" s="33">
        <v>0</v>
      </c>
      <c r="X11" s="37"/>
      <c r="Y11" s="2">
        <f t="shared" si="7"/>
        <v>0</v>
      </c>
      <c r="Z11" s="31">
        <f t="shared" si="8"/>
        <v>3084.6199999999994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f t="shared" si="4"/>
        <v>0</v>
      </c>
      <c r="AH11" s="6" t="b">
        <f t="shared" si="5"/>
        <v>1</v>
      </c>
      <c r="AI11" s="31">
        <f t="shared" si="9"/>
        <v>0</v>
      </c>
      <c r="AJ11" s="31">
        <f t="shared" ref="AJ11:AJ16" si="14">SUM(M11:S11)</f>
        <v>3084.6199999999994</v>
      </c>
      <c r="AK11" s="31">
        <v>200</v>
      </c>
      <c r="AL11" s="36">
        <v>1</v>
      </c>
      <c r="AM11" s="31">
        <f>IF(AL11=1,AK11,0)</f>
        <v>200</v>
      </c>
      <c r="AN11" s="31">
        <f t="shared" si="11"/>
        <v>0</v>
      </c>
      <c r="AO11" s="31"/>
      <c r="AP11" s="6"/>
      <c r="AQ11" s="6"/>
      <c r="AR11" s="6"/>
      <c r="AS11" s="6"/>
      <c r="AT11" s="6"/>
      <c r="AU11" s="6"/>
      <c r="AV11" s="6"/>
      <c r="AW11" s="6"/>
      <c r="AX11" s="6"/>
    </row>
    <row r="12" spans="1:50" s="6" customFormat="1" ht="15" customHeight="1" x14ac:dyDescent="0.15">
      <c r="A12" s="136" t="s">
        <v>258</v>
      </c>
      <c r="B12" s="26" t="s">
        <v>57</v>
      </c>
      <c r="C12" s="26" t="s">
        <v>58</v>
      </c>
      <c r="D12" s="26" t="s">
        <v>150</v>
      </c>
      <c r="E12" s="26" t="s">
        <v>59</v>
      </c>
      <c r="F12" s="27">
        <f t="shared" si="13"/>
        <v>45691</v>
      </c>
      <c r="G12" s="27">
        <f t="shared" si="12"/>
        <v>45697</v>
      </c>
      <c r="H12" s="28">
        <f t="shared" si="2"/>
        <v>7</v>
      </c>
      <c r="I12" s="29">
        <f>((260000)/52)</f>
        <v>5000</v>
      </c>
      <c r="J12" s="30">
        <f>((260000)/52)</f>
        <v>5000</v>
      </c>
      <c r="K12" s="31">
        <f t="shared" si="6"/>
        <v>5000.0000000000009</v>
      </c>
      <c r="L12" s="32"/>
      <c r="M12" s="31">
        <f t="shared" si="3"/>
        <v>714.28571428571433</v>
      </c>
      <c r="N12" s="31">
        <f t="shared" si="3"/>
        <v>714.28571428571433</v>
      </c>
      <c r="O12" s="31">
        <f t="shared" si="3"/>
        <v>714.28571428571433</v>
      </c>
      <c r="P12" s="31">
        <f t="shared" si="3"/>
        <v>714.28571428571433</v>
      </c>
      <c r="Q12" s="31">
        <f t="shared" si="3"/>
        <v>714.28571428571433</v>
      </c>
      <c r="R12" s="31">
        <f t="shared" si="3"/>
        <v>714.28571428571433</v>
      </c>
      <c r="S12" s="31">
        <f t="shared" si="3"/>
        <v>714.28571428571433</v>
      </c>
      <c r="T12" s="2"/>
      <c r="U12" s="33">
        <v>0</v>
      </c>
      <c r="V12" s="33">
        <v>0</v>
      </c>
      <c r="W12" s="33">
        <v>0</v>
      </c>
      <c r="X12" s="37"/>
      <c r="Y12" s="2">
        <f t="shared" si="7"/>
        <v>0</v>
      </c>
      <c r="Z12" s="31">
        <f t="shared" si="8"/>
        <v>5000.0000000000009</v>
      </c>
      <c r="AA12" s="31">
        <v>0</v>
      </c>
      <c r="AB12" s="31">
        <v>0</v>
      </c>
      <c r="AC12" s="31">
        <f>+(R12-S12)*5</f>
        <v>0</v>
      </c>
      <c r="AD12" s="31">
        <v>0</v>
      </c>
      <c r="AE12" s="31">
        <v>0</v>
      </c>
      <c r="AF12" s="31">
        <v>0</v>
      </c>
      <c r="AG12" s="31">
        <f t="shared" si="4"/>
        <v>0</v>
      </c>
      <c r="AH12" s="6" t="b">
        <f t="shared" si="5"/>
        <v>1</v>
      </c>
      <c r="AI12" s="31">
        <f t="shared" si="9"/>
        <v>0</v>
      </c>
      <c r="AJ12" s="31">
        <f t="shared" si="14"/>
        <v>5000.0000000000009</v>
      </c>
      <c r="AK12" s="31">
        <v>525</v>
      </c>
      <c r="AL12" s="36">
        <v>2</v>
      </c>
      <c r="AM12" s="31">
        <f t="shared" si="10"/>
        <v>0</v>
      </c>
      <c r="AN12" s="31">
        <f>IF(AL12=2,AK12,0)</f>
        <v>525</v>
      </c>
      <c r="AO12" s="31"/>
      <c r="AP12" s="37"/>
    </row>
    <row r="13" spans="1:50" s="6" customFormat="1" ht="15" customHeight="1" x14ac:dyDescent="0.15">
      <c r="A13" s="136" t="s">
        <v>259</v>
      </c>
      <c r="B13" s="26" t="s">
        <v>60</v>
      </c>
      <c r="C13" s="26" t="s">
        <v>61</v>
      </c>
      <c r="D13" s="26" t="s">
        <v>151</v>
      </c>
      <c r="E13" s="26" t="s">
        <v>62</v>
      </c>
      <c r="F13" s="27">
        <f t="shared" si="13"/>
        <v>45691</v>
      </c>
      <c r="G13" s="27">
        <f t="shared" si="12"/>
        <v>45697</v>
      </c>
      <c r="H13" s="28">
        <f t="shared" si="2"/>
        <v>7</v>
      </c>
      <c r="I13" s="29">
        <f>4300+100+100</f>
        <v>4500</v>
      </c>
      <c r="J13" s="30">
        <f>+I13/2</f>
        <v>2250</v>
      </c>
      <c r="K13" s="31">
        <f t="shared" si="6"/>
        <v>2250.0000000000005</v>
      </c>
      <c r="L13" s="32"/>
      <c r="M13" s="31">
        <f t="shared" si="3"/>
        <v>321.42857142857144</v>
      </c>
      <c r="N13" s="31">
        <f t="shared" si="3"/>
        <v>321.42857142857144</v>
      </c>
      <c r="O13" s="31">
        <f t="shared" si="3"/>
        <v>321.42857142857144</v>
      </c>
      <c r="P13" s="31">
        <f t="shared" si="3"/>
        <v>321.42857142857144</v>
      </c>
      <c r="Q13" s="31">
        <f t="shared" si="3"/>
        <v>321.42857142857144</v>
      </c>
      <c r="R13" s="31">
        <f t="shared" si="3"/>
        <v>321.42857142857144</v>
      </c>
      <c r="S13" s="31">
        <f t="shared" si="3"/>
        <v>321.42857142857144</v>
      </c>
      <c r="T13" s="2"/>
      <c r="U13" s="33">
        <v>0</v>
      </c>
      <c r="V13" s="33">
        <v>0</v>
      </c>
      <c r="W13" s="33">
        <v>0</v>
      </c>
      <c r="X13" s="34"/>
      <c r="Y13" s="2">
        <f t="shared" si="7"/>
        <v>0</v>
      </c>
      <c r="Z13" s="31">
        <f t="shared" si="8"/>
        <v>2250.0000000000005</v>
      </c>
      <c r="AA13" s="31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f t="shared" si="4"/>
        <v>0</v>
      </c>
      <c r="AH13" s="6" t="b">
        <f t="shared" si="5"/>
        <v>1</v>
      </c>
      <c r="AI13" s="31">
        <f t="shared" si="9"/>
        <v>0</v>
      </c>
      <c r="AJ13" s="31">
        <f t="shared" si="14"/>
        <v>2250.0000000000005</v>
      </c>
      <c r="AK13" s="35">
        <v>0.1</v>
      </c>
      <c r="AL13" s="36">
        <v>1</v>
      </c>
      <c r="AM13" s="31">
        <f t="shared" si="10"/>
        <v>225.00000000000006</v>
      </c>
      <c r="AN13" s="31">
        <f t="shared" si="11"/>
        <v>0</v>
      </c>
      <c r="AO13" s="31"/>
    </row>
    <row r="14" spans="1:50" s="6" customFormat="1" ht="15" customHeight="1" x14ac:dyDescent="0.15">
      <c r="A14" s="136" t="s">
        <v>260</v>
      </c>
      <c r="B14" s="26" t="s">
        <v>63</v>
      </c>
      <c r="C14" s="26" t="s">
        <v>64</v>
      </c>
      <c r="D14" s="26" t="s">
        <v>152</v>
      </c>
      <c r="E14" s="26" t="s">
        <v>65</v>
      </c>
      <c r="F14" s="27">
        <f t="shared" si="13"/>
        <v>45691</v>
      </c>
      <c r="G14" s="27">
        <f t="shared" si="12"/>
        <v>45697</v>
      </c>
      <c r="H14" s="28">
        <f t="shared" si="2"/>
        <v>7</v>
      </c>
      <c r="I14" s="29">
        <f>4300+100+100</f>
        <v>4500</v>
      </c>
      <c r="J14" s="30">
        <f>+I14/2</f>
        <v>2250</v>
      </c>
      <c r="K14" s="31">
        <f t="shared" si="6"/>
        <v>2394.0000000000005</v>
      </c>
      <c r="L14" s="32"/>
      <c r="M14" s="31">
        <f t="shared" si="3"/>
        <v>321.42857142857144</v>
      </c>
      <c r="N14" s="31">
        <f t="shared" si="3"/>
        <v>321.42857142857144</v>
      </c>
      <c r="O14" s="31">
        <f t="shared" si="3"/>
        <v>321.42857142857144</v>
      </c>
      <c r="P14" s="31">
        <f t="shared" si="3"/>
        <v>321.42857142857144</v>
      </c>
      <c r="Q14" s="31">
        <f t="shared" si="3"/>
        <v>321.42857142857144</v>
      </c>
      <c r="R14" s="31">
        <f t="shared" si="3"/>
        <v>321.42857142857144</v>
      </c>
      <c r="S14" s="31">
        <f t="shared" si="3"/>
        <v>321.42857142857144</v>
      </c>
      <c r="T14" s="2"/>
      <c r="U14" s="33">
        <v>144</v>
      </c>
      <c r="V14" s="33">
        <v>0</v>
      </c>
      <c r="W14" s="33">
        <v>0</v>
      </c>
      <c r="X14" s="37"/>
      <c r="Y14" s="2">
        <f t="shared" si="7"/>
        <v>0</v>
      </c>
      <c r="Z14" s="31">
        <f t="shared" si="8"/>
        <v>2250.0000000000005</v>
      </c>
      <c r="AA14" s="31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f t="shared" si="4"/>
        <v>144</v>
      </c>
      <c r="AH14" s="6" t="b">
        <f t="shared" si="5"/>
        <v>1</v>
      </c>
      <c r="AI14" s="31">
        <f t="shared" si="9"/>
        <v>-144</v>
      </c>
      <c r="AJ14" s="31">
        <f t="shared" si="14"/>
        <v>2250.0000000000005</v>
      </c>
      <c r="AK14" s="35">
        <v>0.11</v>
      </c>
      <c r="AL14" s="36">
        <v>1</v>
      </c>
      <c r="AM14" s="31">
        <f t="shared" si="10"/>
        <v>247.50000000000006</v>
      </c>
      <c r="AN14" s="31">
        <f t="shared" si="11"/>
        <v>0</v>
      </c>
      <c r="AO14" s="31"/>
    </row>
    <row r="15" spans="1:50" s="6" customFormat="1" ht="15" customHeight="1" x14ac:dyDescent="0.15">
      <c r="A15" s="136" t="s">
        <v>261</v>
      </c>
      <c r="B15" s="40" t="s">
        <v>66</v>
      </c>
      <c r="C15" s="40" t="s">
        <v>67</v>
      </c>
      <c r="D15" s="40" t="s">
        <v>153</v>
      </c>
      <c r="E15" s="40" t="s">
        <v>43</v>
      </c>
      <c r="F15" s="27">
        <f t="shared" si="13"/>
        <v>45691</v>
      </c>
      <c r="G15" s="41">
        <f t="shared" si="12"/>
        <v>45697</v>
      </c>
      <c r="H15" s="42">
        <f t="shared" si="2"/>
        <v>7</v>
      </c>
      <c r="I15" s="43">
        <f>250000/52</f>
        <v>4807.6923076923076</v>
      </c>
      <c r="J15" s="44">
        <f>250000/52</f>
        <v>4807.6923076923076</v>
      </c>
      <c r="K15" s="31">
        <f t="shared" si="6"/>
        <v>4807.6923076923076</v>
      </c>
      <c r="L15" s="32"/>
      <c r="M15" s="31">
        <f t="shared" si="3"/>
        <v>686.8131868131868</v>
      </c>
      <c r="N15" s="31">
        <f t="shared" si="3"/>
        <v>686.8131868131868</v>
      </c>
      <c r="O15" s="31">
        <f t="shared" si="3"/>
        <v>686.8131868131868</v>
      </c>
      <c r="P15" s="31">
        <f t="shared" si="3"/>
        <v>686.8131868131868</v>
      </c>
      <c r="Q15" s="31">
        <f t="shared" si="3"/>
        <v>686.8131868131868</v>
      </c>
      <c r="R15" s="31">
        <f t="shared" si="3"/>
        <v>686.8131868131868</v>
      </c>
      <c r="S15" s="31">
        <f t="shared" si="3"/>
        <v>686.8131868131868</v>
      </c>
      <c r="T15" s="2"/>
      <c r="U15" s="33">
        <v>0</v>
      </c>
      <c r="V15" s="33">
        <v>0</v>
      </c>
      <c r="W15" s="45">
        <v>0</v>
      </c>
      <c r="X15" s="46"/>
      <c r="Y15" s="2">
        <f t="shared" si="7"/>
        <v>0</v>
      </c>
      <c r="Z15" s="31">
        <f t="shared" si="8"/>
        <v>4807.6923076923076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f t="shared" si="4"/>
        <v>0</v>
      </c>
      <c r="AH15" s="6" t="b">
        <f t="shared" si="5"/>
        <v>1</v>
      </c>
      <c r="AI15" s="31">
        <f t="shared" si="9"/>
        <v>0</v>
      </c>
      <c r="AJ15" s="31">
        <f t="shared" si="14"/>
        <v>4807.6923076923076</v>
      </c>
      <c r="AK15" s="31">
        <v>225</v>
      </c>
      <c r="AL15" s="36">
        <v>1</v>
      </c>
      <c r="AM15" s="31">
        <f>IF(AL15=1,AK15,0)</f>
        <v>225</v>
      </c>
      <c r="AN15" s="31">
        <f t="shared" si="11"/>
        <v>0</v>
      </c>
      <c r="AO15" s="47"/>
    </row>
    <row r="16" spans="1:50" s="6" customFormat="1" ht="15" customHeight="1" x14ac:dyDescent="0.15">
      <c r="A16" s="136" t="s">
        <v>262</v>
      </c>
      <c r="B16" s="48" t="s">
        <v>68</v>
      </c>
      <c r="C16" s="48"/>
      <c r="D16" s="48" t="s">
        <v>154</v>
      </c>
      <c r="E16" s="48" t="s">
        <v>62</v>
      </c>
      <c r="F16" s="27">
        <f t="shared" si="13"/>
        <v>45691</v>
      </c>
      <c r="G16" s="49">
        <f t="shared" si="12"/>
        <v>45697</v>
      </c>
      <c r="H16" s="50">
        <f t="shared" si="2"/>
        <v>7</v>
      </c>
      <c r="I16" s="31">
        <f>2625+100</f>
        <v>2725</v>
      </c>
      <c r="J16" s="31">
        <f>2625+100</f>
        <v>2725</v>
      </c>
      <c r="K16" s="31">
        <f t="shared" si="6"/>
        <v>2725</v>
      </c>
      <c r="L16" s="32"/>
      <c r="M16" s="31">
        <f>+$J$16/7</f>
        <v>389.28571428571428</v>
      </c>
      <c r="N16" s="31">
        <f t="shared" ref="N16:S16" si="15">+$J$16/7</f>
        <v>389.28571428571428</v>
      </c>
      <c r="O16" s="31">
        <f t="shared" si="15"/>
        <v>389.28571428571428</v>
      </c>
      <c r="P16" s="31">
        <f t="shared" si="15"/>
        <v>389.28571428571428</v>
      </c>
      <c r="Q16" s="31">
        <f t="shared" si="15"/>
        <v>389.28571428571428</v>
      </c>
      <c r="R16" s="31">
        <f t="shared" si="15"/>
        <v>389.28571428571428</v>
      </c>
      <c r="S16" s="31">
        <f t="shared" si="15"/>
        <v>389.28571428571428</v>
      </c>
      <c r="T16" s="2"/>
      <c r="U16" s="33">
        <v>0</v>
      </c>
      <c r="V16" s="33">
        <v>0</v>
      </c>
      <c r="W16" s="31">
        <v>0</v>
      </c>
      <c r="X16" s="51" t="s">
        <v>69</v>
      </c>
      <c r="Y16" s="2">
        <f t="shared" si="7"/>
        <v>0</v>
      </c>
      <c r="Z16" s="31">
        <f t="shared" si="8"/>
        <v>2725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f t="shared" si="4"/>
        <v>0</v>
      </c>
      <c r="AH16" s="6" t="b">
        <f t="shared" si="5"/>
        <v>1</v>
      </c>
      <c r="AI16" s="31">
        <f t="shared" si="9"/>
        <v>0</v>
      </c>
      <c r="AJ16" s="31">
        <f t="shared" si="14"/>
        <v>2725</v>
      </c>
      <c r="AK16" s="35">
        <v>7.0000000000000007E-2</v>
      </c>
      <c r="AL16" s="36">
        <v>1</v>
      </c>
      <c r="AM16" s="31">
        <f t="shared" si="10"/>
        <v>190.75000000000003</v>
      </c>
      <c r="AN16" s="31">
        <f t="shared" si="11"/>
        <v>0</v>
      </c>
      <c r="AO16" s="31"/>
    </row>
    <row r="17" spans="1:50" s="155" customFormat="1" ht="15" customHeight="1" x14ac:dyDescent="0.15">
      <c r="A17" s="146"/>
      <c r="B17" s="146"/>
      <c r="C17" s="146"/>
      <c r="D17" s="151"/>
      <c r="E17" s="146"/>
      <c r="F17" s="141"/>
      <c r="G17" s="152"/>
      <c r="H17" s="153"/>
      <c r="I17" s="154"/>
      <c r="J17" s="154"/>
      <c r="K17" s="154"/>
      <c r="L17" s="145"/>
      <c r="M17" s="154"/>
      <c r="N17" s="154"/>
      <c r="O17" s="154"/>
      <c r="P17" s="154"/>
      <c r="Q17" s="154"/>
      <c r="R17" s="154"/>
      <c r="S17" s="154"/>
      <c r="T17" s="146"/>
      <c r="U17" s="154"/>
      <c r="V17" s="154"/>
      <c r="W17" s="154"/>
      <c r="X17" s="146"/>
      <c r="Y17" s="146">
        <f t="shared" si="7"/>
        <v>0</v>
      </c>
      <c r="Z17" s="154"/>
      <c r="AA17" s="154"/>
      <c r="AB17" s="154"/>
      <c r="AC17" s="154"/>
      <c r="AD17" s="154"/>
      <c r="AE17" s="154"/>
      <c r="AF17" s="154"/>
      <c r="AG17" s="154"/>
      <c r="AI17" s="154"/>
      <c r="AJ17" s="154"/>
      <c r="AK17" s="146"/>
      <c r="AL17" s="156"/>
      <c r="AM17" s="154"/>
      <c r="AN17" s="154"/>
      <c r="AO17" s="154"/>
    </row>
    <row r="18" spans="1:50" s="6" customFormat="1" ht="15" customHeight="1" x14ac:dyDescent="0.15">
      <c r="A18" s="48" t="s">
        <v>179</v>
      </c>
      <c r="B18" s="48" t="s">
        <v>70</v>
      </c>
      <c r="C18" s="48" t="s">
        <v>71</v>
      </c>
      <c r="D18" s="48" t="s">
        <v>155</v>
      </c>
      <c r="E18" s="48" t="s">
        <v>43</v>
      </c>
      <c r="F18" s="27">
        <f>+F16</f>
        <v>45691</v>
      </c>
      <c r="G18" s="49">
        <f>+G16</f>
        <v>45697</v>
      </c>
      <c r="H18" s="50">
        <f t="shared" ref="H18:H39" si="16">IF(G18-F18=0,0,G18-F18+1)</f>
        <v>7</v>
      </c>
      <c r="I18" s="31">
        <f>200000/52</f>
        <v>3846.1538461538462</v>
      </c>
      <c r="J18" s="31">
        <f>200000/52</f>
        <v>3846.1538461538462</v>
      </c>
      <c r="K18" s="31">
        <f>SUM(M18:W18)</f>
        <v>3699.3038461538458</v>
      </c>
      <c r="L18" s="32"/>
      <c r="M18" s="31">
        <f t="shared" si="3"/>
        <v>549.45054945054949</v>
      </c>
      <c r="N18" s="31">
        <f t="shared" si="3"/>
        <v>549.45054945054949</v>
      </c>
      <c r="O18" s="31">
        <f t="shared" si="3"/>
        <v>549.45054945054949</v>
      </c>
      <c r="P18" s="31">
        <f t="shared" si="3"/>
        <v>549.45054945054949</v>
      </c>
      <c r="Q18" s="31">
        <f t="shared" si="3"/>
        <v>549.45054945054949</v>
      </c>
      <c r="R18" s="31">
        <f t="shared" si="3"/>
        <v>549.45054945054949</v>
      </c>
      <c r="S18" s="31">
        <f t="shared" si="3"/>
        <v>549.45054945054949</v>
      </c>
      <c r="T18" s="2"/>
      <c r="U18" s="31">
        <v>-146.85</v>
      </c>
      <c r="V18" s="31">
        <v>0</v>
      </c>
      <c r="W18" s="31">
        <v>0</v>
      </c>
      <c r="X18" s="51"/>
      <c r="Y18" s="2">
        <f t="shared" si="7"/>
        <v>0</v>
      </c>
      <c r="Z18" s="31">
        <v>0</v>
      </c>
      <c r="AA18" s="31">
        <f t="shared" ref="AA18:AA39" si="17">+K18-AB18-AC18-AD18-AE18-AF18-AG18</f>
        <v>3846.1538461538457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>
        <f>+U18</f>
        <v>-146.85</v>
      </c>
      <c r="AH18" s="6" t="b">
        <f t="shared" si="5"/>
        <v>1</v>
      </c>
      <c r="AI18" s="31">
        <f t="shared" si="9"/>
        <v>-3699.3038461538458</v>
      </c>
      <c r="AJ18" s="31">
        <v>0</v>
      </c>
      <c r="AK18" s="51"/>
      <c r="AL18" s="36">
        <v>1</v>
      </c>
      <c r="AM18" s="31">
        <f>IF(AL18=1,AJ18*AK18,0)</f>
        <v>0</v>
      </c>
      <c r="AN18" s="31">
        <f>IF(AL18=2,AJ18*AK18,0)</f>
        <v>0</v>
      </c>
      <c r="AO18" s="31"/>
    </row>
    <row r="19" spans="1:50" s="6" customFormat="1" ht="15" customHeight="1" x14ac:dyDescent="0.15">
      <c r="A19" s="53" t="s">
        <v>180</v>
      </c>
      <c r="B19" s="53" t="s">
        <v>72</v>
      </c>
      <c r="C19" s="53" t="s">
        <v>73</v>
      </c>
      <c r="D19" s="53" t="s">
        <v>156</v>
      </c>
      <c r="E19" s="53" t="s">
        <v>43</v>
      </c>
      <c r="F19" s="27">
        <f t="shared" ref="F19:G34" si="18">+F18</f>
        <v>45691</v>
      </c>
      <c r="G19" s="54">
        <f>+G18</f>
        <v>45697</v>
      </c>
      <c r="H19" s="55">
        <f t="shared" si="16"/>
        <v>7</v>
      </c>
      <c r="I19" s="56">
        <v>4225</v>
      </c>
      <c r="J19" s="33">
        <f>+I19/2</f>
        <v>2112.5</v>
      </c>
      <c r="K19" s="31">
        <f>SUM(M19:W19)</f>
        <v>2112.5</v>
      </c>
      <c r="L19" s="32"/>
      <c r="M19" s="31">
        <f>+$J$19/7</f>
        <v>301.78571428571428</v>
      </c>
      <c r="N19" s="31">
        <f t="shared" ref="N19:S19" si="19">+$J$19/7</f>
        <v>301.78571428571428</v>
      </c>
      <c r="O19" s="31">
        <f t="shared" si="19"/>
        <v>301.78571428571428</v>
      </c>
      <c r="P19" s="31">
        <f t="shared" si="19"/>
        <v>301.78571428571428</v>
      </c>
      <c r="Q19" s="31">
        <f t="shared" si="19"/>
        <v>301.78571428571428</v>
      </c>
      <c r="R19" s="31">
        <f t="shared" si="19"/>
        <v>301.78571428571428</v>
      </c>
      <c r="S19" s="31">
        <f t="shared" si="19"/>
        <v>301.78571428571428</v>
      </c>
      <c r="T19" s="2"/>
      <c r="U19" s="33">
        <v>0</v>
      </c>
      <c r="V19" s="33">
        <v>0</v>
      </c>
      <c r="W19" s="33">
        <v>0</v>
      </c>
      <c r="X19" s="51"/>
      <c r="Y19" s="2">
        <f t="shared" si="7"/>
        <v>0</v>
      </c>
      <c r="Z19" s="31">
        <v>0</v>
      </c>
      <c r="AA19" s="31">
        <f t="shared" si="17"/>
        <v>2112.5</v>
      </c>
      <c r="AB19" s="31">
        <v>0</v>
      </c>
      <c r="AC19" s="31">
        <v>0</v>
      </c>
      <c r="AD19" s="31">
        <v>0</v>
      </c>
      <c r="AE19" s="31">
        <v>0</v>
      </c>
      <c r="AF19" s="31">
        <v>0</v>
      </c>
      <c r="AG19" s="31">
        <f t="shared" ref="AG19:AG24" si="20">+V19</f>
        <v>0</v>
      </c>
      <c r="AH19" s="6" t="b">
        <f t="shared" si="5"/>
        <v>1</v>
      </c>
      <c r="AI19" s="31">
        <f t="shared" si="9"/>
        <v>0</v>
      </c>
      <c r="AJ19" s="31">
        <f>SUM(M19:S19)</f>
        <v>2112.5</v>
      </c>
      <c r="AK19" s="35">
        <v>0.03</v>
      </c>
      <c r="AL19" s="36">
        <v>1</v>
      </c>
      <c r="AM19" s="31">
        <f>IF(AL19=1,AJ19*AK19,0)</f>
        <v>63.375</v>
      </c>
      <c r="AN19" s="31">
        <f>IF(AL19=2,AJ19*AK19,0)</f>
        <v>0</v>
      </c>
      <c r="AO19" s="31"/>
    </row>
    <row r="20" spans="1:50" s="6" customFormat="1" ht="15" customHeight="1" x14ac:dyDescent="0.15">
      <c r="A20" s="26" t="s">
        <v>181</v>
      </c>
      <c r="B20" s="26" t="s">
        <v>74</v>
      </c>
      <c r="C20" s="26"/>
      <c r="D20" s="26" t="s">
        <v>157</v>
      </c>
      <c r="E20" s="26" t="s">
        <v>75</v>
      </c>
      <c r="F20" s="27">
        <f t="shared" si="18"/>
        <v>45691</v>
      </c>
      <c r="G20" s="27">
        <f t="shared" si="18"/>
        <v>45697</v>
      </c>
      <c r="H20" s="28">
        <f t="shared" si="16"/>
        <v>7</v>
      </c>
      <c r="I20" s="29">
        <f>500*7</f>
        <v>3500</v>
      </c>
      <c r="J20" s="30">
        <v>1200</v>
      </c>
      <c r="K20" s="31">
        <f t="shared" ref="K20:K39" si="21">SUM(M20:W20)</f>
        <v>1199.9999999999998</v>
      </c>
      <c r="L20" s="32"/>
      <c r="M20" s="31">
        <f t="shared" si="3"/>
        <v>171.42857142857142</v>
      </c>
      <c r="N20" s="31">
        <f t="shared" si="3"/>
        <v>171.42857142857142</v>
      </c>
      <c r="O20" s="31">
        <f t="shared" si="3"/>
        <v>171.42857142857142</v>
      </c>
      <c r="P20" s="31">
        <f t="shared" si="3"/>
        <v>171.42857142857142</v>
      </c>
      <c r="Q20" s="31">
        <f t="shared" si="3"/>
        <v>171.42857142857142</v>
      </c>
      <c r="R20" s="31">
        <f t="shared" si="3"/>
        <v>171.42857142857142</v>
      </c>
      <c r="S20" s="31">
        <f t="shared" si="3"/>
        <v>171.42857142857142</v>
      </c>
      <c r="T20" s="2"/>
      <c r="U20" s="33">
        <v>0</v>
      </c>
      <c r="V20" s="33">
        <v>0</v>
      </c>
      <c r="W20" s="33">
        <v>0</v>
      </c>
      <c r="X20" s="37"/>
      <c r="Y20" s="2">
        <f t="shared" si="7"/>
        <v>0</v>
      </c>
      <c r="Z20" s="31">
        <v>0</v>
      </c>
      <c r="AA20" s="31">
        <f t="shared" si="17"/>
        <v>1199.9999999999998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f t="shared" si="20"/>
        <v>0</v>
      </c>
      <c r="AH20" s="6" t="b">
        <f t="shared" si="5"/>
        <v>1</v>
      </c>
      <c r="AI20" s="31">
        <f t="shared" si="9"/>
        <v>-1199.9999999999998</v>
      </c>
      <c r="AJ20" s="31">
        <v>0</v>
      </c>
      <c r="AK20" s="35"/>
      <c r="AL20" s="36"/>
      <c r="AM20" s="31"/>
      <c r="AN20" s="31"/>
      <c r="AO20" s="31"/>
    </row>
    <row r="21" spans="1:50" s="6" customFormat="1" ht="15" customHeight="1" x14ac:dyDescent="0.15">
      <c r="A21" s="26" t="s">
        <v>182</v>
      </c>
      <c r="B21" s="26" t="s">
        <v>76</v>
      </c>
      <c r="C21" s="26" t="s">
        <v>77</v>
      </c>
      <c r="D21" s="26" t="s">
        <v>158</v>
      </c>
      <c r="E21" s="26" t="s">
        <v>78</v>
      </c>
      <c r="F21" s="27">
        <f t="shared" si="18"/>
        <v>45691</v>
      </c>
      <c r="G21" s="27">
        <f t="shared" si="18"/>
        <v>45697</v>
      </c>
      <c r="H21" s="28">
        <f t="shared" si="16"/>
        <v>7</v>
      </c>
      <c r="I21" s="29">
        <f>3750+100+100</f>
        <v>3950</v>
      </c>
      <c r="J21" s="30">
        <f>+I21/2</f>
        <v>1975</v>
      </c>
      <c r="K21" s="31">
        <f t="shared" si="21"/>
        <v>1975</v>
      </c>
      <c r="L21" s="32"/>
      <c r="M21" s="31">
        <f t="shared" si="3"/>
        <v>282.14285714285717</v>
      </c>
      <c r="N21" s="31">
        <f t="shared" si="3"/>
        <v>282.14285714285717</v>
      </c>
      <c r="O21" s="31">
        <f t="shared" si="3"/>
        <v>282.14285714285717</v>
      </c>
      <c r="P21" s="31">
        <f t="shared" si="3"/>
        <v>282.14285714285717</v>
      </c>
      <c r="Q21" s="31">
        <f t="shared" si="3"/>
        <v>282.14285714285717</v>
      </c>
      <c r="R21" s="31">
        <f t="shared" si="3"/>
        <v>282.14285714285717</v>
      </c>
      <c r="S21" s="31">
        <f t="shared" si="3"/>
        <v>282.14285714285717</v>
      </c>
      <c r="T21" s="2"/>
      <c r="U21" s="33">
        <v>0</v>
      </c>
      <c r="V21" s="33">
        <v>0</v>
      </c>
      <c r="W21" s="33">
        <v>0</v>
      </c>
      <c r="X21" s="37"/>
      <c r="Y21" s="2">
        <f t="shared" si="7"/>
        <v>0</v>
      </c>
      <c r="Z21" s="31">
        <v>0</v>
      </c>
      <c r="AA21" s="31">
        <f t="shared" si="17"/>
        <v>1975</v>
      </c>
      <c r="AB21" s="31">
        <v>0</v>
      </c>
      <c r="AC21" s="31">
        <f>+(R21-S21)*5</f>
        <v>0</v>
      </c>
      <c r="AD21" s="31">
        <v>0</v>
      </c>
      <c r="AE21" s="31">
        <v>0</v>
      </c>
      <c r="AF21" s="31">
        <v>0</v>
      </c>
      <c r="AG21" s="31">
        <f t="shared" si="20"/>
        <v>0</v>
      </c>
      <c r="AH21" s="6" t="b">
        <f t="shared" si="5"/>
        <v>1</v>
      </c>
      <c r="AI21" s="31">
        <f t="shared" si="9"/>
        <v>0</v>
      </c>
      <c r="AJ21" s="31">
        <f t="shared" ref="AJ21:AJ30" si="22">SUM(M21:S21)</f>
        <v>1975</v>
      </c>
      <c r="AK21" s="35">
        <v>0.1</v>
      </c>
      <c r="AL21" s="36">
        <v>2</v>
      </c>
      <c r="AM21" s="31">
        <f t="shared" ref="AM21:AM30" si="23">IF(AL21=1,AJ21*AK21,0)</f>
        <v>0</v>
      </c>
      <c r="AN21" s="31">
        <f t="shared" ref="AN21:AN30" si="24">IF(AL21=2,AJ21*AK21,0)</f>
        <v>197.5</v>
      </c>
      <c r="AO21" s="31"/>
    </row>
    <row r="22" spans="1:50" s="39" customFormat="1" ht="15" customHeight="1" x14ac:dyDescent="0.15">
      <c r="A22" s="26" t="s">
        <v>183</v>
      </c>
      <c r="B22" s="26" t="s">
        <v>79</v>
      </c>
      <c r="C22" s="26" t="s">
        <v>80</v>
      </c>
      <c r="D22" s="26" t="s">
        <v>159</v>
      </c>
      <c r="E22" s="26" t="s">
        <v>65</v>
      </c>
      <c r="F22" s="27">
        <f t="shared" si="18"/>
        <v>45691</v>
      </c>
      <c r="G22" s="27">
        <f t="shared" si="18"/>
        <v>45697</v>
      </c>
      <c r="H22" s="28">
        <f t="shared" si="16"/>
        <v>7</v>
      </c>
      <c r="I22" s="29">
        <f>4000+100+100+100+100</f>
        <v>4400</v>
      </c>
      <c r="J22" s="30">
        <f>+I22/2</f>
        <v>2200</v>
      </c>
      <c r="K22" s="31">
        <f t="shared" si="21"/>
        <v>2200</v>
      </c>
      <c r="L22" s="32"/>
      <c r="M22" s="31">
        <f t="shared" ref="M22:S37" si="25">IF(M$4="Other 50%",($I22*0.5)/7,IF(M$4="Other 75%",($I22*0.75)/7,IF(M$4="Other 100%",$I22/7,IF(M$4="On Tour 50%",($I22*0.5)/7,IF(M$4="On Tour 100%",$I22/7,IF(M$4="Off Tour 50%",($J22*0.5)/7,IF(M$4="Off Tour 100%",$J22/7,0)))))))</f>
        <v>314.28571428571428</v>
      </c>
      <c r="N22" s="31">
        <f t="shared" si="25"/>
        <v>314.28571428571428</v>
      </c>
      <c r="O22" s="31">
        <f t="shared" si="25"/>
        <v>314.28571428571428</v>
      </c>
      <c r="P22" s="31">
        <f t="shared" si="25"/>
        <v>314.28571428571428</v>
      </c>
      <c r="Q22" s="31">
        <f t="shared" si="25"/>
        <v>314.28571428571428</v>
      </c>
      <c r="R22" s="31">
        <f t="shared" si="25"/>
        <v>314.28571428571428</v>
      </c>
      <c r="S22" s="31">
        <f t="shared" si="25"/>
        <v>314.28571428571428</v>
      </c>
      <c r="T22" s="2"/>
      <c r="U22" s="33">
        <v>0</v>
      </c>
      <c r="V22" s="33">
        <v>0</v>
      </c>
      <c r="W22" s="33">
        <v>0</v>
      </c>
      <c r="X22" s="37"/>
      <c r="Y22" s="2">
        <f t="shared" si="7"/>
        <v>0</v>
      </c>
      <c r="Z22" s="31">
        <v>0</v>
      </c>
      <c r="AA22" s="31">
        <f t="shared" si="17"/>
        <v>2200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f t="shared" si="20"/>
        <v>0</v>
      </c>
      <c r="AH22" s="6" t="b">
        <f t="shared" si="5"/>
        <v>1</v>
      </c>
      <c r="AI22" s="31">
        <f t="shared" si="9"/>
        <v>0</v>
      </c>
      <c r="AJ22" s="31">
        <f t="shared" si="22"/>
        <v>2200</v>
      </c>
      <c r="AK22" s="35">
        <v>0.2</v>
      </c>
      <c r="AL22" s="36">
        <v>1</v>
      </c>
      <c r="AM22" s="31">
        <f t="shared" si="23"/>
        <v>440</v>
      </c>
      <c r="AN22" s="31">
        <f t="shared" si="24"/>
        <v>0</v>
      </c>
      <c r="AO22" s="31">
        <v>216.26</v>
      </c>
      <c r="AP22" s="6"/>
      <c r="AQ22" s="6"/>
      <c r="AR22" s="6"/>
      <c r="AS22" s="6"/>
      <c r="AT22" s="6"/>
      <c r="AU22" s="6"/>
      <c r="AV22" s="6"/>
      <c r="AW22" s="6"/>
      <c r="AX22" s="6"/>
    </row>
    <row r="23" spans="1:50" s="6" customFormat="1" ht="15" customHeight="1" x14ac:dyDescent="0.15">
      <c r="A23" s="26" t="s">
        <v>83</v>
      </c>
      <c r="B23" s="26" t="s">
        <v>81</v>
      </c>
      <c r="C23" s="26" t="s">
        <v>82</v>
      </c>
      <c r="D23" s="26" t="s">
        <v>160</v>
      </c>
      <c r="E23" s="26" t="s">
        <v>54</v>
      </c>
      <c r="F23" s="27">
        <f t="shared" si="18"/>
        <v>45691</v>
      </c>
      <c r="G23" s="27">
        <f t="shared" si="18"/>
        <v>45697</v>
      </c>
      <c r="H23" s="28">
        <f t="shared" si="16"/>
        <v>7</v>
      </c>
      <c r="I23" s="29">
        <f>(150000/52)+100+100</f>
        <v>3084.6153846153848</v>
      </c>
      <c r="J23" s="30">
        <f>(150000/52)+100+100</f>
        <v>3084.6153846153848</v>
      </c>
      <c r="K23" s="31">
        <f t="shared" si="21"/>
        <v>3084.6153846153848</v>
      </c>
      <c r="L23" s="32"/>
      <c r="M23" s="31">
        <f t="shared" si="25"/>
        <v>440.65934065934067</v>
      </c>
      <c r="N23" s="31">
        <f t="shared" si="25"/>
        <v>440.65934065934067</v>
      </c>
      <c r="O23" s="31">
        <f t="shared" si="25"/>
        <v>440.65934065934067</v>
      </c>
      <c r="P23" s="31">
        <f t="shared" si="25"/>
        <v>440.65934065934067</v>
      </c>
      <c r="Q23" s="31">
        <f t="shared" si="25"/>
        <v>440.65934065934067</v>
      </c>
      <c r="R23" s="31">
        <f t="shared" si="25"/>
        <v>440.65934065934067</v>
      </c>
      <c r="S23" s="31">
        <f t="shared" si="25"/>
        <v>440.65934065934067</v>
      </c>
      <c r="T23" s="2"/>
      <c r="U23" s="33">
        <v>0</v>
      </c>
      <c r="V23" s="33">
        <v>0</v>
      </c>
      <c r="W23" s="33">
        <v>0</v>
      </c>
      <c r="X23" s="37"/>
      <c r="Y23" s="2">
        <f t="shared" si="7"/>
        <v>0</v>
      </c>
      <c r="Z23" s="31">
        <v>0</v>
      </c>
      <c r="AA23" s="31">
        <f t="shared" si="17"/>
        <v>3084.6153846153848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f t="shared" si="20"/>
        <v>0</v>
      </c>
      <c r="AH23" s="6" t="b">
        <f t="shared" si="5"/>
        <v>1</v>
      </c>
      <c r="AI23" s="31">
        <f t="shared" si="9"/>
        <v>0</v>
      </c>
      <c r="AJ23" s="31">
        <f t="shared" si="22"/>
        <v>3084.6153846153848</v>
      </c>
      <c r="AK23" s="35">
        <v>0.05</v>
      </c>
      <c r="AL23" s="36">
        <v>1</v>
      </c>
      <c r="AM23" s="31">
        <f t="shared" si="23"/>
        <v>154.23076923076925</v>
      </c>
      <c r="AN23" s="31">
        <f t="shared" si="24"/>
        <v>0</v>
      </c>
      <c r="AO23" s="31"/>
    </row>
    <row r="24" spans="1:50" s="39" customFormat="1" ht="15" customHeight="1" x14ac:dyDescent="0.15">
      <c r="A24" s="26" t="s">
        <v>184</v>
      </c>
      <c r="B24" s="26" t="s">
        <v>70</v>
      </c>
      <c r="C24" s="26"/>
      <c r="D24" s="26" t="s">
        <v>161</v>
      </c>
      <c r="E24" s="26" t="s">
        <v>43</v>
      </c>
      <c r="F24" s="27">
        <f t="shared" si="18"/>
        <v>45691</v>
      </c>
      <c r="G24" s="27">
        <f t="shared" si="18"/>
        <v>45697</v>
      </c>
      <c r="H24" s="28">
        <f t="shared" si="16"/>
        <v>7</v>
      </c>
      <c r="I24" s="29">
        <f>4500+100+100+100</f>
        <v>4800</v>
      </c>
      <c r="J24" s="30">
        <f t="shared" ref="J24:J33" si="26">+I24/2</f>
        <v>2400</v>
      </c>
      <c r="K24" s="31">
        <f t="shared" si="21"/>
        <v>2399.9999999999995</v>
      </c>
      <c r="L24" s="32"/>
      <c r="M24" s="31">
        <f t="shared" si="25"/>
        <v>342.85714285714283</v>
      </c>
      <c r="N24" s="31">
        <f t="shared" si="25"/>
        <v>342.85714285714283</v>
      </c>
      <c r="O24" s="31">
        <f t="shared" si="25"/>
        <v>342.85714285714283</v>
      </c>
      <c r="P24" s="31">
        <f t="shared" si="25"/>
        <v>342.85714285714283</v>
      </c>
      <c r="Q24" s="31">
        <f t="shared" si="25"/>
        <v>342.85714285714283</v>
      </c>
      <c r="R24" s="31">
        <f t="shared" si="25"/>
        <v>342.85714285714283</v>
      </c>
      <c r="S24" s="31">
        <f t="shared" si="25"/>
        <v>342.85714285714283</v>
      </c>
      <c r="T24" s="2"/>
      <c r="U24" s="33">
        <v>0</v>
      </c>
      <c r="V24" s="33">
        <v>0</v>
      </c>
      <c r="W24" s="33">
        <v>0</v>
      </c>
      <c r="X24" s="37"/>
      <c r="Y24" s="2">
        <f t="shared" si="7"/>
        <v>0</v>
      </c>
      <c r="Z24" s="31">
        <v>0</v>
      </c>
      <c r="AA24" s="31">
        <f t="shared" si="17"/>
        <v>2399.9999999999995</v>
      </c>
      <c r="AB24" s="31">
        <v>0</v>
      </c>
      <c r="AC24" s="31">
        <f>+(R24-S24)*6</f>
        <v>0</v>
      </c>
      <c r="AD24" s="31">
        <v>0</v>
      </c>
      <c r="AE24" s="31">
        <v>0</v>
      </c>
      <c r="AF24" s="31">
        <v>0</v>
      </c>
      <c r="AG24" s="31">
        <f t="shared" si="20"/>
        <v>0</v>
      </c>
      <c r="AH24" s="6" t="b">
        <f t="shared" si="5"/>
        <v>1</v>
      </c>
      <c r="AI24" s="31">
        <f t="shared" si="9"/>
        <v>0</v>
      </c>
      <c r="AJ24" s="31">
        <f t="shared" si="22"/>
        <v>2399.9999999999995</v>
      </c>
      <c r="AK24" s="35">
        <v>0.1</v>
      </c>
      <c r="AL24" s="36">
        <v>2</v>
      </c>
      <c r="AM24" s="31">
        <f t="shared" si="23"/>
        <v>0</v>
      </c>
      <c r="AN24" s="31">
        <f t="shared" si="24"/>
        <v>239.99999999999997</v>
      </c>
      <c r="AO24" s="31">
        <v>216.26</v>
      </c>
      <c r="AP24" s="6"/>
      <c r="AQ24" s="6"/>
      <c r="AR24" s="6"/>
      <c r="AS24" s="6"/>
      <c r="AT24" s="6"/>
      <c r="AU24" s="6"/>
      <c r="AV24" s="6"/>
      <c r="AW24" s="6"/>
      <c r="AX24" s="6"/>
    </row>
    <row r="25" spans="1:50" s="6" customFormat="1" ht="15" customHeight="1" x14ac:dyDescent="0.15">
      <c r="A25" s="26" t="s">
        <v>185</v>
      </c>
      <c r="B25" s="26" t="s">
        <v>84</v>
      </c>
      <c r="C25" s="26" t="s">
        <v>85</v>
      </c>
      <c r="D25" s="26" t="s">
        <v>162</v>
      </c>
      <c r="E25" s="26" t="s">
        <v>43</v>
      </c>
      <c r="F25" s="27">
        <f t="shared" si="18"/>
        <v>45691</v>
      </c>
      <c r="G25" s="27">
        <f t="shared" si="18"/>
        <v>45697</v>
      </c>
      <c r="H25" s="28">
        <f t="shared" si="16"/>
        <v>7</v>
      </c>
      <c r="I25" s="29">
        <f>3500+50+50+100+100+100+100</f>
        <v>4000</v>
      </c>
      <c r="J25" s="30">
        <f t="shared" si="26"/>
        <v>2000</v>
      </c>
      <c r="K25" s="31">
        <f t="shared" si="21"/>
        <v>2000.0000000000002</v>
      </c>
      <c r="L25" s="32"/>
      <c r="M25" s="31">
        <f t="shared" si="25"/>
        <v>285.71428571428572</v>
      </c>
      <c r="N25" s="31">
        <f t="shared" si="25"/>
        <v>285.71428571428572</v>
      </c>
      <c r="O25" s="31">
        <f t="shared" si="25"/>
        <v>285.71428571428572</v>
      </c>
      <c r="P25" s="31">
        <f t="shared" si="25"/>
        <v>285.71428571428572</v>
      </c>
      <c r="Q25" s="31">
        <f t="shared" si="25"/>
        <v>285.71428571428572</v>
      </c>
      <c r="R25" s="31">
        <f t="shared" si="25"/>
        <v>285.71428571428572</v>
      </c>
      <c r="S25" s="31">
        <f t="shared" si="25"/>
        <v>285.71428571428572</v>
      </c>
      <c r="T25" s="2"/>
      <c r="U25" s="33">
        <v>0</v>
      </c>
      <c r="V25" s="33">
        <v>0</v>
      </c>
      <c r="W25" s="33">
        <v>0</v>
      </c>
      <c r="X25" s="57"/>
      <c r="Y25" s="2">
        <f t="shared" si="7"/>
        <v>0</v>
      </c>
      <c r="Z25" s="31">
        <v>0</v>
      </c>
      <c r="AA25" s="31">
        <f t="shared" si="17"/>
        <v>2000.0000000000002</v>
      </c>
      <c r="AB25" s="31">
        <v>0</v>
      </c>
      <c r="AC25" s="31">
        <f>+(R25-S25)*6</f>
        <v>0</v>
      </c>
      <c r="AD25" s="31">
        <v>0</v>
      </c>
      <c r="AE25" s="31">
        <v>0</v>
      </c>
      <c r="AF25" s="31">
        <v>0</v>
      </c>
      <c r="AG25" s="31">
        <f>+V25+W25</f>
        <v>0</v>
      </c>
      <c r="AH25" s="6" t="b">
        <f t="shared" si="5"/>
        <v>1</v>
      </c>
      <c r="AI25" s="31">
        <f t="shared" si="9"/>
        <v>0</v>
      </c>
      <c r="AJ25" s="31">
        <f t="shared" si="22"/>
        <v>2000.0000000000002</v>
      </c>
      <c r="AK25" s="35">
        <v>0.06</v>
      </c>
      <c r="AL25" s="36">
        <v>1</v>
      </c>
      <c r="AM25" s="31">
        <f t="shared" si="23"/>
        <v>120.00000000000001</v>
      </c>
      <c r="AN25" s="31">
        <f t="shared" si="24"/>
        <v>0</v>
      </c>
      <c r="AO25" s="31">
        <v>0</v>
      </c>
    </row>
    <row r="26" spans="1:50" s="6" customFormat="1" ht="15" customHeight="1" x14ac:dyDescent="0.15">
      <c r="A26" s="26" t="s">
        <v>186</v>
      </c>
      <c r="B26" s="26" t="s">
        <v>86</v>
      </c>
      <c r="C26" s="26" t="s">
        <v>87</v>
      </c>
      <c r="D26" s="26" t="s">
        <v>163</v>
      </c>
      <c r="E26" s="26" t="s">
        <v>43</v>
      </c>
      <c r="F26" s="27">
        <f t="shared" si="18"/>
        <v>45691</v>
      </c>
      <c r="G26" s="27">
        <f t="shared" si="18"/>
        <v>45697</v>
      </c>
      <c r="H26" s="28">
        <f t="shared" si="16"/>
        <v>7</v>
      </c>
      <c r="I26" s="29">
        <f>3500+100</f>
        <v>3600</v>
      </c>
      <c r="J26" s="30">
        <f t="shared" si="26"/>
        <v>1800</v>
      </c>
      <c r="K26" s="31">
        <f t="shared" si="21"/>
        <v>1800</v>
      </c>
      <c r="L26" s="2"/>
      <c r="M26" s="31">
        <f t="shared" si="25"/>
        <v>257.14285714285717</v>
      </c>
      <c r="N26" s="31">
        <f t="shared" si="25"/>
        <v>257.14285714285717</v>
      </c>
      <c r="O26" s="31">
        <f t="shared" si="25"/>
        <v>257.14285714285717</v>
      </c>
      <c r="P26" s="31">
        <f t="shared" si="25"/>
        <v>257.14285714285717</v>
      </c>
      <c r="Q26" s="31">
        <f>+J26/7</f>
        <v>257.14285714285717</v>
      </c>
      <c r="R26" s="31">
        <f>+J26/7</f>
        <v>257.14285714285717</v>
      </c>
      <c r="S26" s="31">
        <f>+J26/7</f>
        <v>257.14285714285717</v>
      </c>
      <c r="T26" s="2"/>
      <c r="U26" s="33">
        <v>0</v>
      </c>
      <c r="V26" s="33">
        <v>0</v>
      </c>
      <c r="W26" s="33">
        <v>0</v>
      </c>
      <c r="X26" s="37"/>
      <c r="Y26" s="2">
        <f t="shared" si="7"/>
        <v>0</v>
      </c>
      <c r="Z26" s="31">
        <v>0</v>
      </c>
      <c r="AA26" s="31">
        <f t="shared" si="17"/>
        <v>1800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f t="shared" ref="AG26:AG39" si="27">+V26</f>
        <v>0</v>
      </c>
      <c r="AH26" s="6" t="b">
        <f t="shared" si="5"/>
        <v>1</v>
      </c>
      <c r="AI26" s="31">
        <f t="shared" si="9"/>
        <v>0</v>
      </c>
      <c r="AJ26" s="31">
        <f t="shared" si="22"/>
        <v>1800</v>
      </c>
      <c r="AK26" s="35">
        <v>0.2</v>
      </c>
      <c r="AL26" s="36">
        <v>1</v>
      </c>
      <c r="AM26" s="31">
        <f t="shared" si="23"/>
        <v>360</v>
      </c>
      <c r="AN26" s="31">
        <f t="shared" si="24"/>
        <v>0</v>
      </c>
      <c r="AO26" s="31"/>
    </row>
    <row r="27" spans="1:50" s="6" customFormat="1" ht="15" customHeight="1" x14ac:dyDescent="0.15">
      <c r="A27" s="26" t="s">
        <v>187</v>
      </c>
      <c r="B27" s="26" t="s">
        <v>88</v>
      </c>
      <c r="C27" s="26" t="s">
        <v>89</v>
      </c>
      <c r="D27" s="26" t="s">
        <v>164</v>
      </c>
      <c r="E27" s="26" t="s">
        <v>46</v>
      </c>
      <c r="F27" s="27">
        <f t="shared" si="18"/>
        <v>45691</v>
      </c>
      <c r="G27" s="27">
        <f t="shared" si="18"/>
        <v>45697</v>
      </c>
      <c r="H27" s="28">
        <f t="shared" si="16"/>
        <v>7</v>
      </c>
      <c r="I27" s="29">
        <f>6500+100+100</f>
        <v>6700</v>
      </c>
      <c r="J27" s="30">
        <f t="shared" si="26"/>
        <v>3350</v>
      </c>
      <c r="K27" s="31">
        <f t="shared" si="21"/>
        <v>3349.9999999999995</v>
      </c>
      <c r="L27" s="32"/>
      <c r="M27" s="31">
        <f t="shared" si="25"/>
        <v>478.57142857142856</v>
      </c>
      <c r="N27" s="31">
        <f t="shared" si="25"/>
        <v>478.57142857142856</v>
      </c>
      <c r="O27" s="31">
        <f t="shared" si="25"/>
        <v>478.57142857142856</v>
      </c>
      <c r="P27" s="31">
        <f t="shared" si="25"/>
        <v>478.57142857142856</v>
      </c>
      <c r="Q27" s="31">
        <f t="shared" si="25"/>
        <v>478.57142857142856</v>
      </c>
      <c r="R27" s="31">
        <f t="shared" si="25"/>
        <v>478.57142857142856</v>
      </c>
      <c r="S27" s="31">
        <f t="shared" si="25"/>
        <v>478.57142857142856</v>
      </c>
      <c r="T27" s="2"/>
      <c r="U27" s="33">
        <v>0</v>
      </c>
      <c r="V27" s="33">
        <v>0</v>
      </c>
      <c r="W27" s="33">
        <v>0</v>
      </c>
      <c r="X27" s="37"/>
      <c r="Y27" s="2">
        <f t="shared" si="7"/>
        <v>0</v>
      </c>
      <c r="Z27" s="31">
        <v>0</v>
      </c>
      <c r="AA27" s="31">
        <f t="shared" si="17"/>
        <v>3349.9999999999995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f t="shared" si="27"/>
        <v>0</v>
      </c>
      <c r="AH27" s="6" t="b">
        <f t="shared" si="5"/>
        <v>1</v>
      </c>
      <c r="AI27" s="31">
        <f t="shared" si="9"/>
        <v>0</v>
      </c>
      <c r="AJ27" s="31">
        <f t="shared" si="22"/>
        <v>3349.9999999999995</v>
      </c>
      <c r="AK27" s="35">
        <v>7.0000000000000007E-2</v>
      </c>
      <c r="AL27" s="36">
        <v>2</v>
      </c>
      <c r="AM27" s="31">
        <f t="shared" si="23"/>
        <v>0</v>
      </c>
      <c r="AN27" s="31">
        <f t="shared" si="24"/>
        <v>234.5</v>
      </c>
      <c r="AO27" s="31"/>
    </row>
    <row r="28" spans="1:50" s="39" customFormat="1" ht="15" customHeight="1" x14ac:dyDescent="0.15">
      <c r="A28" s="26" t="s">
        <v>189</v>
      </c>
      <c r="B28" s="26" t="s">
        <v>90</v>
      </c>
      <c r="C28" s="26" t="s">
        <v>91</v>
      </c>
      <c r="D28" s="26" t="s">
        <v>165</v>
      </c>
      <c r="E28" s="26" t="s">
        <v>92</v>
      </c>
      <c r="F28" s="27">
        <f t="shared" si="18"/>
        <v>45691</v>
      </c>
      <c r="G28" s="27">
        <f t="shared" si="18"/>
        <v>45697</v>
      </c>
      <c r="H28" s="28">
        <f t="shared" si="16"/>
        <v>7</v>
      </c>
      <c r="I28" s="29">
        <f>3000+100+100+100+100</f>
        <v>3400</v>
      </c>
      <c r="J28" s="30">
        <f t="shared" si="26"/>
        <v>1700</v>
      </c>
      <c r="K28" s="31">
        <f t="shared" si="21"/>
        <v>1700</v>
      </c>
      <c r="L28" s="32"/>
      <c r="M28" s="31">
        <f t="shared" si="25"/>
        <v>242.85714285714286</v>
      </c>
      <c r="N28" s="31">
        <f t="shared" si="25"/>
        <v>242.85714285714286</v>
      </c>
      <c r="O28" s="31">
        <f t="shared" si="25"/>
        <v>242.85714285714286</v>
      </c>
      <c r="P28" s="31">
        <f t="shared" si="25"/>
        <v>242.85714285714286</v>
      </c>
      <c r="Q28" s="31">
        <f t="shared" si="25"/>
        <v>242.85714285714286</v>
      </c>
      <c r="R28" s="31">
        <f t="shared" si="25"/>
        <v>242.85714285714286</v>
      </c>
      <c r="S28" s="31">
        <f t="shared" si="25"/>
        <v>242.85714285714286</v>
      </c>
      <c r="T28" s="2"/>
      <c r="U28" s="33">
        <v>0</v>
      </c>
      <c r="V28" s="33">
        <v>0</v>
      </c>
      <c r="W28" s="33">
        <v>0</v>
      </c>
      <c r="X28" s="37"/>
      <c r="Y28" s="2">
        <f t="shared" si="7"/>
        <v>0</v>
      </c>
      <c r="Z28" s="31">
        <v>0</v>
      </c>
      <c r="AA28" s="31">
        <f t="shared" si="17"/>
        <v>1700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f t="shared" si="27"/>
        <v>0</v>
      </c>
      <c r="AH28" s="6" t="b">
        <f t="shared" si="5"/>
        <v>1</v>
      </c>
      <c r="AI28" s="31">
        <f t="shared" si="9"/>
        <v>0</v>
      </c>
      <c r="AJ28" s="31">
        <f t="shared" si="22"/>
        <v>1700</v>
      </c>
      <c r="AK28" s="35">
        <v>0.15</v>
      </c>
      <c r="AL28" s="36">
        <v>1</v>
      </c>
      <c r="AM28" s="31">
        <f t="shared" si="23"/>
        <v>255</v>
      </c>
      <c r="AN28" s="31">
        <f t="shared" si="24"/>
        <v>0</v>
      </c>
      <c r="AO28" s="31"/>
      <c r="AP28" s="6"/>
      <c r="AQ28" s="6"/>
      <c r="AR28" s="6"/>
      <c r="AS28" s="6"/>
      <c r="AT28" s="6"/>
      <c r="AU28" s="6"/>
      <c r="AV28" s="6"/>
      <c r="AW28" s="6"/>
      <c r="AX28" s="6"/>
    </row>
    <row r="29" spans="1:50" s="6" customFormat="1" ht="15" customHeight="1" x14ac:dyDescent="0.15">
      <c r="A29" s="26" t="s">
        <v>188</v>
      </c>
      <c r="B29" s="26" t="s">
        <v>93</v>
      </c>
      <c r="C29" s="26" t="s">
        <v>94</v>
      </c>
      <c r="D29" s="26" t="s">
        <v>166</v>
      </c>
      <c r="E29" s="26" t="s">
        <v>95</v>
      </c>
      <c r="F29" s="27">
        <f t="shared" si="18"/>
        <v>45691</v>
      </c>
      <c r="G29" s="27">
        <f t="shared" si="18"/>
        <v>45697</v>
      </c>
      <c r="H29" s="28">
        <f t="shared" si="16"/>
        <v>7</v>
      </c>
      <c r="I29" s="29">
        <f>2550+50+50+50+50+50+100+100+100+100</f>
        <v>3200</v>
      </c>
      <c r="J29" s="30">
        <f t="shared" si="26"/>
        <v>1600</v>
      </c>
      <c r="K29" s="31">
        <f t="shared" si="21"/>
        <v>1600.0000000000002</v>
      </c>
      <c r="L29" s="32"/>
      <c r="M29" s="31">
        <f t="shared" si="25"/>
        <v>228.57142857142858</v>
      </c>
      <c r="N29" s="31">
        <f t="shared" si="25"/>
        <v>228.57142857142858</v>
      </c>
      <c r="O29" s="31">
        <f t="shared" si="25"/>
        <v>228.57142857142858</v>
      </c>
      <c r="P29" s="31">
        <f t="shared" si="25"/>
        <v>228.57142857142858</v>
      </c>
      <c r="Q29" s="31">
        <f t="shared" si="25"/>
        <v>228.57142857142858</v>
      </c>
      <c r="R29" s="31">
        <f t="shared" si="25"/>
        <v>228.57142857142858</v>
      </c>
      <c r="S29" s="31">
        <f t="shared" si="25"/>
        <v>228.57142857142858</v>
      </c>
      <c r="T29" s="2"/>
      <c r="U29" s="33">
        <v>0</v>
      </c>
      <c r="V29" s="33">
        <v>0</v>
      </c>
      <c r="W29" s="33">
        <v>0</v>
      </c>
      <c r="X29" s="37"/>
      <c r="Y29" s="2">
        <f t="shared" si="7"/>
        <v>0</v>
      </c>
      <c r="Z29" s="31">
        <v>0</v>
      </c>
      <c r="AA29" s="31">
        <f t="shared" si="17"/>
        <v>1600.0000000000002</v>
      </c>
      <c r="AB29" s="31">
        <v>0</v>
      </c>
      <c r="AC29" s="31">
        <f>+(R29-S29)*6</f>
        <v>0</v>
      </c>
      <c r="AD29" s="31">
        <v>0</v>
      </c>
      <c r="AE29" s="31">
        <v>0</v>
      </c>
      <c r="AF29" s="31">
        <v>0</v>
      </c>
      <c r="AG29" s="31">
        <f t="shared" si="27"/>
        <v>0</v>
      </c>
      <c r="AH29" s="6" t="b">
        <f t="shared" si="5"/>
        <v>1</v>
      </c>
      <c r="AI29" s="31">
        <f t="shared" si="9"/>
        <v>0</v>
      </c>
      <c r="AJ29" s="31">
        <f t="shared" si="22"/>
        <v>1600.0000000000002</v>
      </c>
      <c r="AK29" s="35">
        <v>0.1</v>
      </c>
      <c r="AL29" s="36">
        <v>1</v>
      </c>
      <c r="AM29" s="31">
        <f t="shared" si="23"/>
        <v>160.00000000000003</v>
      </c>
      <c r="AN29" s="31">
        <f t="shared" si="24"/>
        <v>0</v>
      </c>
      <c r="AO29" s="31"/>
    </row>
    <row r="30" spans="1:50" s="6" customFormat="1" ht="15" customHeight="1" x14ac:dyDescent="0.15">
      <c r="A30" s="26" t="s">
        <v>190</v>
      </c>
      <c r="B30" s="26" t="s">
        <v>81</v>
      </c>
      <c r="C30" s="26" t="s">
        <v>96</v>
      </c>
      <c r="D30" s="26" t="s">
        <v>167</v>
      </c>
      <c r="E30" s="26" t="s">
        <v>46</v>
      </c>
      <c r="F30" s="27">
        <f t="shared" si="18"/>
        <v>45691</v>
      </c>
      <c r="G30" s="27">
        <f t="shared" si="18"/>
        <v>45697</v>
      </c>
      <c r="H30" s="28">
        <f t="shared" si="16"/>
        <v>7</v>
      </c>
      <c r="I30" s="29">
        <f>2100+50+100+100+100+350+100</f>
        <v>2900</v>
      </c>
      <c r="J30" s="30">
        <f t="shared" si="26"/>
        <v>1450</v>
      </c>
      <c r="K30" s="31">
        <f t="shared" si="21"/>
        <v>1450</v>
      </c>
      <c r="L30" s="32"/>
      <c r="M30" s="31">
        <f t="shared" si="25"/>
        <v>207.14285714285714</v>
      </c>
      <c r="N30" s="31">
        <f t="shared" si="25"/>
        <v>207.14285714285714</v>
      </c>
      <c r="O30" s="31">
        <f t="shared" si="25"/>
        <v>207.14285714285714</v>
      </c>
      <c r="P30" s="31">
        <f t="shared" si="25"/>
        <v>207.14285714285714</v>
      </c>
      <c r="Q30" s="31">
        <f t="shared" si="25"/>
        <v>207.14285714285714</v>
      </c>
      <c r="R30" s="31">
        <f t="shared" si="25"/>
        <v>207.14285714285714</v>
      </c>
      <c r="S30" s="31">
        <f t="shared" si="25"/>
        <v>207.14285714285714</v>
      </c>
      <c r="T30" s="2"/>
      <c r="U30" s="33">
        <v>0</v>
      </c>
      <c r="V30" s="33">
        <v>0</v>
      </c>
      <c r="W30" s="33">
        <v>0</v>
      </c>
      <c r="X30" s="37"/>
      <c r="Y30" s="2">
        <f t="shared" si="7"/>
        <v>0</v>
      </c>
      <c r="Z30" s="31">
        <v>0</v>
      </c>
      <c r="AA30" s="31">
        <f t="shared" si="17"/>
        <v>1450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f t="shared" si="27"/>
        <v>0</v>
      </c>
      <c r="AH30" s="6" t="b">
        <f t="shared" si="5"/>
        <v>1</v>
      </c>
      <c r="AI30" s="31">
        <f t="shared" si="9"/>
        <v>0</v>
      </c>
      <c r="AJ30" s="31">
        <f t="shared" si="22"/>
        <v>1450</v>
      </c>
      <c r="AK30" s="35">
        <v>0.1</v>
      </c>
      <c r="AL30" s="36">
        <v>2</v>
      </c>
      <c r="AM30" s="31">
        <f t="shared" si="23"/>
        <v>0</v>
      </c>
      <c r="AN30" s="31">
        <f t="shared" si="24"/>
        <v>145</v>
      </c>
      <c r="AO30" s="31">
        <v>201.12</v>
      </c>
    </row>
    <row r="31" spans="1:50" s="6" customFormat="1" ht="15" customHeight="1" x14ac:dyDescent="0.15">
      <c r="A31" s="26" t="s">
        <v>191</v>
      </c>
      <c r="B31" s="26" t="s">
        <v>97</v>
      </c>
      <c r="C31" s="26" t="s">
        <v>98</v>
      </c>
      <c r="D31" s="26" t="s">
        <v>168</v>
      </c>
      <c r="E31" s="26" t="s">
        <v>62</v>
      </c>
      <c r="F31" s="27">
        <f t="shared" si="18"/>
        <v>45691</v>
      </c>
      <c r="G31" s="27">
        <f t="shared" si="18"/>
        <v>45697</v>
      </c>
      <c r="H31" s="28">
        <f t="shared" si="16"/>
        <v>7</v>
      </c>
      <c r="I31" s="29">
        <v>4225</v>
      </c>
      <c r="J31" s="30">
        <f>+I31/4</f>
        <v>1056.25</v>
      </c>
      <c r="K31" s="31">
        <f t="shared" si="21"/>
        <v>1056.25</v>
      </c>
      <c r="L31" s="32"/>
      <c r="M31" s="31">
        <f>+$J$31/7</f>
        <v>150.89285714285714</v>
      </c>
      <c r="N31" s="31">
        <f t="shared" ref="N31:S31" si="28">+$J$31/7</f>
        <v>150.89285714285714</v>
      </c>
      <c r="O31" s="31">
        <f t="shared" si="28"/>
        <v>150.89285714285714</v>
      </c>
      <c r="P31" s="31">
        <f t="shared" si="28"/>
        <v>150.89285714285714</v>
      </c>
      <c r="Q31" s="31">
        <f t="shared" si="28"/>
        <v>150.89285714285714</v>
      </c>
      <c r="R31" s="31">
        <f t="shared" si="28"/>
        <v>150.89285714285714</v>
      </c>
      <c r="S31" s="31">
        <f t="shared" si="28"/>
        <v>150.89285714285714</v>
      </c>
      <c r="T31" s="2"/>
      <c r="U31" s="33">
        <v>0</v>
      </c>
      <c r="V31" s="33">
        <v>0</v>
      </c>
      <c r="W31" s="33">
        <v>0</v>
      </c>
      <c r="X31" s="51"/>
      <c r="Y31" s="2">
        <f t="shared" si="7"/>
        <v>0</v>
      </c>
      <c r="Z31" s="31">
        <v>0</v>
      </c>
      <c r="AA31" s="31">
        <f t="shared" si="17"/>
        <v>1056.25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f t="shared" si="27"/>
        <v>0</v>
      </c>
      <c r="AH31" s="6" t="b">
        <f t="shared" si="5"/>
        <v>1</v>
      </c>
      <c r="AI31" s="31">
        <f t="shared" si="9"/>
        <v>-1056.25</v>
      </c>
      <c r="AJ31" s="31">
        <v>0</v>
      </c>
      <c r="AK31" s="35"/>
      <c r="AL31" s="36"/>
      <c r="AM31" s="31"/>
      <c r="AN31" s="31"/>
      <c r="AO31" s="31"/>
    </row>
    <row r="32" spans="1:50" s="6" customFormat="1" ht="15" customHeight="1" x14ac:dyDescent="0.15">
      <c r="A32" s="26" t="s">
        <v>192</v>
      </c>
      <c r="B32" s="26" t="s">
        <v>99</v>
      </c>
      <c r="C32" s="26" t="s">
        <v>100</v>
      </c>
      <c r="D32" s="26" t="s">
        <v>169</v>
      </c>
      <c r="E32" s="26" t="s">
        <v>101</v>
      </c>
      <c r="F32" s="27">
        <f t="shared" si="18"/>
        <v>45691</v>
      </c>
      <c r="G32" s="27">
        <f t="shared" si="18"/>
        <v>45697</v>
      </c>
      <c r="H32" s="28">
        <f t="shared" si="16"/>
        <v>7</v>
      </c>
      <c r="I32" s="29">
        <f>6000+100+100</f>
        <v>6200</v>
      </c>
      <c r="J32" s="30">
        <f t="shared" si="26"/>
        <v>3100</v>
      </c>
      <c r="K32" s="31">
        <f t="shared" si="21"/>
        <v>3099.9999999999995</v>
      </c>
      <c r="L32" s="32"/>
      <c r="M32" s="31">
        <f>+$J$32/7</f>
        <v>442.85714285714283</v>
      </c>
      <c r="N32" s="31">
        <f t="shared" ref="N32:S32" si="29">+$J$32/7</f>
        <v>442.85714285714283</v>
      </c>
      <c r="O32" s="31">
        <f t="shared" si="29"/>
        <v>442.85714285714283</v>
      </c>
      <c r="P32" s="31">
        <f t="shared" si="29"/>
        <v>442.85714285714283</v>
      </c>
      <c r="Q32" s="31">
        <f t="shared" si="29"/>
        <v>442.85714285714283</v>
      </c>
      <c r="R32" s="31">
        <f t="shared" si="29"/>
        <v>442.85714285714283</v>
      </c>
      <c r="S32" s="31">
        <f t="shared" si="29"/>
        <v>442.85714285714283</v>
      </c>
      <c r="T32" s="2"/>
      <c r="U32" s="33">
        <v>0</v>
      </c>
      <c r="V32" s="33">
        <v>0</v>
      </c>
      <c r="W32" s="33">
        <v>0</v>
      </c>
      <c r="X32" s="51"/>
      <c r="Y32" s="2">
        <f t="shared" si="7"/>
        <v>0</v>
      </c>
      <c r="Z32" s="31">
        <v>0</v>
      </c>
      <c r="AA32" s="31">
        <f t="shared" si="17"/>
        <v>3099.9999999999995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f t="shared" si="27"/>
        <v>0</v>
      </c>
      <c r="AH32" s="6" t="b">
        <f t="shared" si="5"/>
        <v>1</v>
      </c>
      <c r="AI32" s="31">
        <f t="shared" si="9"/>
        <v>0</v>
      </c>
      <c r="AJ32" s="31">
        <f>SUM(M32:S32)</f>
        <v>3099.9999999999995</v>
      </c>
      <c r="AK32" s="35">
        <v>0.1</v>
      </c>
      <c r="AL32" s="36">
        <v>1</v>
      </c>
      <c r="AM32" s="31">
        <f>IF(AL32=1,AJ32*AK32,0)</f>
        <v>310</v>
      </c>
      <c r="AN32" s="31">
        <f>IF(AL32=2,AJ32*AK32,0)</f>
        <v>0</v>
      </c>
      <c r="AO32" s="31"/>
    </row>
    <row r="33" spans="1:50" s="6" customFormat="1" ht="15" customHeight="1" x14ac:dyDescent="0.15">
      <c r="A33" s="26" t="s">
        <v>193</v>
      </c>
      <c r="B33" s="26" t="s">
        <v>102</v>
      </c>
      <c r="C33" s="26"/>
      <c r="D33" s="26" t="s">
        <v>170</v>
      </c>
      <c r="E33" s="26" t="s">
        <v>46</v>
      </c>
      <c r="F33" s="27">
        <f t="shared" si="18"/>
        <v>45691</v>
      </c>
      <c r="G33" s="27">
        <f t="shared" si="18"/>
        <v>45697</v>
      </c>
      <c r="H33" s="28">
        <f t="shared" si="16"/>
        <v>7</v>
      </c>
      <c r="I33" s="29">
        <f>2250+100+100+100+100</f>
        <v>2650</v>
      </c>
      <c r="J33" s="30">
        <f t="shared" si="26"/>
        <v>1325</v>
      </c>
      <c r="K33" s="31">
        <f t="shared" si="21"/>
        <v>1324.9999999999998</v>
      </c>
      <c r="L33" s="32"/>
      <c r="M33" s="31">
        <f t="shared" si="25"/>
        <v>189.28571428571428</v>
      </c>
      <c r="N33" s="31">
        <f t="shared" si="25"/>
        <v>189.28571428571428</v>
      </c>
      <c r="O33" s="31">
        <f t="shared" si="25"/>
        <v>189.28571428571428</v>
      </c>
      <c r="P33" s="31">
        <f t="shared" si="25"/>
        <v>189.28571428571428</v>
      </c>
      <c r="Q33" s="31">
        <f t="shared" si="25"/>
        <v>189.28571428571428</v>
      </c>
      <c r="R33" s="31">
        <f t="shared" si="25"/>
        <v>189.28571428571428</v>
      </c>
      <c r="S33" s="31">
        <f t="shared" si="25"/>
        <v>189.28571428571428</v>
      </c>
      <c r="T33" s="2"/>
      <c r="U33" s="33">
        <v>0</v>
      </c>
      <c r="V33" s="33"/>
      <c r="W33" s="33">
        <v>0</v>
      </c>
      <c r="X33" s="37"/>
      <c r="Y33" s="2">
        <f t="shared" si="7"/>
        <v>0</v>
      </c>
      <c r="Z33" s="31">
        <v>0</v>
      </c>
      <c r="AA33" s="31">
        <f t="shared" si="17"/>
        <v>1324.9999999999998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f t="shared" si="27"/>
        <v>0</v>
      </c>
      <c r="AH33" s="6" t="b">
        <f t="shared" si="5"/>
        <v>1</v>
      </c>
      <c r="AI33" s="31">
        <f t="shared" si="9"/>
        <v>0</v>
      </c>
      <c r="AJ33" s="31">
        <f>SUM(M33:S33)</f>
        <v>1324.9999999999998</v>
      </c>
      <c r="AK33" s="35">
        <v>0.1</v>
      </c>
      <c r="AL33" s="36">
        <v>2</v>
      </c>
      <c r="AM33" s="31">
        <f>IF(AL33=1,AJ33*AK33,0)</f>
        <v>0</v>
      </c>
      <c r="AN33" s="31">
        <f>IF(AL33=2,AJ33*AK33,0)</f>
        <v>132.49999999999997</v>
      </c>
      <c r="AO33" s="31"/>
    </row>
    <row r="34" spans="1:50" s="6" customFormat="1" ht="15" customHeight="1" x14ac:dyDescent="0.15">
      <c r="A34" s="26" t="s">
        <v>194</v>
      </c>
      <c r="B34" s="26" t="s">
        <v>103</v>
      </c>
      <c r="C34" s="26" t="s">
        <v>80</v>
      </c>
      <c r="D34" s="26" t="s">
        <v>171</v>
      </c>
      <c r="E34" s="26" t="s">
        <v>92</v>
      </c>
      <c r="F34" s="27">
        <f t="shared" si="18"/>
        <v>45691</v>
      </c>
      <c r="G34" s="27">
        <f>+G28</f>
        <v>45697</v>
      </c>
      <c r="H34" s="28">
        <f t="shared" si="16"/>
        <v>7</v>
      </c>
      <c r="I34" s="29">
        <v>0</v>
      </c>
      <c r="J34" s="30">
        <v>0</v>
      </c>
      <c r="K34" s="31">
        <f t="shared" si="21"/>
        <v>0</v>
      </c>
      <c r="L34" s="32"/>
      <c r="M34" s="31"/>
      <c r="N34" s="31"/>
      <c r="O34" s="31">
        <f t="shared" si="25"/>
        <v>0</v>
      </c>
      <c r="P34" s="31">
        <f t="shared" si="25"/>
        <v>0</v>
      </c>
      <c r="Q34" s="31">
        <f t="shared" si="25"/>
        <v>0</v>
      </c>
      <c r="R34" s="31">
        <f t="shared" si="25"/>
        <v>0</v>
      </c>
      <c r="S34" s="31">
        <f t="shared" si="25"/>
        <v>0</v>
      </c>
      <c r="T34" s="2"/>
      <c r="U34" s="33">
        <v>0</v>
      </c>
      <c r="V34" s="33">
        <v>0</v>
      </c>
      <c r="W34" s="33">
        <v>0</v>
      </c>
      <c r="X34" s="37"/>
      <c r="Y34" s="2">
        <f t="shared" si="7"/>
        <v>0</v>
      </c>
      <c r="Z34" s="31">
        <v>0</v>
      </c>
      <c r="AA34" s="31">
        <f t="shared" si="17"/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f t="shared" si="27"/>
        <v>0</v>
      </c>
      <c r="AH34" s="6" t="b">
        <f t="shared" ref="AH34" si="30">K34=SUM(Z34:AG34)</f>
        <v>1</v>
      </c>
      <c r="AI34" s="31">
        <f t="shared" si="9"/>
        <v>0</v>
      </c>
      <c r="AJ34" s="31">
        <v>0</v>
      </c>
      <c r="AK34" s="35"/>
      <c r="AL34" s="36"/>
      <c r="AM34" s="31">
        <f>IF(AL34=1,AJ34*AK34,0)</f>
        <v>0</v>
      </c>
      <c r="AN34" s="31">
        <f>IF(AL34=2,AJ34*AK34,0)</f>
        <v>0</v>
      </c>
      <c r="AO34" s="31"/>
    </row>
    <row r="35" spans="1:50" s="6" customFormat="1" ht="15" customHeight="1" x14ac:dyDescent="0.15">
      <c r="A35" s="136" t="s">
        <v>263</v>
      </c>
      <c r="B35" s="26" t="s">
        <v>104</v>
      </c>
      <c r="C35" s="26"/>
      <c r="D35" s="26" t="s">
        <v>172</v>
      </c>
      <c r="E35" s="26" t="s">
        <v>105</v>
      </c>
      <c r="F35" s="27">
        <f t="shared" ref="F35:F39" si="31">+F34</f>
        <v>45691</v>
      </c>
      <c r="G35" s="27">
        <f>+G31</f>
        <v>45697</v>
      </c>
      <c r="H35" s="28">
        <f t="shared" si="16"/>
        <v>7</v>
      </c>
      <c r="I35" s="29">
        <v>0</v>
      </c>
      <c r="J35" s="30">
        <v>0</v>
      </c>
      <c r="K35" s="31">
        <f t="shared" si="21"/>
        <v>0</v>
      </c>
      <c r="L35" s="32"/>
      <c r="M35" s="31"/>
      <c r="N35" s="31"/>
      <c r="O35" s="31">
        <f t="shared" si="25"/>
        <v>0</v>
      </c>
      <c r="P35" s="31">
        <f t="shared" si="25"/>
        <v>0</v>
      </c>
      <c r="Q35" s="31">
        <f t="shared" si="25"/>
        <v>0</v>
      </c>
      <c r="R35" s="31">
        <f t="shared" si="25"/>
        <v>0</v>
      </c>
      <c r="S35" s="31">
        <f t="shared" si="25"/>
        <v>0</v>
      </c>
      <c r="T35" s="2"/>
      <c r="U35" s="33">
        <v>0</v>
      </c>
      <c r="V35" s="33">
        <v>0</v>
      </c>
      <c r="W35" s="33">
        <v>0</v>
      </c>
      <c r="X35" s="37"/>
      <c r="Y35" s="2">
        <f t="shared" si="7"/>
        <v>0</v>
      </c>
      <c r="Z35" s="31">
        <v>0</v>
      </c>
      <c r="AA35" s="31">
        <f t="shared" si="17"/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f t="shared" si="27"/>
        <v>0</v>
      </c>
      <c r="AH35" s="6" t="b">
        <f t="shared" si="5"/>
        <v>1</v>
      </c>
      <c r="AI35" s="31">
        <f t="shared" si="9"/>
        <v>0</v>
      </c>
      <c r="AJ35" s="31">
        <v>0</v>
      </c>
      <c r="AK35" s="35"/>
      <c r="AL35" s="36"/>
      <c r="AM35" s="31"/>
      <c r="AN35" s="31"/>
      <c r="AO35" s="31"/>
    </row>
    <row r="36" spans="1:50" s="6" customFormat="1" ht="15" customHeight="1" x14ac:dyDescent="0.15">
      <c r="A36" s="136" t="s">
        <v>264</v>
      </c>
      <c r="B36" s="26" t="s">
        <v>106</v>
      </c>
      <c r="C36" s="26"/>
      <c r="D36" s="26" t="s">
        <v>173</v>
      </c>
      <c r="E36" s="26" t="s">
        <v>62</v>
      </c>
      <c r="F36" s="27">
        <f t="shared" si="31"/>
        <v>45691</v>
      </c>
      <c r="G36" s="27">
        <f>+G35</f>
        <v>45697</v>
      </c>
      <c r="H36" s="28">
        <f t="shared" si="16"/>
        <v>7</v>
      </c>
      <c r="I36" s="29">
        <v>0</v>
      </c>
      <c r="J36" s="30">
        <v>0</v>
      </c>
      <c r="K36" s="31">
        <f t="shared" si="21"/>
        <v>0</v>
      </c>
      <c r="L36" s="32"/>
      <c r="M36" s="31"/>
      <c r="N36" s="31"/>
      <c r="O36" s="31">
        <f t="shared" si="25"/>
        <v>0</v>
      </c>
      <c r="P36" s="31">
        <f t="shared" si="25"/>
        <v>0</v>
      </c>
      <c r="Q36" s="31">
        <f t="shared" si="25"/>
        <v>0</v>
      </c>
      <c r="R36" s="31">
        <f t="shared" si="25"/>
        <v>0</v>
      </c>
      <c r="S36" s="31">
        <f t="shared" si="25"/>
        <v>0</v>
      </c>
      <c r="T36" s="2"/>
      <c r="U36" s="33">
        <v>0</v>
      </c>
      <c r="V36" s="33">
        <v>0</v>
      </c>
      <c r="W36" s="33">
        <v>0</v>
      </c>
      <c r="X36" s="37"/>
      <c r="Y36" s="2">
        <f t="shared" si="7"/>
        <v>0</v>
      </c>
      <c r="Z36" s="31">
        <v>0</v>
      </c>
      <c r="AA36" s="31">
        <f t="shared" si="17"/>
        <v>0</v>
      </c>
      <c r="AB36" s="31">
        <f t="shared" ref="AB36:AB38" si="32">SUM(Q36:S36)</f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f t="shared" si="27"/>
        <v>0</v>
      </c>
      <c r="AH36" s="6" t="b">
        <f t="shared" si="5"/>
        <v>1</v>
      </c>
      <c r="AI36" s="31">
        <f t="shared" si="9"/>
        <v>0</v>
      </c>
      <c r="AJ36" s="31">
        <v>0</v>
      </c>
      <c r="AK36" s="35"/>
      <c r="AL36" s="36"/>
      <c r="AM36" s="31"/>
      <c r="AN36" s="31"/>
      <c r="AO36" s="31"/>
    </row>
    <row r="37" spans="1:50" s="148" customFormat="1" ht="15" customHeight="1" x14ac:dyDescent="0.15">
      <c r="A37" s="138" t="s">
        <v>265</v>
      </c>
      <c r="B37" s="139" t="s">
        <v>72</v>
      </c>
      <c r="C37" s="139" t="s">
        <v>80</v>
      </c>
      <c r="D37" s="139"/>
      <c r="E37" s="139" t="s">
        <v>65</v>
      </c>
      <c r="F37" s="141">
        <f t="shared" si="31"/>
        <v>45691</v>
      </c>
      <c r="G37" s="141">
        <f>+G32</f>
        <v>45697</v>
      </c>
      <c r="H37" s="140">
        <f t="shared" si="16"/>
        <v>7</v>
      </c>
      <c r="I37" s="142">
        <v>0</v>
      </c>
      <c r="J37" s="143">
        <v>0</v>
      </c>
      <c r="K37" s="144">
        <f t="shared" si="21"/>
        <v>0</v>
      </c>
      <c r="L37" s="145">
        <v>4000</v>
      </c>
      <c r="M37" s="144"/>
      <c r="N37" s="144"/>
      <c r="O37" s="144">
        <f t="shared" si="25"/>
        <v>0</v>
      </c>
      <c r="P37" s="144">
        <f t="shared" si="25"/>
        <v>0</v>
      </c>
      <c r="Q37" s="144">
        <f t="shared" si="25"/>
        <v>0</v>
      </c>
      <c r="R37" s="144">
        <f t="shared" si="25"/>
        <v>0</v>
      </c>
      <c r="S37" s="144">
        <f t="shared" si="25"/>
        <v>0</v>
      </c>
      <c r="T37" s="146"/>
      <c r="U37" s="147">
        <v>0</v>
      </c>
      <c r="V37" s="147">
        <v>0</v>
      </c>
      <c r="W37" s="147">
        <v>0</v>
      </c>
      <c r="X37" s="34"/>
      <c r="Y37" s="146">
        <f t="shared" si="7"/>
        <v>0</v>
      </c>
      <c r="Z37" s="144">
        <v>0</v>
      </c>
      <c r="AA37" s="144">
        <f t="shared" si="17"/>
        <v>0</v>
      </c>
      <c r="AB37" s="144">
        <f t="shared" si="32"/>
        <v>0</v>
      </c>
      <c r="AC37" s="144">
        <v>0</v>
      </c>
      <c r="AD37" s="144">
        <v>0</v>
      </c>
      <c r="AE37" s="144">
        <v>0</v>
      </c>
      <c r="AF37" s="144">
        <v>0</v>
      </c>
      <c r="AG37" s="144">
        <f t="shared" si="27"/>
        <v>0</v>
      </c>
      <c r="AH37" s="148" t="b">
        <f t="shared" si="5"/>
        <v>1</v>
      </c>
      <c r="AI37" s="144">
        <f t="shared" si="9"/>
        <v>0</v>
      </c>
      <c r="AJ37" s="144">
        <v>0</v>
      </c>
      <c r="AK37" s="149"/>
      <c r="AL37" s="150"/>
      <c r="AM37" s="144"/>
      <c r="AN37" s="144"/>
      <c r="AO37" s="144"/>
    </row>
    <row r="38" spans="1:50" s="6" customFormat="1" ht="15" customHeight="1" x14ac:dyDescent="0.15">
      <c r="A38" s="136" t="s">
        <v>266</v>
      </c>
      <c r="B38" s="26" t="s">
        <v>107</v>
      </c>
      <c r="C38" s="26" t="s">
        <v>108</v>
      </c>
      <c r="D38" s="26" t="s">
        <v>174</v>
      </c>
      <c r="E38" s="26" t="s">
        <v>51</v>
      </c>
      <c r="F38" s="27">
        <f t="shared" si="31"/>
        <v>45691</v>
      </c>
      <c r="G38" s="27">
        <f>+G37</f>
        <v>45697</v>
      </c>
      <c r="H38" s="28">
        <f t="shared" si="16"/>
        <v>7</v>
      </c>
      <c r="I38" s="29">
        <v>0</v>
      </c>
      <c r="J38" s="30">
        <v>0</v>
      </c>
      <c r="K38" s="31">
        <f t="shared" si="21"/>
        <v>0</v>
      </c>
      <c r="L38" s="2">
        <v>3200</v>
      </c>
      <c r="M38" s="31"/>
      <c r="N38" s="31"/>
      <c r="O38" s="31">
        <f t="shared" ref="O38:S39" si="33">IF(O$4="Other 50%",($I38*0.5)/7,IF(O$4="Other 75%",($I38*0.75)/7,IF(O$4="Other 100%",$I38/7,IF(O$4="On Tour 50%",($I38*0.5)/7,IF(O$4="On Tour 100%",$I38/7,IF(O$4="Off Tour 50%",($J38*0.5)/7,IF(O$4="Off Tour 100%",$J38/7,0)))))))</f>
        <v>0</v>
      </c>
      <c r="P38" s="31">
        <f t="shared" si="33"/>
        <v>0</v>
      </c>
      <c r="Q38" s="31">
        <f t="shared" si="33"/>
        <v>0</v>
      </c>
      <c r="R38" s="31">
        <f t="shared" si="33"/>
        <v>0</v>
      </c>
      <c r="S38" s="31">
        <f t="shared" si="33"/>
        <v>0</v>
      </c>
      <c r="T38" s="2"/>
      <c r="U38" s="33">
        <v>0</v>
      </c>
      <c r="V38" s="33">
        <v>0</v>
      </c>
      <c r="W38" s="33">
        <v>0</v>
      </c>
      <c r="X38" s="37"/>
      <c r="Y38" s="2">
        <f t="shared" si="7"/>
        <v>0</v>
      </c>
      <c r="Z38" s="31">
        <v>0</v>
      </c>
      <c r="AA38" s="31">
        <f t="shared" si="17"/>
        <v>0</v>
      </c>
      <c r="AB38" s="31">
        <f t="shared" si="32"/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f t="shared" si="27"/>
        <v>0</v>
      </c>
      <c r="AH38" s="6" t="b">
        <f t="shared" si="5"/>
        <v>1</v>
      </c>
      <c r="AI38" s="31">
        <f t="shared" si="9"/>
        <v>0</v>
      </c>
      <c r="AJ38" s="31">
        <v>0</v>
      </c>
      <c r="AK38" s="35"/>
      <c r="AL38" s="36"/>
      <c r="AM38" s="31"/>
      <c r="AN38" s="31"/>
      <c r="AO38" s="31"/>
    </row>
    <row r="39" spans="1:50" s="39" customFormat="1" ht="15" customHeight="1" x14ac:dyDescent="0.15">
      <c r="A39" s="136" t="s">
        <v>267</v>
      </c>
      <c r="B39" s="26" t="s">
        <v>109</v>
      </c>
      <c r="C39" s="26" t="s">
        <v>80</v>
      </c>
      <c r="D39" s="26" t="s">
        <v>175</v>
      </c>
      <c r="E39" s="26" t="s">
        <v>65</v>
      </c>
      <c r="F39" s="27">
        <f t="shared" si="31"/>
        <v>45691</v>
      </c>
      <c r="G39" s="27">
        <f>+G33</f>
        <v>45697</v>
      </c>
      <c r="H39" s="28">
        <f t="shared" si="16"/>
        <v>7</v>
      </c>
      <c r="I39" s="29">
        <v>0</v>
      </c>
      <c r="J39" s="30">
        <v>0</v>
      </c>
      <c r="K39" s="31">
        <f t="shared" si="21"/>
        <v>0</v>
      </c>
      <c r="L39" s="32"/>
      <c r="M39" s="51"/>
      <c r="N39" s="31"/>
      <c r="O39" s="31">
        <f t="shared" si="33"/>
        <v>0</v>
      </c>
      <c r="P39" s="31">
        <f t="shared" si="33"/>
        <v>0</v>
      </c>
      <c r="Q39" s="31">
        <f t="shared" si="33"/>
        <v>0</v>
      </c>
      <c r="R39" s="31">
        <f t="shared" si="33"/>
        <v>0</v>
      </c>
      <c r="S39" s="31">
        <f t="shared" si="33"/>
        <v>0</v>
      </c>
      <c r="T39" s="2"/>
      <c r="U39" s="33">
        <v>0</v>
      </c>
      <c r="V39" s="33">
        <v>0</v>
      </c>
      <c r="W39" s="33">
        <v>0</v>
      </c>
      <c r="X39" s="37"/>
      <c r="Y39" s="2">
        <f t="shared" si="7"/>
        <v>0</v>
      </c>
      <c r="Z39" s="31">
        <v>0</v>
      </c>
      <c r="AA39" s="31">
        <f t="shared" si="17"/>
        <v>0</v>
      </c>
      <c r="AB39" s="31">
        <f t="shared" ref="AB39" si="34">SUM(Q39:S39)</f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f t="shared" si="27"/>
        <v>0</v>
      </c>
      <c r="AH39" s="6" t="b">
        <f t="shared" si="5"/>
        <v>1</v>
      </c>
      <c r="AI39" s="6"/>
      <c r="AJ39" s="31">
        <v>0</v>
      </c>
      <c r="AK39" s="38"/>
      <c r="AL39" s="36"/>
      <c r="AM39" s="31">
        <f t="shared" ref="AM39" si="35">IF(AL39=1,AJ39*AK39,0)</f>
        <v>0</v>
      </c>
      <c r="AN39" s="31">
        <f t="shared" ref="AN39" si="36">IF(AL39=2,AJ39*AK39,0)</f>
        <v>0</v>
      </c>
      <c r="AO39" s="31"/>
      <c r="AP39" s="6"/>
      <c r="AQ39" s="6"/>
      <c r="AR39" s="6"/>
      <c r="AS39" s="6"/>
      <c r="AT39" s="6"/>
      <c r="AU39" s="6"/>
      <c r="AV39" s="6"/>
      <c r="AW39" s="6"/>
      <c r="AX39" s="6"/>
    </row>
    <row r="40" spans="1:50" s="6" customFormat="1" ht="15" customHeight="1" x14ac:dyDescent="0.15">
      <c r="A40" s="13"/>
      <c r="B40" s="2"/>
      <c r="C40" s="1"/>
      <c r="D40" s="51"/>
      <c r="E40" s="1"/>
      <c r="F40" s="51"/>
      <c r="G40" s="51"/>
      <c r="H40" s="58"/>
      <c r="I40" s="58"/>
      <c r="J40" s="59"/>
      <c r="K40" s="31"/>
      <c r="L40" s="32"/>
      <c r="M40" s="51"/>
      <c r="N40" s="51"/>
      <c r="O40" s="51"/>
      <c r="P40" s="51"/>
      <c r="Q40" s="51"/>
      <c r="R40" s="51"/>
      <c r="S40" s="51"/>
      <c r="T40" s="2"/>
      <c r="U40" s="33">
        <v>0</v>
      </c>
      <c r="V40" s="33"/>
      <c r="W40" s="33"/>
      <c r="X40" s="37"/>
      <c r="Y40" s="2">
        <f t="shared" si="7"/>
        <v>0</v>
      </c>
      <c r="Z40" s="31"/>
      <c r="AA40" s="31"/>
      <c r="AB40" s="31"/>
      <c r="AC40" s="31"/>
      <c r="AD40" s="31"/>
      <c r="AE40" s="31"/>
      <c r="AF40" s="31"/>
      <c r="AG40" s="31"/>
      <c r="AH40" s="6" t="b">
        <f t="shared" si="5"/>
        <v>1</v>
      </c>
      <c r="AJ40" s="60"/>
      <c r="AK40" s="2"/>
      <c r="AL40" s="2"/>
      <c r="AM40" s="60"/>
      <c r="AN40" s="60"/>
      <c r="AO40" s="60"/>
    </row>
    <row r="41" spans="1:50" s="74" customFormat="1" ht="15" customHeight="1" thickBot="1" x14ac:dyDescent="0.2">
      <c r="A41" s="61" t="s">
        <v>110</v>
      </c>
      <c r="B41" s="62"/>
      <c r="C41" s="63"/>
      <c r="D41" s="63"/>
      <c r="E41" s="63"/>
      <c r="F41" s="63"/>
      <c r="G41" s="63"/>
      <c r="H41" s="64"/>
      <c r="I41" s="64">
        <f>SUM(I6:I40)</f>
        <v>112286.54692307692</v>
      </c>
      <c r="J41" s="65">
        <f>SUM(J6:J40)</f>
        <v>77305.296923076909</v>
      </c>
      <c r="K41" s="65">
        <f>SUM(K6:K40)</f>
        <v>77806.546923076923</v>
      </c>
      <c r="L41" s="66"/>
      <c r="M41" s="64">
        <f t="shared" ref="M41:S41" si="37">SUM(M6:M40)</f>
        <v>11043.613846153848</v>
      </c>
      <c r="N41" s="64">
        <f t="shared" si="37"/>
        <v>11043.613846153848</v>
      </c>
      <c r="O41" s="64">
        <f t="shared" si="37"/>
        <v>11043.613846153848</v>
      </c>
      <c r="P41" s="64">
        <f t="shared" si="37"/>
        <v>11043.613846153848</v>
      </c>
      <c r="Q41" s="64">
        <f t="shared" si="37"/>
        <v>11043.613846153848</v>
      </c>
      <c r="R41" s="64">
        <f t="shared" si="37"/>
        <v>11043.613846153848</v>
      </c>
      <c r="S41" s="64">
        <f t="shared" si="37"/>
        <v>11043.613846153848</v>
      </c>
      <c r="T41" s="2"/>
      <c r="U41" s="67">
        <f>SUM(U6:U38)</f>
        <v>501.25</v>
      </c>
      <c r="V41" s="67">
        <f>SUM(V6:V40)</f>
        <v>0</v>
      </c>
      <c r="W41" s="67">
        <f>SUM(W6:W40)</f>
        <v>0</v>
      </c>
      <c r="X41" s="68"/>
      <c r="Y41" s="2"/>
      <c r="Z41" s="61">
        <f t="shared" ref="Z41:AG41" si="38">SUM(Z6:Z40)</f>
        <v>43105.777692307696</v>
      </c>
      <c r="AA41" s="61">
        <f t="shared" si="38"/>
        <v>34199.519230769227</v>
      </c>
      <c r="AB41" s="61">
        <f t="shared" si="38"/>
        <v>0</v>
      </c>
      <c r="AC41" s="61">
        <f t="shared" si="38"/>
        <v>0</v>
      </c>
      <c r="AD41" s="61">
        <f t="shared" si="38"/>
        <v>0</v>
      </c>
      <c r="AE41" s="61">
        <f t="shared" si="38"/>
        <v>0</v>
      </c>
      <c r="AF41" s="61">
        <f t="shared" si="38"/>
        <v>0</v>
      </c>
      <c r="AG41" s="69">
        <f t="shared" si="38"/>
        <v>501.25</v>
      </c>
      <c r="AH41" s="70" t="b">
        <f t="shared" si="5"/>
        <v>1</v>
      </c>
      <c r="AI41" s="70"/>
      <c r="AJ41" s="61">
        <f>SUM(AJ6:AJ40)</f>
        <v>53310.581538461542</v>
      </c>
      <c r="AK41" s="61"/>
      <c r="AL41" s="71"/>
      <c r="AM41" s="72">
        <f>SUM(AM6:AM40)</f>
        <v>3430.6634615384614</v>
      </c>
      <c r="AN41" s="72">
        <f>SUM(AN6:AN40)</f>
        <v>1474.5</v>
      </c>
      <c r="AO41" s="72">
        <f>SUM(AO6:AO40)</f>
        <v>633.64</v>
      </c>
      <c r="AP41" s="73"/>
      <c r="AQ41" s="73"/>
      <c r="AR41" s="73"/>
      <c r="AS41" s="73"/>
      <c r="AT41" s="73"/>
      <c r="AU41" s="73"/>
      <c r="AV41" s="73"/>
      <c r="AW41" s="73"/>
      <c r="AX41" s="73"/>
    </row>
    <row r="42" spans="1:50" ht="15" customHeight="1" x14ac:dyDescent="0.15">
      <c r="A42" s="75"/>
      <c r="B42" s="75"/>
      <c r="C42" s="2"/>
      <c r="D42" s="2"/>
      <c r="E42" s="2"/>
      <c r="F42" s="2"/>
      <c r="G42" s="2"/>
      <c r="H42" s="32"/>
      <c r="I42" s="2"/>
      <c r="J42" s="32" t="s">
        <v>111</v>
      </c>
      <c r="K42" s="76">
        <v>104462</v>
      </c>
      <c r="L42" s="3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1">
        <f>SUM(Z41:AG41)-K41</f>
        <v>0</v>
      </c>
      <c r="AH42" s="6"/>
      <c r="AI42" s="6"/>
      <c r="AJ42" s="2"/>
      <c r="AK42" s="2"/>
      <c r="AL42" s="2"/>
      <c r="AM42" s="2"/>
      <c r="AN42" s="13">
        <f>+AM41+AN41</f>
        <v>4905.163461538461</v>
      </c>
      <c r="AO42" s="13">
        <v>633.64</v>
      </c>
      <c r="AP42" s="6"/>
      <c r="AQ42" s="6"/>
      <c r="AR42" s="6"/>
      <c r="AS42" s="6"/>
      <c r="AT42" s="6"/>
      <c r="AU42" s="6"/>
      <c r="AV42" s="6"/>
    </row>
    <row r="43" spans="1:50" s="82" customFormat="1" ht="15" customHeight="1" thickBot="1" x14ac:dyDescent="0.2">
      <c r="A43" s="2"/>
      <c r="B43" s="2"/>
      <c r="C43" s="2"/>
      <c r="D43" s="2"/>
      <c r="E43" s="2"/>
      <c r="F43" s="2"/>
      <c r="G43" s="2"/>
      <c r="H43" s="32"/>
      <c r="I43" s="32"/>
      <c r="J43" s="77"/>
      <c r="K43" s="78">
        <f>+K41-K42</f>
        <v>-26655.453076923077</v>
      </c>
      <c r="L43" s="79"/>
      <c r="M43" s="32"/>
      <c r="N43" s="32"/>
      <c r="O43" s="32"/>
      <c r="P43" s="32"/>
      <c r="Q43" s="32"/>
      <c r="R43" s="32"/>
      <c r="S43" s="32"/>
      <c r="T43" s="2"/>
      <c r="U43" s="52"/>
      <c r="V43" s="52"/>
      <c r="W43" s="52"/>
      <c r="X43" s="2"/>
      <c r="Y43" s="2"/>
      <c r="Z43" s="2"/>
      <c r="AA43" s="2"/>
      <c r="AB43" s="2">
        <f>+Z14+AB14</f>
        <v>2250.0000000000005</v>
      </c>
      <c r="AC43" s="2"/>
      <c r="AD43" s="2"/>
      <c r="AE43" s="2"/>
      <c r="AF43" s="2"/>
      <c r="AG43" s="78">
        <v>0</v>
      </c>
      <c r="AH43" s="6"/>
      <c r="AI43" s="6"/>
      <c r="AJ43" s="2"/>
      <c r="AK43" s="2"/>
      <c r="AL43" s="2"/>
      <c r="AM43" s="80"/>
      <c r="AN43" s="60">
        <f>-425-3109.09-949.5-525</f>
        <v>-5008.59</v>
      </c>
      <c r="AO43" s="60">
        <f>+AO41-AO42</f>
        <v>0</v>
      </c>
      <c r="AP43" s="6"/>
      <c r="AQ43" s="6"/>
      <c r="AR43" s="6"/>
      <c r="AS43" s="6"/>
      <c r="AT43" s="6"/>
      <c r="AU43" s="6"/>
      <c r="AV43" s="6"/>
      <c r="AW43" s="81"/>
      <c r="AX43" s="81"/>
    </row>
    <row r="44" spans="1:50" ht="1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4"/>
      <c r="K44" s="4"/>
      <c r="M44" s="83"/>
      <c r="N44" s="84"/>
      <c r="O44" s="8"/>
      <c r="P44" s="8"/>
      <c r="Q44" s="8"/>
      <c r="R44" s="8"/>
      <c r="S44" s="85"/>
      <c r="T44" s="10"/>
      <c r="U44" s="86"/>
      <c r="V44" s="87"/>
      <c r="W44" s="87"/>
      <c r="X44" s="88"/>
      <c r="Y44" s="10"/>
      <c r="Z44" s="89"/>
      <c r="AA44" s="90"/>
      <c r="AB44" s="90"/>
      <c r="AC44" s="90"/>
      <c r="AD44" s="90"/>
      <c r="AE44" s="90"/>
      <c r="AF44" s="91"/>
      <c r="AG44" s="92"/>
      <c r="AJ44" s="93"/>
      <c r="AK44" s="94"/>
      <c r="AL44" s="94"/>
      <c r="AM44" s="93"/>
      <c r="AN44" s="93"/>
      <c r="AO44" s="93"/>
    </row>
    <row r="45" spans="1:50" ht="15" customHeight="1" thickBot="1" x14ac:dyDescent="0.2">
      <c r="A45" s="89"/>
      <c r="B45" s="90"/>
      <c r="I45" s="14"/>
      <c r="J45" s="14"/>
      <c r="K45" s="2"/>
      <c r="M45" s="96" t="s">
        <v>7</v>
      </c>
      <c r="N45" s="96" t="s">
        <v>7</v>
      </c>
      <c r="O45" s="96" t="s">
        <v>7</v>
      </c>
      <c r="P45" s="96" t="s">
        <v>7</v>
      </c>
      <c r="Q45" s="96" t="s">
        <v>7</v>
      </c>
      <c r="R45" s="96" t="s">
        <v>7</v>
      </c>
      <c r="S45" s="96" t="s">
        <v>7</v>
      </c>
      <c r="T45" s="16"/>
      <c r="U45" s="86"/>
      <c r="V45" s="97"/>
      <c r="W45" s="97"/>
      <c r="X45" s="88"/>
      <c r="Y45" s="16"/>
      <c r="Z45" s="86"/>
      <c r="AA45" s="96"/>
      <c r="AB45" s="96"/>
      <c r="AC45" s="96"/>
      <c r="AD45" s="96"/>
      <c r="AE45" s="96"/>
      <c r="AF45" s="88"/>
      <c r="AG45" s="91"/>
      <c r="AJ45" s="98"/>
      <c r="AK45" s="99"/>
      <c r="AL45" s="99"/>
      <c r="AM45" s="98"/>
      <c r="AN45" s="98"/>
      <c r="AO45" s="98"/>
    </row>
    <row r="46" spans="1:50" ht="18" customHeight="1" thickBot="1" x14ac:dyDescent="0.2">
      <c r="A46" s="100" t="s">
        <v>112</v>
      </c>
      <c r="B46" s="90"/>
      <c r="I46" s="2"/>
      <c r="J46" s="2"/>
      <c r="K46" s="2"/>
      <c r="M46" s="15" t="s">
        <v>11</v>
      </c>
      <c r="N46" s="15" t="s">
        <v>11</v>
      </c>
      <c r="O46" s="15" t="s">
        <v>11</v>
      </c>
      <c r="P46" s="15" t="s">
        <v>11</v>
      </c>
      <c r="Q46" s="15" t="s">
        <v>11</v>
      </c>
      <c r="R46" s="15" t="s">
        <v>11</v>
      </c>
      <c r="S46" s="15" t="s">
        <v>11</v>
      </c>
      <c r="T46" s="16"/>
      <c r="U46" s="86" t="s">
        <v>12</v>
      </c>
      <c r="V46" s="96" t="s">
        <v>12</v>
      </c>
      <c r="W46" s="96" t="s">
        <v>12</v>
      </c>
      <c r="X46" s="88"/>
      <c r="Y46" s="16"/>
      <c r="Z46" s="101"/>
      <c r="AA46" s="102"/>
      <c r="AB46" s="102"/>
      <c r="AC46" s="96"/>
      <c r="AD46" s="96"/>
      <c r="AE46" s="96">
        <v>0.22</v>
      </c>
      <c r="AF46" s="88">
        <v>0.09</v>
      </c>
      <c r="AG46" s="91"/>
      <c r="AJ46" s="93" t="s">
        <v>13</v>
      </c>
      <c r="AK46" s="94"/>
      <c r="AL46" s="94"/>
      <c r="AM46" s="93" t="s">
        <v>13</v>
      </c>
      <c r="AN46" s="93" t="s">
        <v>13</v>
      </c>
      <c r="AO46" s="93" t="s">
        <v>13</v>
      </c>
    </row>
    <row r="47" spans="1:50" s="106" customFormat="1" ht="39" customHeight="1" x14ac:dyDescent="0.15">
      <c r="A47" s="100" t="s">
        <v>15</v>
      </c>
      <c r="B47" s="100" t="s">
        <v>16</v>
      </c>
      <c r="C47" s="100" t="s">
        <v>17</v>
      </c>
      <c r="D47" s="100" t="s">
        <v>18</v>
      </c>
      <c r="E47" s="100" t="s">
        <v>19</v>
      </c>
      <c r="F47" s="100" t="s">
        <v>20</v>
      </c>
      <c r="G47" s="100" t="s">
        <v>21</v>
      </c>
      <c r="H47" s="100" t="s">
        <v>22</v>
      </c>
      <c r="I47" s="100" t="s">
        <v>23</v>
      </c>
      <c r="J47" s="103" t="s">
        <v>24</v>
      </c>
      <c r="K47" s="104" t="s">
        <v>25</v>
      </c>
      <c r="L47" s="22"/>
      <c r="M47" s="105">
        <f>+F48</f>
        <v>45691</v>
      </c>
      <c r="N47" s="105">
        <f>+M47+1</f>
        <v>45692</v>
      </c>
      <c r="O47" s="105">
        <f t="shared" ref="O47:S47" si="39">+N47+1</f>
        <v>45693</v>
      </c>
      <c r="P47" s="105">
        <f t="shared" si="39"/>
        <v>45694</v>
      </c>
      <c r="Q47" s="105">
        <f t="shared" si="39"/>
        <v>45695</v>
      </c>
      <c r="R47" s="105">
        <f t="shared" si="39"/>
        <v>45696</v>
      </c>
      <c r="S47" s="105">
        <f t="shared" si="39"/>
        <v>45697</v>
      </c>
      <c r="T47" s="24"/>
      <c r="U47" s="103" t="s">
        <v>26</v>
      </c>
      <c r="V47" s="103" t="s">
        <v>27</v>
      </c>
      <c r="W47" s="103" t="s">
        <v>27</v>
      </c>
      <c r="X47" s="103" t="s">
        <v>28</v>
      </c>
      <c r="Y47" s="21"/>
      <c r="Z47" s="103" t="s">
        <v>29</v>
      </c>
      <c r="AA47" s="103" t="s">
        <v>30</v>
      </c>
      <c r="AB47" s="12" t="s">
        <v>3</v>
      </c>
      <c r="AC47" s="21" t="s">
        <v>31</v>
      </c>
      <c r="AD47" s="21" t="s">
        <v>32</v>
      </c>
      <c r="AE47" s="103" t="s">
        <v>33</v>
      </c>
      <c r="AF47" s="103" t="s">
        <v>33</v>
      </c>
      <c r="AG47" s="103" t="s">
        <v>34</v>
      </c>
      <c r="AH47" s="103"/>
      <c r="AI47" s="103"/>
      <c r="AJ47" s="103" t="s">
        <v>35</v>
      </c>
      <c r="AK47" s="103" t="s">
        <v>36</v>
      </c>
      <c r="AL47" s="103" t="s">
        <v>37</v>
      </c>
      <c r="AM47" s="103" t="s">
        <v>38</v>
      </c>
      <c r="AN47" s="103" t="s">
        <v>39</v>
      </c>
      <c r="AO47" s="103" t="s">
        <v>40</v>
      </c>
      <c r="AP47" s="103"/>
      <c r="AQ47" s="103"/>
    </row>
    <row r="48" spans="1:50" ht="15" customHeight="1" x14ac:dyDescent="0.15">
      <c r="A48" s="26" t="s">
        <v>185</v>
      </c>
      <c r="B48" s="26" t="s">
        <v>63</v>
      </c>
      <c r="C48" s="26" t="s">
        <v>113</v>
      </c>
      <c r="D48" s="26" t="s">
        <v>176</v>
      </c>
      <c r="E48" s="26" t="s">
        <v>114</v>
      </c>
      <c r="F48" s="27">
        <f>+F6</f>
        <v>45691</v>
      </c>
      <c r="G48" s="27">
        <f>+G6</f>
        <v>45697</v>
      </c>
      <c r="H48" s="28">
        <f>IF(G48-F48=0,0,G48-F48+1)</f>
        <v>7</v>
      </c>
      <c r="I48" s="107">
        <f>2750+100+100+100</f>
        <v>3050</v>
      </c>
      <c r="J48" s="108">
        <f>+I48/2</f>
        <v>1525</v>
      </c>
      <c r="K48" s="109">
        <f>SUM(M48:U48)</f>
        <v>1645</v>
      </c>
      <c r="L48" s="32"/>
      <c r="M48" s="31">
        <f>IF(M$46="Other 50%",($I48*0.5)/7,IF(M$46="Other 75%",($I48*0.75)/7,IF(M$46="Other 100%",$I48/7,IF(M$46="On Tour 50%",($I48*0.5)/7,IF(M$46="On Tour 100%",$I48/7,IF(M$46="Off Tour 50%",($J48*0.5)/7,IF(M$46="Off Tour 100%",$J48/7,0)))))))</f>
        <v>217.85714285714286</v>
      </c>
      <c r="N48" s="31">
        <f t="shared" ref="N48:S49" si="40">IF(N$46="Other 50%",($I48*0.5)/7,IF(N$46="Other 75%",($I48*0.75)/7,IF(N$46="Other 100%",$I48/7,IF(N$46="On Tour 50%",($I48*0.5)/7,IF(N$46="On Tour 100%",$I48/7,IF(N$46="Off Tour 50%",($J48*0.5)/7,IF(N$46="Off Tour 100%",$J48/7,0)))))))</f>
        <v>217.85714285714286</v>
      </c>
      <c r="O48" s="31">
        <f t="shared" si="40"/>
        <v>217.85714285714286</v>
      </c>
      <c r="P48" s="31">
        <f t="shared" si="40"/>
        <v>217.85714285714286</v>
      </c>
      <c r="Q48" s="31">
        <f t="shared" si="40"/>
        <v>217.85714285714286</v>
      </c>
      <c r="R48" s="31">
        <f t="shared" si="40"/>
        <v>217.85714285714286</v>
      </c>
      <c r="S48" s="31">
        <f t="shared" si="40"/>
        <v>217.85714285714286</v>
      </c>
      <c r="T48" s="2"/>
      <c r="U48" s="110">
        <v>120</v>
      </c>
      <c r="V48" s="110"/>
      <c r="W48" s="110"/>
      <c r="X48" s="37"/>
      <c r="Y48" s="2"/>
      <c r="Z48" s="109">
        <v>0</v>
      </c>
      <c r="AA48" s="109">
        <f t="shared" ref="AA48" si="41">+K48-AB48-AC48-AD48-AE48-AF48-AG48</f>
        <v>120</v>
      </c>
      <c r="AB48" s="31">
        <f t="shared" ref="AB48:AB49" si="42">SUM(M48:S48)</f>
        <v>1525</v>
      </c>
      <c r="AC48" s="109">
        <v>0</v>
      </c>
      <c r="AD48" s="109">
        <v>0</v>
      </c>
      <c r="AE48" s="109">
        <v>0</v>
      </c>
      <c r="AF48" s="109">
        <v>0</v>
      </c>
      <c r="AG48" s="109">
        <v>0</v>
      </c>
      <c r="AJ48" s="109">
        <f>SUM(M48:S48)</f>
        <v>1525</v>
      </c>
      <c r="AK48" s="111">
        <v>0.1</v>
      </c>
      <c r="AL48" s="112">
        <v>1</v>
      </c>
      <c r="AM48" s="109">
        <f t="shared" ref="AM48" si="43">IF(AL48=1,AJ48*AK48,0)</f>
        <v>152.5</v>
      </c>
      <c r="AN48" s="109">
        <f t="shared" ref="AN48" si="44">IF(AL48=2,AJ48*AK48,0)</f>
        <v>0</v>
      </c>
      <c r="AO48" s="109"/>
    </row>
    <row r="49" spans="1:50" ht="15" customHeight="1" x14ac:dyDescent="0.15">
      <c r="A49" s="26" t="s">
        <v>192</v>
      </c>
      <c r="B49" s="26" t="s">
        <v>115</v>
      </c>
      <c r="C49" s="26" t="s">
        <v>116</v>
      </c>
      <c r="D49" s="26" t="s">
        <v>177</v>
      </c>
      <c r="E49" s="26" t="s">
        <v>59</v>
      </c>
      <c r="F49" s="27">
        <f>+F48</f>
        <v>45691</v>
      </c>
      <c r="G49" s="27">
        <f>+G48</f>
        <v>45697</v>
      </c>
      <c r="H49" s="28">
        <f>IF(G49-F49=0,0,G49-F49+1)</f>
        <v>7</v>
      </c>
      <c r="I49" s="107">
        <f>1500+250+100</f>
        <v>1850</v>
      </c>
      <c r="J49" s="108">
        <v>0</v>
      </c>
      <c r="K49" s="109">
        <f>SUM(M49:S49)</f>
        <v>0</v>
      </c>
      <c r="L49" s="32"/>
      <c r="M49" s="31">
        <f t="shared" ref="M49" si="45">IF(M$46="Other 50%",($I49*0.5)/7,IF(M$46="Other 75%",($I49*0.75)/7,IF(M$46="Other 100%",$I49/7,IF(M$46="On Tour 50%",($I49*0.5)/7,IF(M$46="On Tour 100%",$I49/7,IF(M$46="Off Tour 50%",($J49*0.5)/7,IF(M$46="Off Tour 100%",$J49/7,0)))))))</f>
        <v>0</v>
      </c>
      <c r="N49" s="31">
        <f t="shared" si="40"/>
        <v>0</v>
      </c>
      <c r="O49" s="31">
        <f t="shared" si="40"/>
        <v>0</v>
      </c>
      <c r="P49" s="31">
        <f t="shared" si="40"/>
        <v>0</v>
      </c>
      <c r="Q49" s="31">
        <f t="shared" si="40"/>
        <v>0</v>
      </c>
      <c r="R49" s="31">
        <f t="shared" si="40"/>
        <v>0</v>
      </c>
      <c r="S49" s="31">
        <f t="shared" si="40"/>
        <v>0</v>
      </c>
      <c r="T49" s="2"/>
      <c r="U49" s="110">
        <v>0</v>
      </c>
      <c r="V49" s="110"/>
      <c r="W49" s="110"/>
      <c r="X49" s="37" t="s">
        <v>117</v>
      </c>
      <c r="Y49" s="2"/>
      <c r="Z49" s="109">
        <v>0</v>
      </c>
      <c r="AA49" s="109">
        <v>0</v>
      </c>
      <c r="AB49" s="31">
        <f t="shared" si="42"/>
        <v>0</v>
      </c>
      <c r="AC49" s="109">
        <v>0</v>
      </c>
      <c r="AD49" s="109">
        <v>0</v>
      </c>
      <c r="AE49" s="109">
        <v>0</v>
      </c>
      <c r="AF49" s="109">
        <v>0</v>
      </c>
      <c r="AG49" s="109">
        <f>+K49-Z49-AA49-AB49-AC49-AD49-AE49-AF49</f>
        <v>0</v>
      </c>
      <c r="AJ49" s="109"/>
      <c r="AK49" s="111"/>
      <c r="AL49" s="112"/>
      <c r="AM49" s="109"/>
      <c r="AN49" s="109"/>
      <c r="AO49" s="109"/>
    </row>
    <row r="50" spans="1:50" ht="15" customHeight="1" x14ac:dyDescent="0.15">
      <c r="A50" s="26" t="s">
        <v>184</v>
      </c>
      <c r="B50" s="26" t="s">
        <v>118</v>
      </c>
      <c r="C50" s="26" t="s">
        <v>119</v>
      </c>
      <c r="D50" s="26" t="s">
        <v>178</v>
      </c>
      <c r="E50" s="26" t="s">
        <v>43</v>
      </c>
      <c r="F50" s="27">
        <f>+F49</f>
        <v>45691</v>
      </c>
      <c r="G50" s="27">
        <f>+G49</f>
        <v>45697</v>
      </c>
      <c r="H50" s="28">
        <f>IF(G50-F50=0,0,G50-F50+1)</f>
        <v>7</v>
      </c>
      <c r="I50" s="107">
        <f>1500+250</f>
        <v>1750</v>
      </c>
      <c r="J50" s="108">
        <v>0</v>
      </c>
      <c r="K50" s="109">
        <f>SUM(M50:S50)</f>
        <v>0</v>
      </c>
      <c r="L50" s="32"/>
      <c r="M50" s="109"/>
      <c r="N50" s="109"/>
      <c r="O50" s="109"/>
      <c r="P50" s="109"/>
      <c r="Q50" s="109"/>
      <c r="R50" s="109"/>
      <c r="S50" s="109"/>
      <c r="T50" s="2"/>
      <c r="U50" s="110">
        <v>0</v>
      </c>
      <c r="V50" s="110"/>
      <c r="W50" s="110"/>
      <c r="X50" s="37" t="s">
        <v>117</v>
      </c>
      <c r="Y50" s="2"/>
      <c r="Z50" s="109">
        <v>0</v>
      </c>
      <c r="AA50" s="109">
        <v>0</v>
      </c>
      <c r="AB50" s="109">
        <v>0</v>
      </c>
      <c r="AC50" s="109">
        <v>0</v>
      </c>
      <c r="AD50" s="109">
        <v>0</v>
      </c>
      <c r="AE50" s="109">
        <v>0</v>
      </c>
      <c r="AF50" s="109">
        <v>0</v>
      </c>
      <c r="AG50" s="109">
        <f>+K50-Z50-AA50-AB50-AC50-AD50-AE50-AF50</f>
        <v>0</v>
      </c>
      <c r="AJ50" s="109"/>
      <c r="AK50" s="111"/>
      <c r="AL50" s="112"/>
      <c r="AM50" s="109"/>
      <c r="AN50" s="109"/>
      <c r="AO50" s="109"/>
    </row>
    <row r="51" spans="1:50" s="74" customFormat="1" ht="15" customHeight="1" thickBot="1" x14ac:dyDescent="0.2">
      <c r="A51" s="69" t="s">
        <v>110</v>
      </c>
      <c r="B51" s="113"/>
      <c r="C51" s="114"/>
      <c r="D51" s="114"/>
      <c r="E51" s="114"/>
      <c r="F51" s="114"/>
      <c r="G51" s="114"/>
      <c r="H51" s="65"/>
      <c r="I51" s="65">
        <f>SUM(I48:I50)</f>
        <v>6650</v>
      </c>
      <c r="J51" s="65">
        <f>SUM(J48:J50)</f>
        <v>1525</v>
      </c>
      <c r="K51" s="65">
        <f>SUM(K48:K50)</f>
        <v>1645</v>
      </c>
      <c r="L51" s="66"/>
      <c r="M51" s="65">
        <f t="shared" ref="M51:S51" si="46">SUM(M48:M50)</f>
        <v>217.85714285714286</v>
      </c>
      <c r="N51" s="65">
        <f t="shared" si="46"/>
        <v>217.85714285714286</v>
      </c>
      <c r="O51" s="65">
        <f t="shared" si="46"/>
        <v>217.85714285714286</v>
      </c>
      <c r="P51" s="65">
        <f t="shared" si="46"/>
        <v>217.85714285714286</v>
      </c>
      <c r="Q51" s="65">
        <f t="shared" si="46"/>
        <v>217.85714285714286</v>
      </c>
      <c r="R51" s="65">
        <f t="shared" si="46"/>
        <v>217.85714285714286</v>
      </c>
      <c r="S51" s="65">
        <f t="shared" si="46"/>
        <v>217.85714285714286</v>
      </c>
      <c r="T51" s="2"/>
      <c r="U51" s="65">
        <f>SUM(U48:U50)</f>
        <v>120</v>
      </c>
      <c r="V51" s="65">
        <f>SUM(V48:V50)</f>
        <v>0</v>
      </c>
      <c r="W51" s="65">
        <f>SUM(W48:W50)</f>
        <v>0</v>
      </c>
      <c r="X51" s="65">
        <f>SUM(X48:X50)</f>
        <v>0</v>
      </c>
      <c r="Y51" s="2"/>
      <c r="Z51" s="65">
        <f>SUM(Z48:Z50)</f>
        <v>0</v>
      </c>
      <c r="AA51" s="65">
        <f>SUM(AA48:AA50)</f>
        <v>120</v>
      </c>
      <c r="AB51" s="65">
        <f t="shared" ref="AB51:AG51" si="47">SUM(AB48:AB50)</f>
        <v>1525</v>
      </c>
      <c r="AC51" s="65">
        <f t="shared" si="47"/>
        <v>0</v>
      </c>
      <c r="AD51" s="65">
        <f t="shared" si="47"/>
        <v>0</v>
      </c>
      <c r="AE51" s="65">
        <f t="shared" si="47"/>
        <v>0</v>
      </c>
      <c r="AF51" s="65">
        <f t="shared" si="47"/>
        <v>0</v>
      </c>
      <c r="AG51" s="65">
        <f t="shared" si="47"/>
        <v>0</v>
      </c>
      <c r="AH51" s="70" t="b">
        <f t="shared" ref="AH51" si="48">K51=SUM(Z51:AG51)</f>
        <v>1</v>
      </c>
      <c r="AI51" s="70"/>
      <c r="AJ51" s="65">
        <f t="shared" ref="AJ51" si="49">SUM(AJ48:AJ50)</f>
        <v>1525</v>
      </c>
      <c r="AK51" s="65"/>
      <c r="AL51" s="65"/>
      <c r="AM51" s="65">
        <f t="shared" ref="AM51:AO51" si="50">SUM(AM48:AM50)</f>
        <v>152.5</v>
      </c>
      <c r="AN51" s="65">
        <f t="shared" si="50"/>
        <v>0</v>
      </c>
      <c r="AO51" s="65">
        <f t="shared" si="50"/>
        <v>0</v>
      </c>
      <c r="AP51" s="73"/>
      <c r="AQ51" s="73"/>
      <c r="AR51" s="73"/>
      <c r="AS51" s="73"/>
      <c r="AT51" s="73"/>
      <c r="AU51" s="73"/>
      <c r="AV51" s="73"/>
      <c r="AW51" s="73"/>
      <c r="AX51" s="73"/>
    </row>
    <row r="52" spans="1:50" ht="15" customHeight="1" x14ac:dyDescent="0.15">
      <c r="A52" s="75"/>
      <c r="B52" s="75"/>
      <c r="C52" s="2"/>
      <c r="D52" s="2"/>
      <c r="E52" s="2"/>
      <c r="F52" s="2"/>
      <c r="G52" s="2"/>
      <c r="H52" s="32"/>
      <c r="I52" s="2"/>
      <c r="J52" s="32" t="s">
        <v>111</v>
      </c>
      <c r="K52" s="76">
        <v>1615</v>
      </c>
      <c r="L52" s="3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1"/>
      <c r="AH52" s="6"/>
      <c r="AI52" s="6"/>
      <c r="AJ52" s="2"/>
      <c r="AK52" s="2"/>
      <c r="AL52" s="2"/>
      <c r="AM52" s="2"/>
      <c r="AN52" s="13"/>
      <c r="AO52" s="13"/>
      <c r="AP52" s="6"/>
      <c r="AQ52" s="6"/>
      <c r="AR52" s="6"/>
      <c r="AS52" s="6"/>
      <c r="AT52" s="6"/>
      <c r="AU52" s="6"/>
      <c r="AV52" s="6"/>
    </row>
    <row r="53" spans="1:50" s="82" customFormat="1" ht="15" customHeight="1" thickBot="1" x14ac:dyDescent="0.2">
      <c r="A53" s="2"/>
      <c r="B53" s="2"/>
      <c r="C53" s="2"/>
      <c r="D53" s="2"/>
      <c r="E53" s="2"/>
      <c r="F53" s="2"/>
      <c r="G53" s="2"/>
      <c r="H53" s="32"/>
      <c r="I53" s="32"/>
      <c r="J53" s="77"/>
      <c r="K53" s="78">
        <f>+K51-K52</f>
        <v>30</v>
      </c>
      <c r="L53" s="79"/>
      <c r="M53" s="32"/>
      <c r="N53" s="32"/>
      <c r="O53" s="32"/>
      <c r="P53" s="32"/>
      <c r="Q53" s="32"/>
      <c r="R53" s="32"/>
      <c r="S53" s="32"/>
      <c r="T53" s="2"/>
      <c r="U53" s="52"/>
      <c r="V53" s="52"/>
      <c r="W53" s="52"/>
      <c r="X53" s="2"/>
      <c r="Y53" s="2"/>
      <c r="Z53" s="2"/>
      <c r="AA53" s="2"/>
      <c r="AB53" s="2"/>
      <c r="AC53" s="2"/>
      <c r="AD53" s="2"/>
      <c r="AE53" s="2"/>
      <c r="AF53" s="2"/>
      <c r="AG53" s="78"/>
      <c r="AH53" s="6"/>
      <c r="AI53" s="6"/>
      <c r="AJ53" s="2"/>
      <c r="AK53" s="2"/>
      <c r="AL53" s="2"/>
      <c r="AM53" s="80"/>
      <c r="AN53" s="60"/>
      <c r="AO53" s="60"/>
      <c r="AP53" s="6"/>
      <c r="AQ53" s="6"/>
      <c r="AR53" s="6"/>
      <c r="AS53" s="6"/>
      <c r="AT53" s="6"/>
      <c r="AU53" s="6"/>
      <c r="AV53" s="6"/>
      <c r="AW53" s="81"/>
      <c r="AX53" s="81"/>
    </row>
    <row r="54" spans="1:50" ht="15" customHeight="1" x14ac:dyDescent="0.15">
      <c r="A54" s="90"/>
      <c r="B54" s="115"/>
      <c r="C54" s="115"/>
      <c r="D54" s="115"/>
      <c r="E54" s="115"/>
      <c r="F54" s="115"/>
      <c r="G54" s="115"/>
      <c r="H54" s="115"/>
      <c r="I54" s="4"/>
      <c r="J54" s="4"/>
      <c r="K54" s="4"/>
      <c r="M54" s="83"/>
      <c r="N54" s="84"/>
      <c r="O54" s="8"/>
      <c r="P54" s="8"/>
      <c r="Q54" s="8"/>
      <c r="R54" s="8"/>
      <c r="S54" s="85"/>
      <c r="T54" s="10"/>
      <c r="U54" s="116"/>
      <c r="V54" s="117"/>
      <c r="W54" s="117"/>
      <c r="X54" s="92"/>
      <c r="Y54" s="10"/>
      <c r="Z54" s="118"/>
      <c r="AA54" s="115"/>
      <c r="AB54" s="115"/>
      <c r="AC54" s="115"/>
      <c r="AD54" s="115"/>
      <c r="AE54" s="115"/>
      <c r="AF54" s="92"/>
      <c r="AG54" s="92"/>
      <c r="AJ54" s="119"/>
      <c r="AK54" s="120"/>
      <c r="AL54" s="120"/>
      <c r="AM54" s="119"/>
      <c r="AN54" s="119"/>
      <c r="AO54" s="119"/>
    </row>
    <row r="55" spans="1:50" ht="18" customHeight="1" thickBot="1" x14ac:dyDescent="0.2">
      <c r="A55" s="121"/>
      <c r="B55" s="90"/>
      <c r="I55" s="2"/>
      <c r="J55" s="2"/>
      <c r="K55" s="2"/>
      <c r="M55" s="96" t="s">
        <v>7</v>
      </c>
      <c r="N55" s="96" t="s">
        <v>7</v>
      </c>
      <c r="O55" s="96" t="s">
        <v>7</v>
      </c>
      <c r="P55" s="96" t="s">
        <v>7</v>
      </c>
      <c r="Q55" s="96" t="s">
        <v>7</v>
      </c>
      <c r="R55" s="96" t="s">
        <v>7</v>
      </c>
      <c r="S55" s="96" t="s">
        <v>7</v>
      </c>
      <c r="T55" s="16"/>
      <c r="U55" s="86"/>
      <c r="V55" s="96"/>
      <c r="W55" s="96"/>
      <c r="X55" s="88"/>
      <c r="Y55" s="16"/>
      <c r="Z55" s="101"/>
      <c r="AA55" s="102"/>
      <c r="AB55" s="102"/>
      <c r="AC55" s="96"/>
      <c r="AD55" s="96"/>
      <c r="AE55" s="96"/>
      <c r="AF55" s="88"/>
      <c r="AG55" s="91"/>
      <c r="AJ55" s="93"/>
      <c r="AK55" s="94"/>
      <c r="AL55" s="94"/>
      <c r="AM55" s="93"/>
      <c r="AN55" s="93"/>
      <c r="AO55" s="93"/>
    </row>
    <row r="56" spans="1:50" ht="18" customHeight="1" thickBot="1" x14ac:dyDescent="0.2">
      <c r="A56" s="104" t="s">
        <v>120</v>
      </c>
      <c r="B56" s="90"/>
      <c r="I56" s="2"/>
      <c r="J56" s="2"/>
      <c r="K56" s="2"/>
      <c r="M56" s="15" t="s">
        <v>11</v>
      </c>
      <c r="N56" s="15" t="s">
        <v>11</v>
      </c>
      <c r="O56" s="15" t="s">
        <v>11</v>
      </c>
      <c r="P56" s="15" t="s">
        <v>11</v>
      </c>
      <c r="Q56" s="15" t="s">
        <v>11</v>
      </c>
      <c r="R56" s="15" t="s">
        <v>11</v>
      </c>
      <c r="S56" s="15" t="s">
        <v>11</v>
      </c>
      <c r="T56" s="16"/>
      <c r="U56" s="86" t="s">
        <v>12</v>
      </c>
      <c r="V56" s="96" t="s">
        <v>12</v>
      </c>
      <c r="W56" s="96" t="s">
        <v>12</v>
      </c>
      <c r="X56" s="88"/>
      <c r="Y56" s="16"/>
      <c r="Z56" s="101"/>
      <c r="AA56" s="102"/>
      <c r="AB56" s="102"/>
      <c r="AC56" s="96"/>
      <c r="AD56" s="96"/>
      <c r="AE56" s="96">
        <v>0.22</v>
      </c>
      <c r="AF56" s="88">
        <v>0.09</v>
      </c>
      <c r="AG56" s="91"/>
      <c r="AJ56" s="93" t="s">
        <v>13</v>
      </c>
      <c r="AK56" s="94"/>
      <c r="AL56" s="94"/>
      <c r="AM56" s="93" t="s">
        <v>13</v>
      </c>
      <c r="AN56" s="93" t="s">
        <v>13</v>
      </c>
      <c r="AO56" s="93" t="s">
        <v>13</v>
      </c>
    </row>
    <row r="57" spans="1:50" s="106" customFormat="1" ht="39" customHeight="1" x14ac:dyDescent="0.15">
      <c r="A57" s="122" t="s">
        <v>15</v>
      </c>
      <c r="B57" s="100" t="s">
        <v>16</v>
      </c>
      <c r="C57" s="100" t="s">
        <v>17</v>
      </c>
      <c r="D57" s="100" t="s">
        <v>18</v>
      </c>
      <c r="E57" s="100" t="s">
        <v>19</v>
      </c>
      <c r="F57" s="100" t="s">
        <v>20</v>
      </c>
      <c r="G57" s="100" t="s">
        <v>21</v>
      </c>
      <c r="H57" s="100" t="s">
        <v>22</v>
      </c>
      <c r="I57" s="100" t="s">
        <v>23</v>
      </c>
      <c r="J57" s="103" t="s">
        <v>24</v>
      </c>
      <c r="K57" s="104" t="s">
        <v>25</v>
      </c>
      <c r="L57" s="22"/>
      <c r="M57" s="105">
        <f>+F58</f>
        <v>45691</v>
      </c>
      <c r="N57" s="105">
        <f>+M57+1</f>
        <v>45692</v>
      </c>
      <c r="O57" s="105">
        <f t="shared" ref="O57:S57" si="51">+N57+1</f>
        <v>45693</v>
      </c>
      <c r="P57" s="105">
        <f t="shared" si="51"/>
        <v>45694</v>
      </c>
      <c r="Q57" s="105">
        <f t="shared" si="51"/>
        <v>45695</v>
      </c>
      <c r="R57" s="105">
        <f t="shared" si="51"/>
        <v>45696</v>
      </c>
      <c r="S57" s="105">
        <f t="shared" si="51"/>
        <v>45697</v>
      </c>
      <c r="T57" s="24"/>
      <c r="U57" s="103" t="s">
        <v>26</v>
      </c>
      <c r="V57" s="103" t="s">
        <v>27</v>
      </c>
      <c r="W57" s="103" t="s">
        <v>27</v>
      </c>
      <c r="X57" s="103" t="s">
        <v>28</v>
      </c>
      <c r="Y57" s="21"/>
      <c r="Z57" s="103" t="s">
        <v>29</v>
      </c>
      <c r="AA57" s="103" t="s">
        <v>30</v>
      </c>
      <c r="AB57" s="12" t="s">
        <v>3</v>
      </c>
      <c r="AC57" s="21" t="s">
        <v>31</v>
      </c>
      <c r="AD57" s="21" t="s">
        <v>32</v>
      </c>
      <c r="AE57" s="103" t="s">
        <v>33</v>
      </c>
      <c r="AF57" s="103" t="s">
        <v>33</v>
      </c>
      <c r="AG57" s="103" t="s">
        <v>34</v>
      </c>
      <c r="AH57" s="103"/>
      <c r="AI57" s="103"/>
      <c r="AJ57" s="103" t="s">
        <v>35</v>
      </c>
      <c r="AK57" s="103" t="s">
        <v>36</v>
      </c>
      <c r="AL57" s="103" t="s">
        <v>37</v>
      </c>
      <c r="AM57" s="103" t="s">
        <v>38</v>
      </c>
      <c r="AN57" s="103" t="s">
        <v>39</v>
      </c>
      <c r="AO57" s="103" t="s">
        <v>40</v>
      </c>
      <c r="AP57" s="103"/>
      <c r="AQ57" s="103"/>
    </row>
    <row r="58" spans="1:50" ht="15" customHeight="1" x14ac:dyDescent="0.15">
      <c r="A58" s="26" t="s">
        <v>223</v>
      </c>
      <c r="B58" s="26" t="s">
        <v>121</v>
      </c>
      <c r="C58" s="26" t="s">
        <v>122</v>
      </c>
      <c r="D58" s="26" t="s">
        <v>195</v>
      </c>
      <c r="E58" s="26" t="s">
        <v>43</v>
      </c>
      <c r="F58" s="27">
        <f>+F16</f>
        <v>45691</v>
      </c>
      <c r="G58" s="27">
        <f>+G16</f>
        <v>45697</v>
      </c>
      <c r="H58" s="28">
        <f t="shared" ref="H58:H65" si="52">IF(G58-F58=0,0,G58-F58+1)</f>
        <v>7</v>
      </c>
      <c r="I58" s="107">
        <v>2000</v>
      </c>
      <c r="J58" s="108">
        <v>0</v>
      </c>
      <c r="K58" s="109">
        <f>SUM(M58:S58)</f>
        <v>0</v>
      </c>
      <c r="L58" s="32"/>
      <c r="M58" s="31">
        <f>IF(M$56="Other 50%",($I58*0.5)/7,IF(M$56="Other 75%",($I58*0.75)/7,IF(M$56="Other 100%",$I58/7,IF(M$56="On Tour 50%",($I58*0.5)/7,IF(M$56="On Tour 100%",$I58/7,IF(M$56="Off Tour 50%",($J58*0.5)/7,IF(M$56="Off Tour 100%",$J58/7,0)))))))</f>
        <v>0</v>
      </c>
      <c r="N58" s="31">
        <f t="shared" ref="N58:S65" si="53">IF(N$56="Other 50%",($I58*0.5)/7,IF(N$56="Other 75%",($I58*0.75)/7,IF(N$56="Other 100%",$I58/7,IF(N$56="On Tour 50%",($I58*0.5)/7,IF(N$56="On Tour 100%",$I58/7,IF(N$56="Off Tour 50%",($J58*0.5)/7,IF(N$56="Off Tour 100%",$J58/7,0)))))))</f>
        <v>0</v>
      </c>
      <c r="O58" s="31">
        <f t="shared" si="53"/>
        <v>0</v>
      </c>
      <c r="P58" s="31">
        <f t="shared" si="53"/>
        <v>0</v>
      </c>
      <c r="Q58" s="31">
        <f t="shared" si="53"/>
        <v>0</v>
      </c>
      <c r="R58" s="31">
        <f t="shared" si="53"/>
        <v>0</v>
      </c>
      <c r="S58" s="31">
        <f t="shared" si="53"/>
        <v>0</v>
      </c>
      <c r="T58" s="2"/>
      <c r="U58" s="110">
        <v>0</v>
      </c>
      <c r="V58" s="110"/>
      <c r="W58" s="110"/>
      <c r="X58" s="37"/>
      <c r="Y58" s="2"/>
      <c r="Z58" s="109">
        <v>0</v>
      </c>
      <c r="AA58" s="109">
        <v>0</v>
      </c>
      <c r="AB58" s="31">
        <f t="shared" ref="AB58:AB63" si="54">SUM(M58:S58)</f>
        <v>0</v>
      </c>
      <c r="AC58" s="109">
        <v>0</v>
      </c>
      <c r="AD58" s="109">
        <v>0</v>
      </c>
      <c r="AE58" s="109">
        <v>0</v>
      </c>
      <c r="AF58" s="109">
        <v>0</v>
      </c>
      <c r="AG58" s="109">
        <f t="shared" ref="AG58:AG65" si="55">+K58-Z58-AA58-AB58-AC58-AD58-AE58-AF58</f>
        <v>0</v>
      </c>
      <c r="AJ58" s="109"/>
      <c r="AK58" s="111"/>
      <c r="AL58" s="112"/>
      <c r="AM58" s="109"/>
      <c r="AN58" s="109"/>
      <c r="AO58" s="109"/>
    </row>
    <row r="59" spans="1:50" ht="15" customHeight="1" x14ac:dyDescent="0.15">
      <c r="A59" s="26" t="s">
        <v>224</v>
      </c>
      <c r="B59" s="26" t="s">
        <v>121</v>
      </c>
      <c r="C59" s="26" t="s">
        <v>122</v>
      </c>
      <c r="D59" s="26" t="s">
        <v>196</v>
      </c>
      <c r="E59" s="26" t="s">
        <v>123</v>
      </c>
      <c r="F59" s="27">
        <f>+F58</f>
        <v>45691</v>
      </c>
      <c r="G59" s="27">
        <f>+G58</f>
        <v>45697</v>
      </c>
      <c r="H59" s="28">
        <f t="shared" si="52"/>
        <v>7</v>
      </c>
      <c r="I59" s="107">
        <v>1500</v>
      </c>
      <c r="J59" s="108">
        <v>0</v>
      </c>
      <c r="K59" s="109">
        <f>SUM(M59:S59)</f>
        <v>0</v>
      </c>
      <c r="L59" s="32"/>
      <c r="M59" s="31">
        <f t="shared" ref="M59:M65" si="56">IF(M$56="Other 50%",($I59*0.5)/7,IF(M$56="Other 75%",($I59*0.75)/7,IF(M$56="Other 100%",$I59/7,IF(M$56="On Tour 50%",($I59*0.5)/7,IF(M$56="On Tour 100%",$I59/7,IF(M$56="Off Tour 50%",($J59*0.5)/7,IF(M$56="Off Tour 100%",$J59/7,0)))))))</f>
        <v>0</v>
      </c>
      <c r="N59" s="31">
        <f t="shared" si="53"/>
        <v>0</v>
      </c>
      <c r="O59" s="31">
        <f t="shared" si="53"/>
        <v>0</v>
      </c>
      <c r="P59" s="31">
        <f t="shared" si="53"/>
        <v>0</v>
      </c>
      <c r="Q59" s="31">
        <f t="shared" si="53"/>
        <v>0</v>
      </c>
      <c r="R59" s="31">
        <f t="shared" si="53"/>
        <v>0</v>
      </c>
      <c r="S59" s="31">
        <f t="shared" si="53"/>
        <v>0</v>
      </c>
      <c r="T59" s="2"/>
      <c r="U59" s="110">
        <f>35+36.4+49</f>
        <v>120.4</v>
      </c>
      <c r="V59" s="110"/>
      <c r="W59" s="110"/>
      <c r="X59" s="37"/>
      <c r="Y59" s="2"/>
      <c r="Z59" s="109">
        <v>0</v>
      </c>
      <c r="AA59" s="109"/>
      <c r="AB59" s="31">
        <f t="shared" si="54"/>
        <v>0</v>
      </c>
      <c r="AC59" s="109">
        <v>0</v>
      </c>
      <c r="AD59" s="109">
        <v>0</v>
      </c>
      <c r="AE59" s="109">
        <v>0</v>
      </c>
      <c r="AF59" s="109">
        <v>0</v>
      </c>
      <c r="AG59" s="109">
        <f t="shared" si="55"/>
        <v>0</v>
      </c>
      <c r="AJ59" s="109"/>
      <c r="AK59" s="111"/>
      <c r="AL59" s="112"/>
      <c r="AM59" s="109"/>
      <c r="AN59" s="109"/>
      <c r="AO59" s="109"/>
    </row>
    <row r="60" spans="1:50" ht="15" customHeight="1" x14ac:dyDescent="0.15">
      <c r="A60" s="26" t="s">
        <v>225</v>
      </c>
      <c r="B60" s="26" t="s">
        <v>124</v>
      </c>
      <c r="C60" s="26" t="s">
        <v>122</v>
      </c>
      <c r="D60" s="26" t="s">
        <v>197</v>
      </c>
      <c r="E60" s="26" t="s">
        <v>123</v>
      </c>
      <c r="F60" s="27">
        <f>+F59</f>
        <v>45691</v>
      </c>
      <c r="G60" s="27">
        <f>+G59</f>
        <v>45697</v>
      </c>
      <c r="H60" s="28">
        <f t="shared" si="52"/>
        <v>7</v>
      </c>
      <c r="I60" s="107">
        <v>500</v>
      </c>
      <c r="J60" s="108">
        <v>0</v>
      </c>
      <c r="K60" s="109">
        <f t="shared" ref="K60:K62" si="57">SUM(M60:S60)</f>
        <v>0</v>
      </c>
      <c r="L60" s="32"/>
      <c r="M60" s="31">
        <f t="shared" si="56"/>
        <v>0</v>
      </c>
      <c r="N60" s="31">
        <f t="shared" si="53"/>
        <v>0</v>
      </c>
      <c r="O60" s="31">
        <f t="shared" si="53"/>
        <v>0</v>
      </c>
      <c r="P60" s="31">
        <f t="shared" si="53"/>
        <v>0</v>
      </c>
      <c r="Q60" s="31">
        <f t="shared" si="53"/>
        <v>0</v>
      </c>
      <c r="R60" s="31">
        <f t="shared" si="53"/>
        <v>0</v>
      </c>
      <c r="S60" s="31">
        <f t="shared" si="53"/>
        <v>0</v>
      </c>
      <c r="T60" s="2"/>
      <c r="U60" s="110">
        <v>36.4</v>
      </c>
      <c r="V60" s="110"/>
      <c r="W60" s="110"/>
      <c r="X60" s="37"/>
      <c r="Y60" s="2"/>
      <c r="Z60" s="109">
        <v>0</v>
      </c>
      <c r="AA60" s="109"/>
      <c r="AB60" s="31">
        <f t="shared" si="54"/>
        <v>0</v>
      </c>
      <c r="AC60" s="109">
        <v>0</v>
      </c>
      <c r="AD60" s="109">
        <v>0</v>
      </c>
      <c r="AE60" s="109">
        <v>0</v>
      </c>
      <c r="AF60" s="109">
        <v>0</v>
      </c>
      <c r="AG60" s="109">
        <f t="shared" si="55"/>
        <v>0</v>
      </c>
      <c r="AJ60" s="109"/>
      <c r="AK60" s="111"/>
      <c r="AL60" s="112"/>
      <c r="AM60" s="109"/>
      <c r="AN60" s="109"/>
      <c r="AO60" s="109"/>
    </row>
    <row r="61" spans="1:50" ht="15" customHeight="1" x14ac:dyDescent="0.15">
      <c r="A61" s="26" t="s">
        <v>226</v>
      </c>
      <c r="B61" s="26" t="s">
        <v>118</v>
      </c>
      <c r="C61" s="26" t="s">
        <v>122</v>
      </c>
      <c r="D61" s="26" t="s">
        <v>198</v>
      </c>
      <c r="E61" s="26" t="s">
        <v>43</v>
      </c>
      <c r="F61" s="27">
        <f t="shared" ref="F61:G65" si="58">+F60</f>
        <v>45691</v>
      </c>
      <c r="G61" s="27">
        <f t="shared" si="58"/>
        <v>45697</v>
      </c>
      <c r="H61" s="28">
        <f t="shared" si="52"/>
        <v>7</v>
      </c>
      <c r="I61" s="107">
        <v>2500</v>
      </c>
      <c r="J61" s="108">
        <v>0</v>
      </c>
      <c r="K61" s="109">
        <f t="shared" si="57"/>
        <v>0</v>
      </c>
      <c r="L61" s="32"/>
      <c r="M61" s="31">
        <v>0</v>
      </c>
      <c r="N61" s="31">
        <f t="shared" si="53"/>
        <v>0</v>
      </c>
      <c r="O61" s="31">
        <f t="shared" si="53"/>
        <v>0</v>
      </c>
      <c r="P61" s="31">
        <f t="shared" si="53"/>
        <v>0</v>
      </c>
      <c r="Q61" s="31">
        <f t="shared" si="53"/>
        <v>0</v>
      </c>
      <c r="R61" s="31">
        <f t="shared" si="53"/>
        <v>0</v>
      </c>
      <c r="S61" s="31">
        <f t="shared" si="53"/>
        <v>0</v>
      </c>
      <c r="T61" s="2"/>
      <c r="U61" s="110"/>
      <c r="V61" s="110"/>
      <c r="W61" s="110"/>
      <c r="X61" s="37"/>
      <c r="Y61" s="2"/>
      <c r="Z61" s="109">
        <v>0</v>
      </c>
      <c r="AA61" s="109"/>
      <c r="AB61" s="31">
        <f t="shared" si="54"/>
        <v>0</v>
      </c>
      <c r="AC61" s="109">
        <v>0</v>
      </c>
      <c r="AD61" s="109">
        <v>0</v>
      </c>
      <c r="AE61" s="109">
        <v>0</v>
      </c>
      <c r="AF61" s="109">
        <v>0</v>
      </c>
      <c r="AG61" s="109">
        <f t="shared" si="55"/>
        <v>0</v>
      </c>
      <c r="AJ61" s="109"/>
      <c r="AK61" s="111"/>
      <c r="AL61" s="112"/>
      <c r="AM61" s="109"/>
      <c r="AN61" s="109"/>
      <c r="AO61" s="109"/>
    </row>
    <row r="62" spans="1:50" ht="15" customHeight="1" x14ac:dyDescent="0.15">
      <c r="A62" s="26" t="s">
        <v>227</v>
      </c>
      <c r="B62" s="26" t="s">
        <v>107</v>
      </c>
      <c r="C62" s="26" t="s">
        <v>122</v>
      </c>
      <c r="D62" s="26" t="s">
        <v>199</v>
      </c>
      <c r="E62" s="26" t="s">
        <v>43</v>
      </c>
      <c r="F62" s="27">
        <f t="shared" si="58"/>
        <v>45691</v>
      </c>
      <c r="G62" s="27">
        <f t="shared" si="58"/>
        <v>45697</v>
      </c>
      <c r="H62" s="28">
        <f>IF(G62-F62=0,0,G62-F62+1)</f>
        <v>7</v>
      </c>
      <c r="I62" s="107">
        <v>0</v>
      </c>
      <c r="J62" s="108">
        <v>0</v>
      </c>
      <c r="K62" s="109">
        <f t="shared" si="57"/>
        <v>0</v>
      </c>
      <c r="L62" s="32"/>
      <c r="M62" s="31">
        <f t="shared" si="56"/>
        <v>0</v>
      </c>
      <c r="N62" s="31">
        <f t="shared" si="53"/>
        <v>0</v>
      </c>
      <c r="O62" s="31">
        <f t="shared" si="53"/>
        <v>0</v>
      </c>
      <c r="P62" s="31">
        <f t="shared" si="53"/>
        <v>0</v>
      </c>
      <c r="Q62" s="31">
        <f t="shared" si="53"/>
        <v>0</v>
      </c>
      <c r="R62" s="31">
        <f t="shared" si="53"/>
        <v>0</v>
      </c>
      <c r="S62" s="31">
        <f t="shared" si="53"/>
        <v>0</v>
      </c>
      <c r="T62" s="2"/>
      <c r="U62" s="110">
        <v>0</v>
      </c>
      <c r="V62" s="110"/>
      <c r="W62" s="110"/>
      <c r="X62" s="37"/>
      <c r="Y62" s="2"/>
      <c r="Z62" s="109">
        <f>+K62-AA62-AB62-AC62-AD62</f>
        <v>0</v>
      </c>
      <c r="AA62" s="109"/>
      <c r="AB62" s="31">
        <f t="shared" si="54"/>
        <v>0</v>
      </c>
      <c r="AC62" s="109">
        <v>0</v>
      </c>
      <c r="AD62" s="109">
        <f>SUM(N62:S62)</f>
        <v>0</v>
      </c>
      <c r="AE62" s="109">
        <f>SUM(M62:S62)</f>
        <v>0</v>
      </c>
      <c r="AF62" s="109">
        <v>0</v>
      </c>
      <c r="AG62" s="109">
        <f t="shared" si="55"/>
        <v>0</v>
      </c>
      <c r="AJ62" s="109"/>
      <c r="AK62" s="111"/>
      <c r="AL62" s="112"/>
      <c r="AM62" s="109"/>
      <c r="AN62" s="109"/>
      <c r="AO62" s="109"/>
    </row>
    <row r="63" spans="1:50" ht="15" customHeight="1" x14ac:dyDescent="0.15">
      <c r="A63" s="26" t="s">
        <v>228</v>
      </c>
      <c r="B63" s="26" t="s">
        <v>125</v>
      </c>
      <c r="C63" s="26" t="s">
        <v>122</v>
      </c>
      <c r="D63" s="26" t="s">
        <v>200</v>
      </c>
      <c r="E63" s="26"/>
      <c r="F63" s="27">
        <f t="shared" si="58"/>
        <v>45691</v>
      </c>
      <c r="G63" s="27">
        <f t="shared" si="58"/>
        <v>45697</v>
      </c>
      <c r="H63" s="28">
        <f>IF(G63-F63=0,0,G63-F63+1)</f>
        <v>7</v>
      </c>
      <c r="I63" s="107">
        <v>0</v>
      </c>
      <c r="J63" s="108">
        <v>0</v>
      </c>
      <c r="K63" s="109"/>
      <c r="L63" s="32"/>
      <c r="M63" s="109">
        <f t="shared" si="56"/>
        <v>0</v>
      </c>
      <c r="N63" s="109">
        <f t="shared" si="53"/>
        <v>0</v>
      </c>
      <c r="O63" s="109">
        <f t="shared" si="53"/>
        <v>0</v>
      </c>
      <c r="P63" s="109">
        <f t="shared" si="53"/>
        <v>0</v>
      </c>
      <c r="Q63" s="109">
        <f t="shared" si="53"/>
        <v>0</v>
      </c>
      <c r="R63" s="109">
        <f t="shared" si="53"/>
        <v>0</v>
      </c>
      <c r="S63" s="109">
        <f t="shared" si="53"/>
        <v>0</v>
      </c>
      <c r="T63" s="2"/>
      <c r="U63" s="110"/>
      <c r="V63" s="110"/>
      <c r="W63" s="110"/>
      <c r="X63" s="37"/>
      <c r="Y63" s="2"/>
      <c r="Z63" s="109">
        <f>+K63-AA63-AB63-AC63-AD63</f>
        <v>0</v>
      </c>
      <c r="AA63" s="109"/>
      <c r="AB63" s="31">
        <f t="shared" si="54"/>
        <v>0</v>
      </c>
      <c r="AC63" s="109">
        <f t="shared" ref="AC63" si="59">SUM(M63:S63)</f>
        <v>0</v>
      </c>
      <c r="AD63" s="109">
        <f>SUM(O63:S63)</f>
        <v>0</v>
      </c>
      <c r="AE63" s="109">
        <f>SUM(M63:S63)</f>
        <v>0</v>
      </c>
      <c r="AF63" s="109"/>
      <c r="AG63" s="109">
        <f t="shared" si="55"/>
        <v>0</v>
      </c>
      <c r="AJ63" s="109"/>
      <c r="AK63" s="111"/>
      <c r="AL63" s="112"/>
      <c r="AM63" s="109"/>
      <c r="AN63" s="109"/>
      <c r="AO63" s="109"/>
    </row>
    <row r="64" spans="1:50" s="148" customFormat="1" ht="15" customHeight="1" x14ac:dyDescent="0.15">
      <c r="A64" s="139" t="s">
        <v>229</v>
      </c>
      <c r="B64" s="139" t="s">
        <v>126</v>
      </c>
      <c r="C64" s="139" t="s">
        <v>122</v>
      </c>
      <c r="D64" s="139"/>
      <c r="E64" s="139"/>
      <c r="F64" s="141">
        <f t="shared" si="58"/>
        <v>45691</v>
      </c>
      <c r="G64" s="141">
        <f t="shared" si="58"/>
        <v>45697</v>
      </c>
      <c r="H64" s="140">
        <f t="shared" si="52"/>
        <v>7</v>
      </c>
      <c r="I64" s="142">
        <v>0</v>
      </c>
      <c r="J64" s="143">
        <v>0</v>
      </c>
      <c r="K64" s="144"/>
      <c r="L64" s="145"/>
      <c r="M64" s="144">
        <f t="shared" si="56"/>
        <v>0</v>
      </c>
      <c r="N64" s="144">
        <f t="shared" si="53"/>
        <v>0</v>
      </c>
      <c r="O64" s="144">
        <f t="shared" si="53"/>
        <v>0</v>
      </c>
      <c r="P64" s="144">
        <f t="shared" si="53"/>
        <v>0</v>
      </c>
      <c r="Q64" s="144">
        <f t="shared" si="53"/>
        <v>0</v>
      </c>
      <c r="R64" s="144">
        <f t="shared" si="53"/>
        <v>0</v>
      </c>
      <c r="S64" s="144">
        <f t="shared" si="53"/>
        <v>0</v>
      </c>
      <c r="T64" s="146"/>
      <c r="U64" s="147"/>
      <c r="V64" s="147"/>
      <c r="W64" s="147"/>
      <c r="X64" s="34"/>
      <c r="Y64" s="146"/>
      <c r="Z64" s="144">
        <f>+K64-AA64-AB64-AC64</f>
        <v>0</v>
      </c>
      <c r="AA64" s="144">
        <f>+K64</f>
        <v>0</v>
      </c>
      <c r="AB64" s="144">
        <f t="shared" ref="AB64:AB65" si="60">SUM(M64:S64)</f>
        <v>0</v>
      </c>
      <c r="AC64" s="144"/>
      <c r="AD64" s="144"/>
      <c r="AE64" s="144">
        <f>SUM(M64:S64)</f>
        <v>0</v>
      </c>
      <c r="AF64" s="144"/>
      <c r="AG64" s="144">
        <f t="shared" si="55"/>
        <v>0</v>
      </c>
      <c r="AJ64" s="144"/>
      <c r="AK64" s="149"/>
      <c r="AL64" s="150"/>
      <c r="AM64" s="144"/>
      <c r="AN64" s="144"/>
      <c r="AO64" s="144"/>
    </row>
    <row r="65" spans="1:50" s="148" customFormat="1" ht="15" customHeight="1" x14ac:dyDescent="0.15">
      <c r="A65" s="139" t="s">
        <v>230</v>
      </c>
      <c r="B65" s="139" t="s">
        <v>127</v>
      </c>
      <c r="C65" s="139" t="s">
        <v>122</v>
      </c>
      <c r="D65" s="139"/>
      <c r="E65" s="139"/>
      <c r="F65" s="141">
        <f t="shared" si="58"/>
        <v>45691</v>
      </c>
      <c r="G65" s="141">
        <f t="shared" si="58"/>
        <v>45697</v>
      </c>
      <c r="H65" s="140">
        <f t="shared" si="52"/>
        <v>7</v>
      </c>
      <c r="I65" s="142">
        <v>0</v>
      </c>
      <c r="J65" s="143">
        <v>0</v>
      </c>
      <c r="K65" s="144"/>
      <c r="L65" s="145"/>
      <c r="M65" s="144">
        <f t="shared" si="56"/>
        <v>0</v>
      </c>
      <c r="N65" s="144">
        <f t="shared" si="53"/>
        <v>0</v>
      </c>
      <c r="O65" s="144">
        <f t="shared" si="53"/>
        <v>0</v>
      </c>
      <c r="P65" s="144">
        <f t="shared" si="53"/>
        <v>0</v>
      </c>
      <c r="Q65" s="144">
        <f t="shared" si="53"/>
        <v>0</v>
      </c>
      <c r="R65" s="144">
        <f t="shared" si="53"/>
        <v>0</v>
      </c>
      <c r="S65" s="144">
        <f t="shared" si="53"/>
        <v>0</v>
      </c>
      <c r="T65" s="146"/>
      <c r="U65" s="147"/>
      <c r="V65" s="147"/>
      <c r="W65" s="147"/>
      <c r="X65" s="34"/>
      <c r="Y65" s="146"/>
      <c r="Z65" s="144"/>
      <c r="AA65" s="144">
        <f>+K65</f>
        <v>0</v>
      </c>
      <c r="AB65" s="144">
        <f t="shared" si="60"/>
        <v>0</v>
      </c>
      <c r="AC65" s="144"/>
      <c r="AD65" s="144"/>
      <c r="AE65" s="144"/>
      <c r="AF65" s="144"/>
      <c r="AG65" s="144">
        <f t="shared" si="55"/>
        <v>0</v>
      </c>
      <c r="AJ65" s="144"/>
      <c r="AK65" s="149"/>
      <c r="AL65" s="150"/>
      <c r="AM65" s="144"/>
      <c r="AN65" s="144"/>
      <c r="AO65" s="144"/>
    </row>
    <row r="66" spans="1:50" s="74" customFormat="1" ht="15" customHeight="1" thickBot="1" x14ac:dyDescent="0.2">
      <c r="A66" s="69" t="s">
        <v>110</v>
      </c>
      <c r="B66" s="113"/>
      <c r="C66" s="114"/>
      <c r="D66" s="114"/>
      <c r="E66" s="114"/>
      <c r="F66" s="114"/>
      <c r="G66" s="114"/>
      <c r="H66" s="65"/>
      <c r="I66" s="65">
        <f>SUM(I58:I65)</f>
        <v>6500</v>
      </c>
      <c r="J66" s="65">
        <f t="shared" ref="J66:AO66" si="61">SUM(J58:J65)</f>
        <v>0</v>
      </c>
      <c r="K66" s="65">
        <f t="shared" si="61"/>
        <v>0</v>
      </c>
      <c r="L66" s="65">
        <f t="shared" si="61"/>
        <v>0</v>
      </c>
      <c r="M66" s="65">
        <f t="shared" si="61"/>
        <v>0</v>
      </c>
      <c r="N66" s="65">
        <f t="shared" si="61"/>
        <v>0</v>
      </c>
      <c r="O66" s="65">
        <f t="shared" si="61"/>
        <v>0</v>
      </c>
      <c r="P66" s="65">
        <f t="shared" si="61"/>
        <v>0</v>
      </c>
      <c r="Q66" s="65">
        <f t="shared" si="61"/>
        <v>0</v>
      </c>
      <c r="R66" s="65">
        <f t="shared" si="61"/>
        <v>0</v>
      </c>
      <c r="S66" s="65">
        <f t="shared" si="61"/>
        <v>0</v>
      </c>
      <c r="T66" s="65"/>
      <c r="U66" s="65">
        <f t="shared" si="61"/>
        <v>156.80000000000001</v>
      </c>
      <c r="V66" s="65">
        <f t="shared" si="61"/>
        <v>0</v>
      </c>
      <c r="W66" s="65">
        <f t="shared" si="61"/>
        <v>0</v>
      </c>
      <c r="X66" s="65">
        <f t="shared" si="61"/>
        <v>0</v>
      </c>
      <c r="Y66" s="65">
        <f t="shared" si="61"/>
        <v>0</v>
      </c>
      <c r="Z66" s="65">
        <f t="shared" si="61"/>
        <v>0</v>
      </c>
      <c r="AA66" s="65">
        <f t="shared" si="61"/>
        <v>0</v>
      </c>
      <c r="AB66" s="65">
        <f t="shared" si="61"/>
        <v>0</v>
      </c>
      <c r="AC66" s="65">
        <f t="shared" si="61"/>
        <v>0</v>
      </c>
      <c r="AD66" s="65">
        <f t="shared" si="61"/>
        <v>0</v>
      </c>
      <c r="AE66" s="65">
        <f t="shared" si="61"/>
        <v>0</v>
      </c>
      <c r="AF66" s="65">
        <f t="shared" si="61"/>
        <v>0</v>
      </c>
      <c r="AG66" s="65">
        <f t="shared" si="61"/>
        <v>0</v>
      </c>
      <c r="AH66" s="65">
        <f t="shared" si="61"/>
        <v>0</v>
      </c>
      <c r="AI66" s="65">
        <f t="shared" si="61"/>
        <v>0</v>
      </c>
      <c r="AJ66" s="65">
        <f t="shared" si="61"/>
        <v>0</v>
      </c>
      <c r="AK66" s="65">
        <f t="shared" si="61"/>
        <v>0</v>
      </c>
      <c r="AL66" s="65">
        <f t="shared" si="61"/>
        <v>0</v>
      </c>
      <c r="AM66" s="65">
        <f t="shared" si="61"/>
        <v>0</v>
      </c>
      <c r="AN66" s="65">
        <f t="shared" si="61"/>
        <v>0</v>
      </c>
      <c r="AO66" s="65">
        <f t="shared" si="61"/>
        <v>0</v>
      </c>
      <c r="AP66" s="73"/>
      <c r="AQ66" s="73"/>
      <c r="AR66" s="73"/>
      <c r="AS66" s="73"/>
      <c r="AT66" s="73"/>
      <c r="AU66" s="73"/>
      <c r="AV66" s="73"/>
      <c r="AW66" s="73"/>
      <c r="AX66" s="73"/>
    </row>
    <row r="67" spans="1:50" ht="15" customHeight="1" x14ac:dyDescent="0.15">
      <c r="A67" s="75"/>
      <c r="B67" s="75"/>
      <c r="C67" s="2"/>
      <c r="D67" s="2"/>
      <c r="E67" s="2"/>
      <c r="F67" s="2"/>
      <c r="G67" s="2"/>
      <c r="H67" s="32"/>
      <c r="I67" s="2"/>
      <c r="J67" s="32" t="s">
        <v>111</v>
      </c>
      <c r="K67" s="76">
        <v>1475</v>
      </c>
      <c r="L67" s="3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1"/>
      <c r="AH67" s="6"/>
      <c r="AI67" s="6"/>
      <c r="AJ67" s="2"/>
      <c r="AK67" s="2"/>
      <c r="AL67" s="2"/>
      <c r="AM67" s="2"/>
      <c r="AN67" s="13"/>
      <c r="AO67" s="13"/>
      <c r="AP67" s="6"/>
      <c r="AQ67" s="6"/>
      <c r="AR67" s="6"/>
      <c r="AS67" s="6"/>
      <c r="AT67" s="6"/>
      <c r="AU67" s="6"/>
      <c r="AV67" s="6"/>
    </row>
    <row r="68" spans="1:50" s="82" customFormat="1" ht="15" customHeight="1" thickBot="1" x14ac:dyDescent="0.2">
      <c r="A68" s="2"/>
      <c r="B68" s="2"/>
      <c r="C68" s="2"/>
      <c r="D68" s="2"/>
      <c r="E68" s="2"/>
      <c r="F68" s="2"/>
      <c r="G68" s="2"/>
      <c r="H68" s="32"/>
      <c r="I68" s="32"/>
      <c r="J68" s="77"/>
      <c r="K68" s="78">
        <f>+K66-K67</f>
        <v>-1475</v>
      </c>
      <c r="L68" s="79"/>
      <c r="M68" s="32"/>
      <c r="N68" s="32"/>
      <c r="O68" s="32"/>
      <c r="P68" s="32"/>
      <c r="Q68" s="32"/>
      <c r="R68" s="32"/>
      <c r="S68" s="32"/>
      <c r="T68" s="2"/>
      <c r="U68" s="52"/>
      <c r="V68" s="52"/>
      <c r="W68" s="52"/>
      <c r="X68" s="2"/>
      <c r="Y68" s="2"/>
      <c r="Z68" s="2"/>
      <c r="AA68" s="2"/>
      <c r="AB68" s="2"/>
      <c r="AC68" s="2"/>
      <c r="AD68" s="2"/>
      <c r="AE68" s="2"/>
      <c r="AF68" s="2"/>
      <c r="AG68" s="78"/>
      <c r="AH68" s="6"/>
      <c r="AI68" s="6"/>
      <c r="AJ68" s="2"/>
      <c r="AK68" s="2"/>
      <c r="AL68" s="2"/>
      <c r="AM68" s="80"/>
      <c r="AN68" s="60"/>
      <c r="AO68" s="60"/>
      <c r="AP68" s="6"/>
      <c r="AQ68" s="6"/>
      <c r="AR68" s="6"/>
      <c r="AS68" s="6"/>
      <c r="AT68" s="6"/>
      <c r="AU68" s="6"/>
      <c r="AV68" s="6"/>
      <c r="AW68" s="81"/>
      <c r="AX68" s="81"/>
    </row>
    <row r="69" spans="1:50" ht="15" customHeight="1" x14ac:dyDescent="0.15">
      <c r="A69" s="118"/>
      <c r="B69" s="115"/>
      <c r="C69" s="115"/>
      <c r="D69" s="115"/>
      <c r="E69" s="115"/>
      <c r="F69" s="115"/>
      <c r="G69" s="115"/>
      <c r="H69" s="115"/>
      <c r="I69" s="4"/>
      <c r="J69" s="4"/>
      <c r="K69" s="4"/>
      <c r="M69" s="123"/>
      <c r="N69" s="84"/>
      <c r="O69" s="84"/>
      <c r="P69" s="123"/>
      <c r="Q69" s="123"/>
      <c r="R69" s="96"/>
      <c r="S69" s="96"/>
      <c r="T69" s="10"/>
      <c r="U69" s="116"/>
      <c r="V69" s="117"/>
      <c r="W69" s="117"/>
      <c r="X69" s="92"/>
      <c r="Y69" s="10"/>
      <c r="Z69" s="118"/>
      <c r="AA69" s="115"/>
      <c r="AB69" s="115"/>
      <c r="AC69" s="115"/>
      <c r="AD69" s="115"/>
      <c r="AE69" s="115"/>
      <c r="AF69" s="92"/>
      <c r="AG69" s="92"/>
      <c r="AJ69" s="119"/>
      <c r="AK69" s="120"/>
      <c r="AL69" s="120"/>
      <c r="AM69" s="119"/>
      <c r="AN69" s="119"/>
      <c r="AO69" s="119"/>
    </row>
    <row r="70" spans="1:50" ht="15" customHeight="1" thickBot="1" x14ac:dyDescent="0.2">
      <c r="A70" s="89"/>
      <c r="B70" s="90"/>
      <c r="I70" s="14"/>
      <c r="J70" s="14"/>
      <c r="K70" s="2"/>
      <c r="M70" s="96" t="s">
        <v>7</v>
      </c>
      <c r="N70" s="96" t="s">
        <v>7</v>
      </c>
      <c r="O70" s="96" t="s">
        <v>7</v>
      </c>
      <c r="P70" s="96" t="s">
        <v>7</v>
      </c>
      <c r="Q70" s="96" t="s">
        <v>7</v>
      </c>
      <c r="R70" s="96" t="s">
        <v>7</v>
      </c>
      <c r="S70" s="96" t="s">
        <v>7</v>
      </c>
      <c r="T70" s="16"/>
      <c r="U70" s="86"/>
      <c r="V70" s="97"/>
      <c r="W70" s="97"/>
      <c r="X70" s="88"/>
      <c r="Y70" s="16"/>
      <c r="Z70" s="86"/>
      <c r="AA70" s="96"/>
      <c r="AB70" s="96"/>
      <c r="AC70" s="96"/>
      <c r="AD70" s="96"/>
      <c r="AE70" s="96"/>
      <c r="AF70" s="88"/>
      <c r="AG70" s="91"/>
      <c r="AJ70" s="98"/>
      <c r="AK70" s="99"/>
      <c r="AL70" s="99"/>
      <c r="AM70" s="98"/>
      <c r="AN70" s="98"/>
      <c r="AO70" s="98"/>
    </row>
    <row r="71" spans="1:50" ht="13" x14ac:dyDescent="0.15">
      <c r="A71" s="104" t="s">
        <v>128</v>
      </c>
      <c r="B71" s="90"/>
      <c r="I71" s="2"/>
      <c r="J71" s="2"/>
      <c r="K71" s="2"/>
      <c r="M71" s="96" t="s">
        <v>11</v>
      </c>
      <c r="N71" s="96" t="s">
        <v>11</v>
      </c>
      <c r="O71" s="96" t="s">
        <v>11</v>
      </c>
      <c r="P71" s="96" t="s">
        <v>11</v>
      </c>
      <c r="Q71" s="96" t="s">
        <v>11</v>
      </c>
      <c r="R71" s="96" t="s">
        <v>11</v>
      </c>
      <c r="S71" s="96" t="s">
        <v>11</v>
      </c>
      <c r="T71" s="16"/>
      <c r="U71" s="86" t="s">
        <v>12</v>
      </c>
      <c r="V71" s="96" t="s">
        <v>12</v>
      </c>
      <c r="W71" s="96" t="s">
        <v>12</v>
      </c>
      <c r="X71" s="88"/>
      <c r="Y71" s="16"/>
      <c r="Z71" s="86"/>
      <c r="AA71" s="96"/>
      <c r="AB71" s="96"/>
      <c r="AC71" s="96"/>
      <c r="AD71" s="96"/>
      <c r="AE71" s="96"/>
      <c r="AF71" s="88"/>
      <c r="AG71" s="91"/>
      <c r="AJ71" s="93" t="s">
        <v>13</v>
      </c>
      <c r="AK71" s="94"/>
      <c r="AL71" s="94"/>
      <c r="AM71" s="93" t="s">
        <v>13</v>
      </c>
      <c r="AN71" s="93" t="s">
        <v>13</v>
      </c>
      <c r="AO71" s="93" t="s">
        <v>13</v>
      </c>
    </row>
    <row r="72" spans="1:50" s="106" customFormat="1" ht="39" customHeight="1" x14ac:dyDescent="0.15">
      <c r="A72" s="122" t="s">
        <v>15</v>
      </c>
      <c r="B72" s="100" t="s">
        <v>16</v>
      </c>
      <c r="C72" s="100" t="s">
        <v>17</v>
      </c>
      <c r="D72" s="100" t="s">
        <v>18</v>
      </c>
      <c r="E72" s="100" t="s">
        <v>19</v>
      </c>
      <c r="F72" s="100" t="s">
        <v>20</v>
      </c>
      <c r="G72" s="100" t="s">
        <v>21</v>
      </c>
      <c r="H72" s="100" t="s">
        <v>22</v>
      </c>
      <c r="I72" s="100" t="s">
        <v>23</v>
      </c>
      <c r="J72" s="103" t="s">
        <v>24</v>
      </c>
      <c r="K72" s="104" t="s">
        <v>25</v>
      </c>
      <c r="L72" s="22"/>
      <c r="M72" s="105">
        <f>+F73</f>
        <v>45691</v>
      </c>
      <c r="N72" s="105">
        <f>+M72+1</f>
        <v>45692</v>
      </c>
      <c r="O72" s="105">
        <f t="shared" ref="O72:S72" si="62">+N72+1</f>
        <v>45693</v>
      </c>
      <c r="P72" s="105">
        <f t="shared" si="62"/>
        <v>45694</v>
      </c>
      <c r="Q72" s="105">
        <f t="shared" si="62"/>
        <v>45695</v>
      </c>
      <c r="R72" s="105">
        <f t="shared" si="62"/>
        <v>45696</v>
      </c>
      <c r="S72" s="105">
        <f t="shared" si="62"/>
        <v>45697</v>
      </c>
      <c r="T72" s="24"/>
      <c r="U72" s="103" t="s">
        <v>26</v>
      </c>
      <c r="V72" s="103" t="s">
        <v>27</v>
      </c>
      <c r="W72" s="103" t="s">
        <v>27</v>
      </c>
      <c r="X72" s="103" t="s">
        <v>28</v>
      </c>
      <c r="Y72" s="21"/>
      <c r="Z72" s="103" t="s">
        <v>29</v>
      </c>
      <c r="AA72" s="103" t="s">
        <v>30</v>
      </c>
      <c r="AB72" s="103" t="s">
        <v>33</v>
      </c>
      <c r="AC72" s="103" t="s">
        <v>33</v>
      </c>
      <c r="AD72" s="103" t="s">
        <v>33</v>
      </c>
      <c r="AE72" s="103" t="s">
        <v>33</v>
      </c>
      <c r="AF72" s="103" t="s">
        <v>33</v>
      </c>
      <c r="AG72" s="103" t="s">
        <v>34</v>
      </c>
      <c r="AH72" s="103"/>
      <c r="AI72" s="103"/>
      <c r="AJ72" s="103" t="s">
        <v>35</v>
      </c>
      <c r="AK72" s="103" t="s">
        <v>36</v>
      </c>
      <c r="AL72" s="103" t="s">
        <v>37</v>
      </c>
      <c r="AM72" s="103" t="s">
        <v>38</v>
      </c>
      <c r="AN72" s="103" t="s">
        <v>39</v>
      </c>
      <c r="AO72" s="103" t="s">
        <v>40</v>
      </c>
      <c r="AP72" s="103"/>
      <c r="AQ72" s="103"/>
    </row>
    <row r="73" spans="1:50" ht="15" customHeight="1" x14ac:dyDescent="0.15">
      <c r="A73" s="26" t="s">
        <v>231</v>
      </c>
      <c r="B73" s="26" t="s">
        <v>103</v>
      </c>
      <c r="C73" s="26" t="s">
        <v>80</v>
      </c>
      <c r="D73" s="26" t="s">
        <v>201</v>
      </c>
      <c r="E73" s="26" t="s">
        <v>92</v>
      </c>
      <c r="F73" s="27">
        <f>+F31</f>
        <v>45691</v>
      </c>
      <c r="G73" s="27">
        <f>+G31</f>
        <v>45697</v>
      </c>
      <c r="H73" s="28">
        <f t="shared" ref="H73" si="63">IF(G73-F73=0,0,G73-F73+1)</f>
        <v>7</v>
      </c>
      <c r="I73" s="107">
        <f>1500*7</f>
        <v>10500</v>
      </c>
      <c r="J73" s="108">
        <v>0</v>
      </c>
      <c r="K73" s="109">
        <f t="shared" ref="K73" si="64">SUM(M73:W73)</f>
        <v>0</v>
      </c>
      <c r="L73" s="32"/>
      <c r="M73" s="109">
        <f>IF(M$71="Other 50%",($I73*0.5)/7,IF(M$71="Other 75%",($I73*0.75)/7,IF(M$71="Other 100%",$I73/7,IF(M$71="On Tour 50%",($I73*0.5)/7,IF(M$71="On Tour 100%",$I73/7,IF(M$71="Off Tour 50%",($J73*0.5)/7,IF(M$71="Off Tour 100%",$J73/7,0)))))))</f>
        <v>0</v>
      </c>
      <c r="N73" s="109">
        <f t="shared" ref="N73:S73" si="65">IF(N$71="Other 50%",($I73*0.5)/7,IF(N$71="Other 75%",($I73*0.75)/7,IF(N$71="Other 100%",$I73/7,IF(N$71="On Tour 50%",($I73*0.5)/7,IF(N$71="On Tour 100%",$I73/7,IF(N$71="Off Tour 50%",($J73*0.5)/7,IF(N$71="Off Tour 100%",$J73/7,0)))))))</f>
        <v>0</v>
      </c>
      <c r="O73" s="109">
        <f t="shared" si="65"/>
        <v>0</v>
      </c>
      <c r="P73" s="109">
        <f t="shared" si="65"/>
        <v>0</v>
      </c>
      <c r="Q73" s="109">
        <f t="shared" si="65"/>
        <v>0</v>
      </c>
      <c r="R73" s="109">
        <f t="shared" si="65"/>
        <v>0</v>
      </c>
      <c r="S73" s="109">
        <f t="shared" si="65"/>
        <v>0</v>
      </c>
      <c r="T73" s="2"/>
      <c r="U73" s="110">
        <v>0</v>
      </c>
      <c r="V73" s="110">
        <v>0</v>
      </c>
      <c r="W73" s="110">
        <v>0</v>
      </c>
      <c r="X73" s="37"/>
      <c r="Y73" s="2"/>
      <c r="Z73" s="109">
        <v>0</v>
      </c>
      <c r="AA73" s="109">
        <f t="shared" ref="AA73" si="66">+K73-AB73-AC73-AD73-AE73-AF73-AG73</f>
        <v>0</v>
      </c>
      <c r="AB73" s="109">
        <f>SUM(M73:S73)</f>
        <v>0</v>
      </c>
      <c r="AC73" s="109"/>
      <c r="AD73" s="109">
        <v>0</v>
      </c>
      <c r="AE73" s="109">
        <v>0</v>
      </c>
      <c r="AF73" s="109">
        <v>0</v>
      </c>
      <c r="AG73" s="109">
        <v>0</v>
      </c>
      <c r="AH73" s="73" t="b">
        <f t="shared" ref="AH73" si="67">K73=SUM(Z73:AG73)</f>
        <v>1</v>
      </c>
      <c r="AI73" s="73">
        <f t="shared" ref="AI73" si="68">+AJ73-K73</f>
        <v>0</v>
      </c>
      <c r="AJ73" s="109">
        <f t="shared" ref="AJ73" si="69">IF($AL73&gt;0,$M73+$N73+$O73+$P73+$Q73+$R73+$S73,0)</f>
        <v>0</v>
      </c>
      <c r="AK73" s="111"/>
      <c r="AL73" s="112"/>
      <c r="AM73" s="109">
        <f t="shared" ref="AM73" si="70">IF(AL73=1,AJ73*AK73,0)</f>
        <v>0</v>
      </c>
      <c r="AN73" s="109">
        <f t="shared" ref="AN73" si="71">IF(AL73=2,AJ73*AK73,0)</f>
        <v>0</v>
      </c>
      <c r="AO73" s="109"/>
    </row>
    <row r="74" spans="1:50" ht="15" customHeight="1" x14ac:dyDescent="0.15">
      <c r="A74" s="124"/>
      <c r="B74" s="125"/>
      <c r="C74" s="126"/>
      <c r="D74" s="126"/>
      <c r="E74" s="126"/>
      <c r="F74" s="127">
        <f>+F73</f>
        <v>45691</v>
      </c>
      <c r="G74" s="127">
        <f>+G73</f>
        <v>45697</v>
      </c>
      <c r="H74" s="128"/>
      <c r="I74" s="129"/>
      <c r="J74" s="129"/>
      <c r="K74" s="76"/>
      <c r="L74" s="32"/>
      <c r="M74" s="80"/>
      <c r="N74" s="38"/>
      <c r="O74" s="38"/>
      <c r="P74" s="38"/>
      <c r="Q74" s="38"/>
      <c r="R74" s="38"/>
      <c r="S74" s="38"/>
      <c r="T74" s="2"/>
      <c r="U74" s="37"/>
      <c r="V74" s="37"/>
      <c r="W74" s="37"/>
      <c r="X74" s="37"/>
      <c r="Y74" s="2"/>
      <c r="Z74" s="60"/>
      <c r="AA74" s="38"/>
      <c r="AB74" s="38"/>
      <c r="AC74" s="51"/>
      <c r="AD74" s="38"/>
      <c r="AE74" s="38"/>
      <c r="AF74" s="130"/>
      <c r="AG74" s="125"/>
      <c r="AJ74" s="131"/>
      <c r="AK74" s="132"/>
      <c r="AL74" s="132"/>
      <c r="AM74" s="131"/>
      <c r="AN74" s="131"/>
      <c r="AO74" s="131"/>
    </row>
    <row r="75" spans="1:50" s="74" customFormat="1" ht="15" customHeight="1" thickBot="1" x14ac:dyDescent="0.2">
      <c r="A75" s="69" t="s">
        <v>110</v>
      </c>
      <c r="B75" s="113"/>
      <c r="C75" s="114"/>
      <c r="D75" s="114"/>
      <c r="E75" s="114"/>
      <c r="F75" s="114"/>
      <c r="G75" s="114"/>
      <c r="H75" s="65"/>
      <c r="I75" s="65">
        <f>SUM(I73:I74)</f>
        <v>10500</v>
      </c>
      <c r="J75" s="65">
        <f t="shared" ref="J75:K75" si="72">SUM(J73:J74)</f>
        <v>0</v>
      </c>
      <c r="K75" s="65">
        <f t="shared" si="72"/>
        <v>0</v>
      </c>
      <c r="L75" s="65">
        <f t="shared" ref="L75" si="73">SUM(L67:L74)</f>
        <v>0</v>
      </c>
      <c r="M75" s="65">
        <f t="shared" ref="M75:S75" si="74">SUM(M73:M74)</f>
        <v>0</v>
      </c>
      <c r="N75" s="65">
        <f t="shared" si="74"/>
        <v>0</v>
      </c>
      <c r="O75" s="65">
        <f t="shared" si="74"/>
        <v>0</v>
      </c>
      <c r="P75" s="65">
        <f t="shared" si="74"/>
        <v>0</v>
      </c>
      <c r="Q75" s="65">
        <f t="shared" si="74"/>
        <v>0</v>
      </c>
      <c r="R75" s="65">
        <f t="shared" si="74"/>
        <v>0</v>
      </c>
      <c r="S75" s="65">
        <f t="shared" si="74"/>
        <v>0</v>
      </c>
      <c r="T75" s="65"/>
      <c r="U75" s="65">
        <f t="shared" ref="U75:AO75" si="75">SUM(U73:U74)</f>
        <v>0</v>
      </c>
      <c r="V75" s="65">
        <f t="shared" si="75"/>
        <v>0</v>
      </c>
      <c r="W75" s="65">
        <f t="shared" si="75"/>
        <v>0</v>
      </c>
      <c r="X75" s="65">
        <f t="shared" si="75"/>
        <v>0</v>
      </c>
      <c r="Y75" s="65">
        <f t="shared" si="75"/>
        <v>0</v>
      </c>
      <c r="Z75" s="65">
        <f t="shared" si="75"/>
        <v>0</v>
      </c>
      <c r="AA75" s="65">
        <f t="shared" si="75"/>
        <v>0</v>
      </c>
      <c r="AB75" s="65">
        <f t="shared" si="75"/>
        <v>0</v>
      </c>
      <c r="AC75" s="65">
        <f t="shared" si="75"/>
        <v>0</v>
      </c>
      <c r="AD75" s="65">
        <f t="shared" si="75"/>
        <v>0</v>
      </c>
      <c r="AE75" s="65">
        <f t="shared" si="75"/>
        <v>0</v>
      </c>
      <c r="AF75" s="65">
        <f t="shared" si="75"/>
        <v>0</v>
      </c>
      <c r="AG75" s="65">
        <f t="shared" si="75"/>
        <v>0</v>
      </c>
      <c r="AH75" s="65">
        <f t="shared" si="75"/>
        <v>0</v>
      </c>
      <c r="AI75" s="65">
        <f t="shared" si="75"/>
        <v>0</v>
      </c>
      <c r="AJ75" s="65">
        <f t="shared" si="75"/>
        <v>0</v>
      </c>
      <c r="AK75" s="65">
        <f t="shared" si="75"/>
        <v>0</v>
      </c>
      <c r="AL75" s="65">
        <f t="shared" si="75"/>
        <v>0</v>
      </c>
      <c r="AM75" s="65">
        <f t="shared" si="75"/>
        <v>0</v>
      </c>
      <c r="AN75" s="65">
        <f t="shared" si="75"/>
        <v>0</v>
      </c>
      <c r="AO75" s="65">
        <f t="shared" si="75"/>
        <v>0</v>
      </c>
      <c r="AP75" s="73"/>
      <c r="AQ75" s="73"/>
      <c r="AR75" s="73"/>
      <c r="AS75" s="73"/>
      <c r="AT75" s="73"/>
      <c r="AU75" s="73"/>
      <c r="AV75" s="73"/>
      <c r="AW75" s="73"/>
      <c r="AX75" s="73"/>
    </row>
    <row r="76" spans="1:50" ht="15" customHeight="1" x14ac:dyDescent="0.15">
      <c r="A76" s="75"/>
      <c r="B76" s="75"/>
      <c r="C76" s="2"/>
      <c r="D76" s="2"/>
      <c r="E76" s="2"/>
      <c r="F76" s="2"/>
      <c r="G76" s="2"/>
      <c r="H76" s="32"/>
      <c r="I76" s="2"/>
      <c r="J76" s="32" t="s">
        <v>111</v>
      </c>
      <c r="K76" s="76">
        <v>0</v>
      </c>
      <c r="L76" s="3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1"/>
      <c r="AH76" s="6"/>
      <c r="AI76" s="6"/>
      <c r="AJ76" s="2"/>
      <c r="AK76" s="2"/>
      <c r="AL76" s="2"/>
      <c r="AM76" s="2"/>
      <c r="AN76" s="13"/>
      <c r="AO76" s="13"/>
      <c r="AP76" s="6"/>
      <c r="AQ76" s="6"/>
      <c r="AR76" s="6"/>
      <c r="AS76" s="6"/>
      <c r="AT76" s="6"/>
      <c r="AU76" s="6"/>
      <c r="AV76" s="6"/>
    </row>
    <row r="77" spans="1:50" s="82" customFormat="1" ht="15" customHeight="1" thickBot="1" x14ac:dyDescent="0.2">
      <c r="A77" s="2"/>
      <c r="B77" s="2"/>
      <c r="C77" s="2"/>
      <c r="D77" s="2"/>
      <c r="E77" s="2"/>
      <c r="F77" s="2"/>
      <c r="G77" s="2"/>
      <c r="H77" s="32"/>
      <c r="I77" s="32"/>
      <c r="J77" s="77"/>
      <c r="K77" s="78">
        <f>+K75-K76</f>
        <v>0</v>
      </c>
      <c r="L77" s="79"/>
      <c r="M77" s="32"/>
      <c r="N77" s="32"/>
      <c r="O77" s="32"/>
      <c r="P77" s="32"/>
      <c r="Q77" s="32"/>
      <c r="R77" s="32"/>
      <c r="S77" s="32"/>
      <c r="T77" s="2"/>
      <c r="U77" s="52"/>
      <c r="V77" s="52"/>
      <c r="W77" s="52"/>
      <c r="X77" s="2"/>
      <c r="Y77" s="2"/>
      <c r="Z77" s="2"/>
      <c r="AA77" s="2"/>
      <c r="AB77" s="2"/>
      <c r="AC77" s="2"/>
      <c r="AD77" s="2"/>
      <c r="AE77" s="2"/>
      <c r="AF77" s="2"/>
      <c r="AG77" s="78"/>
      <c r="AH77" s="6"/>
      <c r="AI77" s="6"/>
      <c r="AJ77" s="2"/>
      <c r="AK77" s="2"/>
      <c r="AL77" s="2"/>
      <c r="AM77" s="80"/>
      <c r="AN77" s="60"/>
      <c r="AO77" s="60"/>
      <c r="AP77" s="6"/>
      <c r="AQ77" s="6"/>
      <c r="AR77" s="6"/>
      <c r="AS77" s="6"/>
      <c r="AT77" s="6"/>
      <c r="AU77" s="6"/>
      <c r="AV77" s="6"/>
      <c r="AW77" s="81"/>
      <c r="AX77" s="81"/>
    </row>
    <row r="78" spans="1:50" s="133" customFormat="1" ht="15" customHeight="1" x14ac:dyDescent="0.15">
      <c r="A78" s="2"/>
      <c r="B78" s="2"/>
      <c r="C78" s="2"/>
      <c r="D78" s="2"/>
      <c r="E78" s="2"/>
      <c r="F78" s="2"/>
      <c r="G78" s="2"/>
      <c r="H78" s="32"/>
      <c r="I78" s="32"/>
      <c r="J78" s="79"/>
      <c r="K78" s="79"/>
      <c r="L78" s="79"/>
      <c r="M78" s="32"/>
      <c r="N78" s="32"/>
      <c r="O78" s="32"/>
      <c r="P78" s="32"/>
      <c r="Q78" s="32"/>
      <c r="R78" s="32"/>
      <c r="S78" s="32"/>
      <c r="T78" s="2"/>
      <c r="U78" s="52"/>
      <c r="V78" s="52"/>
      <c r="W78" s="52"/>
      <c r="X78" s="2"/>
      <c r="Y78" s="2"/>
      <c r="Z78" s="2"/>
      <c r="AA78" s="2"/>
      <c r="AB78" s="2"/>
      <c r="AC78" s="2"/>
      <c r="AD78" s="2"/>
      <c r="AE78" s="2"/>
      <c r="AF78" s="2"/>
      <c r="AG78" s="79"/>
      <c r="AH78" s="6"/>
      <c r="AI78" s="6"/>
      <c r="AJ78" s="2"/>
      <c r="AK78" s="2"/>
      <c r="AL78" s="2"/>
      <c r="AM78" s="2"/>
      <c r="AN78" s="13"/>
      <c r="AO78" s="13"/>
      <c r="AP78" s="6"/>
      <c r="AQ78" s="6"/>
      <c r="AR78" s="6"/>
      <c r="AS78" s="6"/>
      <c r="AT78" s="6"/>
      <c r="AU78" s="6"/>
      <c r="AV78" s="6"/>
      <c r="AW78" s="81"/>
      <c r="AX78" s="81"/>
    </row>
    <row r="79" spans="1:50" ht="15" customHeight="1" x14ac:dyDescent="0.15">
      <c r="A79" s="89"/>
      <c r="B79" s="90"/>
      <c r="I79" s="14"/>
      <c r="J79" s="14"/>
      <c r="K79" s="2"/>
      <c r="M79" s="96" t="s">
        <v>7</v>
      </c>
      <c r="N79" s="96" t="s">
        <v>7</v>
      </c>
      <c r="O79" s="96" t="s">
        <v>7</v>
      </c>
      <c r="P79" s="96" t="s">
        <v>7</v>
      </c>
      <c r="Q79" s="96" t="s">
        <v>7</v>
      </c>
      <c r="R79" s="96" t="s">
        <v>7</v>
      </c>
      <c r="S79" s="96" t="s">
        <v>7</v>
      </c>
      <c r="T79" s="16"/>
      <c r="U79" s="86" t="s">
        <v>29</v>
      </c>
      <c r="V79" s="134"/>
      <c r="W79" s="96"/>
      <c r="X79" s="88"/>
      <c r="Y79" s="16"/>
      <c r="Z79" s="86"/>
      <c r="AA79" s="96"/>
      <c r="AB79" s="96"/>
      <c r="AC79" s="96"/>
      <c r="AD79" s="96"/>
      <c r="AE79" s="96"/>
      <c r="AF79" s="88"/>
      <c r="AG79" s="91"/>
      <c r="AJ79" s="93"/>
      <c r="AK79" s="94"/>
      <c r="AL79" s="94"/>
      <c r="AM79" s="93"/>
      <c r="AN79" s="93"/>
      <c r="AO79" s="93"/>
    </row>
    <row r="80" spans="1:50" ht="15" customHeight="1" x14ac:dyDescent="0.15">
      <c r="A80" s="15" t="s">
        <v>268</v>
      </c>
      <c r="B80" s="90"/>
      <c r="I80" s="2"/>
      <c r="J80" s="2"/>
      <c r="K80" s="2"/>
      <c r="M80" s="96" t="s">
        <v>11</v>
      </c>
      <c r="N80" s="96" t="s">
        <v>11</v>
      </c>
      <c r="O80" s="96" t="s">
        <v>11</v>
      </c>
      <c r="P80" s="96" t="s">
        <v>11</v>
      </c>
      <c r="Q80" s="96" t="s">
        <v>11</v>
      </c>
      <c r="R80" s="96" t="s">
        <v>11</v>
      </c>
      <c r="S80" s="96" t="s">
        <v>11</v>
      </c>
      <c r="T80" s="16"/>
      <c r="U80" s="86"/>
      <c r="V80" s="96"/>
      <c r="W80" s="96"/>
      <c r="X80" s="88"/>
      <c r="Y80" s="16"/>
      <c r="Z80" s="96" t="s">
        <v>129</v>
      </c>
      <c r="AA80" s="96"/>
      <c r="AB80" s="96"/>
      <c r="AC80" s="96"/>
      <c r="AD80" s="96"/>
      <c r="AE80" s="96"/>
      <c r="AF80" s="88"/>
      <c r="AG80" s="91" t="s">
        <v>130</v>
      </c>
      <c r="AJ80" s="93"/>
      <c r="AK80" s="94"/>
      <c r="AL80" s="94"/>
      <c r="AM80" s="93"/>
      <c r="AN80" s="93"/>
      <c r="AO80" s="93"/>
    </row>
    <row r="81" spans="1:50" s="106" customFormat="1" ht="39" customHeight="1" x14ac:dyDescent="0.15">
      <c r="A81" s="122" t="s">
        <v>15</v>
      </c>
      <c r="B81" s="100" t="s">
        <v>16</v>
      </c>
      <c r="C81" s="100" t="s">
        <v>17</v>
      </c>
      <c r="D81" s="100" t="s">
        <v>18</v>
      </c>
      <c r="E81" s="100" t="s">
        <v>19</v>
      </c>
      <c r="F81" s="100" t="s">
        <v>20</v>
      </c>
      <c r="G81" s="100" t="s">
        <v>21</v>
      </c>
      <c r="H81" s="100" t="s">
        <v>22</v>
      </c>
      <c r="I81" s="100" t="s">
        <v>23</v>
      </c>
      <c r="J81" s="103" t="s">
        <v>24</v>
      </c>
      <c r="K81" s="104" t="s">
        <v>25</v>
      </c>
      <c r="L81" s="22"/>
      <c r="M81" s="105">
        <f>+F82</f>
        <v>45691</v>
      </c>
      <c r="N81" s="105">
        <f>+M81+1</f>
        <v>45692</v>
      </c>
      <c r="O81" s="105">
        <f t="shared" ref="O81:S81" si="76">+N81+1</f>
        <v>45693</v>
      </c>
      <c r="P81" s="105">
        <f t="shared" si="76"/>
        <v>45694</v>
      </c>
      <c r="Q81" s="105">
        <f t="shared" si="76"/>
        <v>45695</v>
      </c>
      <c r="R81" s="105">
        <f t="shared" si="76"/>
        <v>45696</v>
      </c>
      <c r="S81" s="105">
        <f t="shared" si="76"/>
        <v>45697</v>
      </c>
      <c r="T81" s="24"/>
      <c r="U81" s="103" t="s">
        <v>26</v>
      </c>
      <c r="V81" s="103" t="s">
        <v>27</v>
      </c>
      <c r="W81" s="103" t="s">
        <v>27</v>
      </c>
      <c r="X81" s="103" t="s">
        <v>28</v>
      </c>
      <c r="Y81" s="21"/>
      <c r="Z81" s="103" t="s">
        <v>29</v>
      </c>
      <c r="AA81" s="103" t="s">
        <v>30</v>
      </c>
      <c r="AB81" s="103" t="s">
        <v>131</v>
      </c>
      <c r="AC81" s="103" t="s">
        <v>33</v>
      </c>
      <c r="AD81" s="103" t="s">
        <v>33</v>
      </c>
      <c r="AE81" s="103" t="s">
        <v>33</v>
      </c>
      <c r="AF81" s="103" t="s">
        <v>33</v>
      </c>
      <c r="AG81" s="103" t="s">
        <v>34</v>
      </c>
      <c r="AH81" s="103"/>
      <c r="AI81" s="103"/>
      <c r="AJ81" s="103" t="s">
        <v>35</v>
      </c>
      <c r="AK81" s="103" t="s">
        <v>36</v>
      </c>
      <c r="AL81" s="103" t="s">
        <v>37</v>
      </c>
      <c r="AM81" s="103" t="s">
        <v>38</v>
      </c>
      <c r="AN81" s="103" t="s">
        <v>39</v>
      </c>
      <c r="AO81" s="103" t="s">
        <v>40</v>
      </c>
      <c r="AP81" s="103"/>
      <c r="AQ81" s="103"/>
    </row>
    <row r="82" spans="1:50" ht="15" customHeight="1" x14ac:dyDescent="0.15">
      <c r="A82" s="136" t="s">
        <v>232</v>
      </c>
      <c r="B82" s="26" t="s">
        <v>132</v>
      </c>
      <c r="C82" s="26" t="s">
        <v>133</v>
      </c>
      <c r="D82" s="26" t="s">
        <v>202</v>
      </c>
      <c r="E82" s="26" t="s">
        <v>134</v>
      </c>
      <c r="F82" s="27">
        <f>+F73</f>
        <v>45691</v>
      </c>
      <c r="G82" s="27">
        <f>+G73</f>
        <v>45697</v>
      </c>
      <c r="H82" s="28">
        <f t="shared" ref="H82:H88" si="77">IF(G82-F82=0,0,G82-F82+1)</f>
        <v>7</v>
      </c>
      <c r="I82" s="107">
        <v>3900</v>
      </c>
      <c r="J82" s="108">
        <v>0</v>
      </c>
      <c r="K82" s="109">
        <f>SUM(M82:S82)</f>
        <v>0</v>
      </c>
      <c r="L82" s="32"/>
      <c r="M82" s="109">
        <f>IF(M$80="Other 50%",($I82*0.5)/7,IF(M$80="Other 75%",($I82*0.75)/7,IF(M$80="Other 100%",$I82/7,IF(M$80="On Tour 50%",($I82*0.5)/7,IF(M$80="On Tour 100%",$I82/7,IF(M$80="Off Tour 50%",($J82*0.5)/7,IF(M$80="Off Tour 100%",$J82/7,0)))))))</f>
        <v>0</v>
      </c>
      <c r="N82" s="109">
        <f t="shared" ref="N82:S88" si="78">IF(N$80="Other 50%",($I82*0.5)/7,IF(N$80="Other 75%",($I82*0.75)/7,IF(N$80="Other 100%",$I82/7,IF(N$80="On Tour 50%",($I82*0.5)/7,IF(N$80="On Tour 100%",$I82/7,IF(N$80="Off Tour 50%",($J82*0.5)/7,IF(N$80="Off Tour 100%",$J82/7,0)))))))</f>
        <v>0</v>
      </c>
      <c r="O82" s="109">
        <f t="shared" si="78"/>
        <v>0</v>
      </c>
      <c r="P82" s="109">
        <f t="shared" si="78"/>
        <v>0</v>
      </c>
      <c r="Q82" s="109">
        <f t="shared" si="78"/>
        <v>0</v>
      </c>
      <c r="R82" s="109">
        <f t="shared" si="78"/>
        <v>0</v>
      </c>
      <c r="S82" s="109">
        <f t="shared" si="78"/>
        <v>0</v>
      </c>
      <c r="T82" s="2"/>
      <c r="U82" s="110"/>
      <c r="V82" s="110">
        <v>0</v>
      </c>
      <c r="W82" s="110"/>
      <c r="X82" s="37"/>
      <c r="Y82" s="2"/>
      <c r="Z82" s="109">
        <f>SUM(M82:S82)</f>
        <v>0</v>
      </c>
      <c r="AA82" s="109">
        <v>0</v>
      </c>
      <c r="AB82" s="109">
        <v>0</v>
      </c>
      <c r="AC82" s="109">
        <v>0</v>
      </c>
      <c r="AD82" s="109"/>
      <c r="AE82" s="109"/>
      <c r="AF82" s="109"/>
      <c r="AG82" s="109">
        <f t="shared" ref="AG82" si="79">+K82-Z82-AA82-AB82-AC82</f>
        <v>0</v>
      </c>
      <c r="AJ82" s="109"/>
      <c r="AK82" s="111"/>
      <c r="AL82" s="112"/>
      <c r="AM82" s="109"/>
      <c r="AN82" s="109"/>
      <c r="AO82" s="109"/>
    </row>
    <row r="83" spans="1:50" ht="15" customHeight="1" x14ac:dyDescent="0.15">
      <c r="A83" s="136" t="s">
        <v>233</v>
      </c>
      <c r="B83" s="26" t="s">
        <v>135</v>
      </c>
      <c r="C83" s="26" t="s">
        <v>133</v>
      </c>
      <c r="D83" s="26" t="s">
        <v>203</v>
      </c>
      <c r="E83" s="26" t="s">
        <v>62</v>
      </c>
      <c r="F83" s="27">
        <f>+F82</f>
        <v>45691</v>
      </c>
      <c r="G83" s="27">
        <f>+G82</f>
        <v>45697</v>
      </c>
      <c r="H83" s="28">
        <f t="shared" si="77"/>
        <v>7</v>
      </c>
      <c r="I83" s="107">
        <v>3200</v>
      </c>
      <c r="J83" s="108">
        <v>0</v>
      </c>
      <c r="K83" s="109">
        <f t="shared" ref="K83:K88" si="80">SUM(Q83:V83)</f>
        <v>0</v>
      </c>
      <c r="L83" s="32"/>
      <c r="M83" s="109">
        <f t="shared" ref="M83:M88" si="81">IF(M$80="Other 50%",($I83*0.5)/7,IF(M$80="Other 75%",($I83*0.75)/7,IF(M$80="Other 100%",$I83/7,IF(M$80="On Tour 50%",($I83*0.5)/7,IF(M$80="On Tour 100%",$I83/7,IF(M$80="Off Tour 50%",($J83*0.5)/7,IF(M$80="Off Tour 100%",$J83/7,0)))))))</f>
        <v>0</v>
      </c>
      <c r="N83" s="109">
        <f t="shared" si="78"/>
        <v>0</v>
      </c>
      <c r="O83" s="109">
        <f t="shared" si="78"/>
        <v>0</v>
      </c>
      <c r="P83" s="109">
        <f t="shared" si="78"/>
        <v>0</v>
      </c>
      <c r="Q83" s="109">
        <f t="shared" si="78"/>
        <v>0</v>
      </c>
      <c r="R83" s="109">
        <f t="shared" si="78"/>
        <v>0</v>
      </c>
      <c r="S83" s="109">
        <f t="shared" si="78"/>
        <v>0</v>
      </c>
      <c r="T83" s="2"/>
      <c r="U83" s="110"/>
      <c r="V83" s="110">
        <v>0</v>
      </c>
      <c r="W83" s="110"/>
      <c r="X83" s="37"/>
      <c r="Y83" s="2"/>
      <c r="Z83" s="109">
        <f t="shared" ref="Z83:Z88" si="82">SUM(M83:S83)</f>
        <v>0</v>
      </c>
      <c r="AA83" s="109">
        <v>0</v>
      </c>
      <c r="AB83" s="109">
        <v>0</v>
      </c>
      <c r="AC83" s="109">
        <v>0</v>
      </c>
      <c r="AD83" s="109"/>
      <c r="AE83" s="109"/>
      <c r="AF83" s="109"/>
      <c r="AG83" s="109">
        <f t="shared" ref="AG83:AG88" si="83">SUM(U83:X83)</f>
        <v>0</v>
      </c>
      <c r="AJ83" s="109"/>
      <c r="AK83" s="111"/>
      <c r="AL83" s="112"/>
      <c r="AM83" s="109"/>
      <c r="AN83" s="109"/>
      <c r="AO83" s="109"/>
    </row>
    <row r="84" spans="1:50" ht="15" customHeight="1" x14ac:dyDescent="0.15">
      <c r="A84" s="136" t="s">
        <v>234</v>
      </c>
      <c r="B84" s="26" t="s">
        <v>136</v>
      </c>
      <c r="C84" s="26" t="s">
        <v>133</v>
      </c>
      <c r="D84" s="26" t="s">
        <v>204</v>
      </c>
      <c r="E84" s="26" t="s">
        <v>51</v>
      </c>
      <c r="F84" s="27">
        <f>+F83</f>
        <v>45691</v>
      </c>
      <c r="G84" s="27">
        <f>+G83</f>
        <v>45697</v>
      </c>
      <c r="H84" s="28">
        <f t="shared" si="77"/>
        <v>7</v>
      </c>
      <c r="I84" s="107">
        <v>3100</v>
      </c>
      <c r="J84" s="108">
        <v>0</v>
      </c>
      <c r="K84" s="109">
        <f t="shared" si="80"/>
        <v>0</v>
      </c>
      <c r="L84" s="32"/>
      <c r="M84" s="109">
        <f t="shared" si="81"/>
        <v>0</v>
      </c>
      <c r="N84" s="109">
        <f t="shared" si="78"/>
        <v>0</v>
      </c>
      <c r="O84" s="109">
        <f t="shared" si="78"/>
        <v>0</v>
      </c>
      <c r="P84" s="109">
        <f t="shared" si="78"/>
        <v>0</v>
      </c>
      <c r="Q84" s="109">
        <f t="shared" si="78"/>
        <v>0</v>
      </c>
      <c r="R84" s="109">
        <f t="shared" si="78"/>
        <v>0</v>
      </c>
      <c r="S84" s="109">
        <f t="shared" si="78"/>
        <v>0</v>
      </c>
      <c r="T84" s="2"/>
      <c r="U84" s="110"/>
      <c r="V84" s="110">
        <v>0</v>
      </c>
      <c r="W84" s="110"/>
      <c r="X84" s="37"/>
      <c r="Y84" s="2"/>
      <c r="Z84" s="109">
        <f t="shared" si="82"/>
        <v>0</v>
      </c>
      <c r="AA84" s="109">
        <v>0</v>
      </c>
      <c r="AB84" s="109">
        <v>0</v>
      </c>
      <c r="AC84" s="109">
        <v>0</v>
      </c>
      <c r="AD84" s="109"/>
      <c r="AE84" s="109"/>
      <c r="AF84" s="109"/>
      <c r="AG84" s="109">
        <f t="shared" si="83"/>
        <v>0</v>
      </c>
      <c r="AJ84" s="109"/>
      <c r="AK84" s="111"/>
      <c r="AL84" s="112"/>
      <c r="AM84" s="109"/>
      <c r="AN84" s="109"/>
      <c r="AO84" s="109"/>
    </row>
    <row r="85" spans="1:50" ht="15" customHeight="1" x14ac:dyDescent="0.15">
      <c r="A85" s="136" t="s">
        <v>235</v>
      </c>
      <c r="B85" s="26" t="s">
        <v>137</v>
      </c>
      <c r="C85" s="26" t="s">
        <v>133</v>
      </c>
      <c r="D85" s="26" t="s">
        <v>205</v>
      </c>
      <c r="E85" s="26" t="s">
        <v>51</v>
      </c>
      <c r="F85" s="27">
        <f t="shared" ref="F85:G88" si="84">+F84</f>
        <v>45691</v>
      </c>
      <c r="G85" s="27">
        <f t="shared" si="84"/>
        <v>45697</v>
      </c>
      <c r="H85" s="28">
        <f t="shared" si="77"/>
        <v>7</v>
      </c>
      <c r="I85" s="107">
        <v>3100</v>
      </c>
      <c r="J85" s="108">
        <v>0</v>
      </c>
      <c r="K85" s="109">
        <f t="shared" si="80"/>
        <v>0</v>
      </c>
      <c r="L85" s="32"/>
      <c r="M85" s="109">
        <f t="shared" si="81"/>
        <v>0</v>
      </c>
      <c r="N85" s="109">
        <f t="shared" si="78"/>
        <v>0</v>
      </c>
      <c r="O85" s="109">
        <f t="shared" si="78"/>
        <v>0</v>
      </c>
      <c r="P85" s="109">
        <f t="shared" si="78"/>
        <v>0</v>
      </c>
      <c r="Q85" s="109">
        <f t="shared" si="78"/>
        <v>0</v>
      </c>
      <c r="R85" s="109">
        <f t="shared" si="78"/>
        <v>0</v>
      </c>
      <c r="S85" s="109">
        <f t="shared" si="78"/>
        <v>0</v>
      </c>
      <c r="T85" s="2"/>
      <c r="U85" s="110"/>
      <c r="V85" s="110">
        <v>0</v>
      </c>
      <c r="W85" s="110"/>
      <c r="X85" s="37"/>
      <c r="Y85" s="2"/>
      <c r="Z85" s="109">
        <f t="shared" si="82"/>
        <v>0</v>
      </c>
      <c r="AA85" s="109">
        <v>0</v>
      </c>
      <c r="AB85" s="109">
        <v>0</v>
      </c>
      <c r="AC85" s="109">
        <v>0</v>
      </c>
      <c r="AD85" s="109"/>
      <c r="AE85" s="109"/>
      <c r="AF85" s="109"/>
      <c r="AG85" s="109">
        <f t="shared" si="83"/>
        <v>0</v>
      </c>
      <c r="AJ85" s="109"/>
      <c r="AK85" s="111"/>
      <c r="AL85" s="112"/>
      <c r="AM85" s="109"/>
      <c r="AN85" s="109"/>
      <c r="AO85" s="109"/>
    </row>
    <row r="86" spans="1:50" ht="15" customHeight="1" x14ac:dyDescent="0.15">
      <c r="A86" s="136" t="s">
        <v>236</v>
      </c>
      <c r="B86" s="26" t="s">
        <v>138</v>
      </c>
      <c r="C86" s="26" t="s">
        <v>133</v>
      </c>
      <c r="D86" s="26" t="s">
        <v>206</v>
      </c>
      <c r="E86" s="26" t="s">
        <v>75</v>
      </c>
      <c r="F86" s="27">
        <f t="shared" si="84"/>
        <v>45691</v>
      </c>
      <c r="G86" s="27">
        <f t="shared" si="84"/>
        <v>45697</v>
      </c>
      <c r="H86" s="28">
        <f t="shared" si="77"/>
        <v>7</v>
      </c>
      <c r="I86" s="107">
        <v>3100</v>
      </c>
      <c r="J86" s="108">
        <v>0</v>
      </c>
      <c r="K86" s="109">
        <f t="shared" si="80"/>
        <v>0</v>
      </c>
      <c r="L86" s="32"/>
      <c r="M86" s="109">
        <f t="shared" si="81"/>
        <v>0</v>
      </c>
      <c r="N86" s="109">
        <f t="shared" si="78"/>
        <v>0</v>
      </c>
      <c r="O86" s="109">
        <f t="shared" si="78"/>
        <v>0</v>
      </c>
      <c r="P86" s="109">
        <f t="shared" si="78"/>
        <v>0</v>
      </c>
      <c r="Q86" s="109">
        <f t="shared" si="78"/>
        <v>0</v>
      </c>
      <c r="R86" s="109">
        <f t="shared" si="78"/>
        <v>0</v>
      </c>
      <c r="S86" s="109">
        <f t="shared" si="78"/>
        <v>0</v>
      </c>
      <c r="T86" s="2"/>
      <c r="U86" s="110">
        <v>0</v>
      </c>
      <c r="V86" s="110">
        <v>0</v>
      </c>
      <c r="W86" s="110"/>
      <c r="X86" s="37"/>
      <c r="Y86" s="2"/>
      <c r="Z86" s="109">
        <f t="shared" si="82"/>
        <v>0</v>
      </c>
      <c r="AA86" s="109">
        <v>0</v>
      </c>
      <c r="AB86" s="109">
        <v>0</v>
      </c>
      <c r="AC86" s="109">
        <v>0</v>
      </c>
      <c r="AD86" s="109"/>
      <c r="AE86" s="109"/>
      <c r="AF86" s="109"/>
      <c r="AG86" s="109">
        <f t="shared" si="83"/>
        <v>0</v>
      </c>
      <c r="AJ86" s="109"/>
      <c r="AK86" s="111"/>
      <c r="AL86" s="112"/>
      <c r="AM86" s="109"/>
      <c r="AN86" s="109"/>
      <c r="AO86" s="109"/>
    </row>
    <row r="87" spans="1:50" ht="15" customHeight="1" x14ac:dyDescent="0.15">
      <c r="A87" s="136" t="s">
        <v>237</v>
      </c>
      <c r="B87" s="26" t="s">
        <v>139</v>
      </c>
      <c r="C87" s="26" t="s">
        <v>133</v>
      </c>
      <c r="D87" s="26" t="s">
        <v>207</v>
      </c>
      <c r="E87" s="26" t="s">
        <v>75</v>
      </c>
      <c r="F87" s="27">
        <f t="shared" si="84"/>
        <v>45691</v>
      </c>
      <c r="G87" s="27">
        <f t="shared" si="84"/>
        <v>45697</v>
      </c>
      <c r="H87" s="28">
        <f t="shared" si="77"/>
        <v>7</v>
      </c>
      <c r="I87" s="107">
        <v>3100</v>
      </c>
      <c r="J87" s="108">
        <v>0</v>
      </c>
      <c r="K87" s="109">
        <f t="shared" si="80"/>
        <v>0</v>
      </c>
      <c r="L87" s="32"/>
      <c r="M87" s="109">
        <f t="shared" si="81"/>
        <v>0</v>
      </c>
      <c r="N87" s="109">
        <f t="shared" si="78"/>
        <v>0</v>
      </c>
      <c r="O87" s="109">
        <f t="shared" si="78"/>
        <v>0</v>
      </c>
      <c r="P87" s="109">
        <f t="shared" si="78"/>
        <v>0</v>
      </c>
      <c r="Q87" s="109">
        <f t="shared" si="78"/>
        <v>0</v>
      </c>
      <c r="R87" s="109">
        <f t="shared" si="78"/>
        <v>0</v>
      </c>
      <c r="S87" s="109">
        <f t="shared" si="78"/>
        <v>0</v>
      </c>
      <c r="T87" s="2"/>
      <c r="U87" s="110">
        <v>0</v>
      </c>
      <c r="V87" s="110">
        <v>0</v>
      </c>
      <c r="W87" s="110"/>
      <c r="X87" s="37"/>
      <c r="Y87" s="2"/>
      <c r="Z87" s="109">
        <f t="shared" si="82"/>
        <v>0</v>
      </c>
      <c r="AA87" s="109">
        <v>0</v>
      </c>
      <c r="AB87" s="109">
        <v>0</v>
      </c>
      <c r="AC87" s="109">
        <v>0</v>
      </c>
      <c r="AD87" s="109"/>
      <c r="AE87" s="109"/>
      <c r="AF87" s="109"/>
      <c r="AG87" s="109">
        <f t="shared" si="83"/>
        <v>0</v>
      </c>
      <c r="AJ87" s="109"/>
      <c r="AK87" s="111"/>
      <c r="AL87" s="112"/>
      <c r="AM87" s="109"/>
      <c r="AN87" s="109"/>
      <c r="AO87" s="109"/>
    </row>
    <row r="88" spans="1:50" s="168" customFormat="1" ht="15" customHeight="1" x14ac:dyDescent="0.15">
      <c r="A88" s="157" t="s">
        <v>238</v>
      </c>
      <c r="B88" s="158" t="s">
        <v>140</v>
      </c>
      <c r="C88" s="158"/>
      <c r="D88" s="158"/>
      <c r="E88" s="158"/>
      <c r="F88" s="160">
        <f t="shared" si="84"/>
        <v>45691</v>
      </c>
      <c r="G88" s="160">
        <f t="shared" si="84"/>
        <v>45697</v>
      </c>
      <c r="H88" s="159">
        <f t="shared" si="77"/>
        <v>7</v>
      </c>
      <c r="I88" s="161">
        <v>7000</v>
      </c>
      <c r="J88" s="162">
        <v>0</v>
      </c>
      <c r="K88" s="163">
        <f t="shared" si="80"/>
        <v>0</v>
      </c>
      <c r="L88" s="164"/>
      <c r="M88" s="163">
        <f t="shared" si="81"/>
        <v>0</v>
      </c>
      <c r="N88" s="163">
        <f t="shared" si="78"/>
        <v>0</v>
      </c>
      <c r="O88" s="163">
        <f t="shared" si="78"/>
        <v>0</v>
      </c>
      <c r="P88" s="163">
        <f t="shared" si="78"/>
        <v>0</v>
      </c>
      <c r="Q88" s="163">
        <f t="shared" si="78"/>
        <v>0</v>
      </c>
      <c r="R88" s="163">
        <f t="shared" si="78"/>
        <v>0</v>
      </c>
      <c r="S88" s="163">
        <f t="shared" si="78"/>
        <v>0</v>
      </c>
      <c r="T88" s="165"/>
      <c r="U88" s="166"/>
      <c r="V88" s="166">
        <v>0</v>
      </c>
      <c r="W88" s="166"/>
      <c r="X88" s="167"/>
      <c r="Y88" s="165"/>
      <c r="Z88" s="163">
        <f t="shared" si="82"/>
        <v>0</v>
      </c>
      <c r="AA88" s="163">
        <v>0</v>
      </c>
      <c r="AB88" s="163">
        <v>0</v>
      </c>
      <c r="AC88" s="163">
        <v>0</v>
      </c>
      <c r="AD88" s="163"/>
      <c r="AE88" s="163"/>
      <c r="AF88" s="163"/>
      <c r="AG88" s="163">
        <f t="shared" si="83"/>
        <v>0</v>
      </c>
      <c r="AJ88" s="163"/>
      <c r="AK88" s="169"/>
      <c r="AL88" s="170"/>
      <c r="AM88" s="163"/>
      <c r="AN88" s="163"/>
      <c r="AO88" s="163"/>
    </row>
    <row r="89" spans="1:50" s="148" customFormat="1" ht="15" customHeight="1" x14ac:dyDescent="0.15">
      <c r="A89" s="138" t="s">
        <v>239</v>
      </c>
      <c r="B89" s="139"/>
      <c r="C89" s="139"/>
      <c r="D89" s="139"/>
      <c r="E89" s="139"/>
      <c r="F89" s="141"/>
      <c r="G89" s="141"/>
      <c r="H89" s="140"/>
      <c r="I89" s="142"/>
      <c r="J89" s="143"/>
      <c r="K89" s="144"/>
      <c r="L89" s="145"/>
      <c r="M89" s="144"/>
      <c r="N89" s="144"/>
      <c r="O89" s="144"/>
      <c r="P89" s="144"/>
      <c r="Q89" s="144"/>
      <c r="R89" s="144"/>
      <c r="S89" s="144"/>
      <c r="T89" s="146"/>
      <c r="U89" s="147"/>
      <c r="V89" s="147"/>
      <c r="W89" s="147"/>
      <c r="X89" s="34"/>
      <c r="Y89" s="146"/>
      <c r="Z89" s="144"/>
      <c r="AA89" s="144"/>
      <c r="AB89" s="144"/>
      <c r="AC89" s="144"/>
      <c r="AD89" s="144"/>
      <c r="AE89" s="144"/>
      <c r="AF89" s="144"/>
      <c r="AG89" s="144"/>
      <c r="AJ89" s="144"/>
      <c r="AK89" s="149"/>
      <c r="AL89" s="150"/>
      <c r="AM89" s="144"/>
      <c r="AN89" s="144"/>
      <c r="AO89" s="144"/>
    </row>
    <row r="90" spans="1:50" ht="15" customHeight="1" x14ac:dyDescent="0.15">
      <c r="A90" s="136" t="s">
        <v>240</v>
      </c>
      <c r="B90" s="26" t="s">
        <v>104</v>
      </c>
      <c r="C90" s="26"/>
      <c r="D90" s="26" t="s">
        <v>208</v>
      </c>
      <c r="E90" s="26" t="s">
        <v>105</v>
      </c>
      <c r="F90" s="27">
        <f>+F88</f>
        <v>45691</v>
      </c>
      <c r="G90" s="27">
        <f>+G86</f>
        <v>45697</v>
      </c>
      <c r="H90" s="28">
        <f t="shared" ref="H90:H105" si="85">IF(G90-F90=0,0,G90-F90+1)</f>
        <v>7</v>
      </c>
      <c r="I90" s="29">
        <v>0</v>
      </c>
      <c r="J90" s="30">
        <v>0</v>
      </c>
      <c r="K90" s="109">
        <f>SUM(M90:S90)</f>
        <v>0</v>
      </c>
      <c r="L90" s="32"/>
      <c r="M90" s="109"/>
      <c r="N90" s="109"/>
      <c r="O90" s="109"/>
      <c r="P90" s="109"/>
      <c r="Q90" s="109"/>
      <c r="R90" s="109"/>
      <c r="S90" s="109"/>
      <c r="T90" s="2"/>
      <c r="U90" s="110">
        <v>0</v>
      </c>
      <c r="V90" s="110">
        <v>0</v>
      </c>
      <c r="W90" s="110"/>
      <c r="X90" s="37"/>
      <c r="Y90" s="2"/>
      <c r="Z90" s="109">
        <f>SUM(M90:S90)</f>
        <v>0</v>
      </c>
      <c r="AA90" s="109">
        <v>0</v>
      </c>
      <c r="AB90" s="109">
        <v>0</v>
      </c>
      <c r="AC90" s="109">
        <v>0</v>
      </c>
      <c r="AD90" s="109"/>
      <c r="AE90" s="109"/>
      <c r="AF90" s="109"/>
      <c r="AG90" s="109">
        <f>SUM(U90:X90)</f>
        <v>0</v>
      </c>
      <c r="AJ90" s="109"/>
      <c r="AK90" s="111"/>
      <c r="AL90" s="112"/>
      <c r="AM90" s="109"/>
      <c r="AN90" s="109"/>
      <c r="AO90" s="109"/>
    </row>
    <row r="91" spans="1:50" ht="15" customHeight="1" x14ac:dyDescent="0.15">
      <c r="A91" s="136" t="s">
        <v>241</v>
      </c>
      <c r="B91" s="26" t="s">
        <v>74</v>
      </c>
      <c r="C91" s="26"/>
      <c r="D91" s="26" t="s">
        <v>209</v>
      </c>
      <c r="E91" s="26" t="s">
        <v>75</v>
      </c>
      <c r="F91" s="27">
        <f>+F90</f>
        <v>45691</v>
      </c>
      <c r="G91" s="27">
        <f>+G90</f>
        <v>45697</v>
      </c>
      <c r="H91" s="28">
        <f t="shared" si="85"/>
        <v>7</v>
      </c>
      <c r="I91" s="29">
        <f>500*7</f>
        <v>3500</v>
      </c>
      <c r="J91" s="30">
        <v>0</v>
      </c>
      <c r="K91" s="109">
        <f>SUM(Q91:V91)</f>
        <v>0</v>
      </c>
      <c r="L91" s="32"/>
      <c r="M91" s="109">
        <f t="shared" ref="M91:S91" si="86">IF(M9="Panino",$I91/7,0)</f>
        <v>0</v>
      </c>
      <c r="N91" s="109">
        <f t="shared" si="86"/>
        <v>0</v>
      </c>
      <c r="O91" s="109">
        <f t="shared" si="86"/>
        <v>0</v>
      </c>
      <c r="P91" s="109">
        <f t="shared" si="86"/>
        <v>0</v>
      </c>
      <c r="Q91" s="109">
        <f t="shared" si="86"/>
        <v>0</v>
      </c>
      <c r="R91" s="109">
        <f t="shared" si="86"/>
        <v>0</v>
      </c>
      <c r="S91" s="109">
        <f t="shared" si="86"/>
        <v>0</v>
      </c>
      <c r="T91" s="2"/>
      <c r="U91" s="110"/>
      <c r="V91" s="110">
        <v>0</v>
      </c>
      <c r="W91" s="110"/>
      <c r="X91" s="37"/>
      <c r="Y91" s="2"/>
      <c r="Z91" s="109">
        <f>SUM(M91:S91)</f>
        <v>0</v>
      </c>
      <c r="AA91" s="109">
        <v>0</v>
      </c>
      <c r="AB91" s="109">
        <v>0</v>
      </c>
      <c r="AC91" s="109">
        <v>0</v>
      </c>
      <c r="AD91" s="109"/>
      <c r="AE91" s="109"/>
      <c r="AF91" s="109"/>
      <c r="AG91" s="109">
        <f>SUM(U91:X91)</f>
        <v>0</v>
      </c>
      <c r="AJ91" s="109"/>
      <c r="AK91" s="111"/>
      <c r="AL91" s="112"/>
      <c r="AM91" s="109"/>
      <c r="AN91" s="109"/>
      <c r="AO91" s="109"/>
    </row>
    <row r="92" spans="1:50" s="39" customFormat="1" ht="15" customHeight="1" x14ac:dyDescent="0.15">
      <c r="A92" s="136" t="s">
        <v>242</v>
      </c>
      <c r="B92" s="26" t="s">
        <v>44</v>
      </c>
      <c r="C92" s="26" t="s">
        <v>45</v>
      </c>
      <c r="D92" s="26" t="s">
        <v>210</v>
      </c>
      <c r="E92" s="26" t="s">
        <v>46</v>
      </c>
      <c r="F92" s="27">
        <f t="shared" ref="F92:F105" si="87">+F90</f>
        <v>45691</v>
      </c>
      <c r="G92" s="27">
        <f t="shared" ref="G92:G105" si="88">+G88</f>
        <v>45697</v>
      </c>
      <c r="H92" s="28">
        <f t="shared" si="85"/>
        <v>7</v>
      </c>
      <c r="I92" s="29">
        <f>3653.85+100+100</f>
        <v>3853.85</v>
      </c>
      <c r="J92" s="30">
        <v>0</v>
      </c>
      <c r="K92" s="31">
        <f t="shared" ref="K92" si="89">SUM(M92:W92)</f>
        <v>0</v>
      </c>
      <c r="L92" s="32"/>
      <c r="M92" s="109">
        <f>IF(M7="Panino",$I92/7,0)</f>
        <v>0</v>
      </c>
      <c r="N92" s="109">
        <f t="shared" ref="N92:S92" si="90">IF(N7="Panino",$I92/7,0)</f>
        <v>0</v>
      </c>
      <c r="O92" s="109">
        <f t="shared" si="90"/>
        <v>0</v>
      </c>
      <c r="P92" s="109">
        <f t="shared" si="90"/>
        <v>0</v>
      </c>
      <c r="Q92" s="109">
        <f t="shared" si="90"/>
        <v>0</v>
      </c>
      <c r="R92" s="109">
        <f t="shared" si="90"/>
        <v>0</v>
      </c>
      <c r="S92" s="109">
        <f t="shared" si="90"/>
        <v>0</v>
      </c>
      <c r="T92" s="2"/>
      <c r="U92" s="33">
        <v>0</v>
      </c>
      <c r="V92" s="33">
        <v>0</v>
      </c>
      <c r="W92" s="33">
        <v>0</v>
      </c>
      <c r="X92" s="37"/>
      <c r="Y92" s="2"/>
      <c r="Z92" s="31">
        <f t="shared" ref="Z92" si="91">+K92-AA92-AB92-AC92-AD92-AE92-AF92-AG92</f>
        <v>0</v>
      </c>
      <c r="AA92" s="31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  <c r="AG92" s="31">
        <f>+V92</f>
        <v>0</v>
      </c>
      <c r="AH92" s="6" t="b">
        <f t="shared" ref="AH92" si="92">K92=SUM(Z92:AG92)</f>
        <v>1</v>
      </c>
      <c r="AI92" s="31">
        <f t="shared" ref="AI92" si="93">+AJ92-K92</f>
        <v>0</v>
      </c>
      <c r="AJ92" s="31">
        <v>0</v>
      </c>
      <c r="AK92" s="38"/>
      <c r="AL92" s="36"/>
      <c r="AM92" s="31">
        <f t="shared" ref="AM92" si="94">IF(AL92=1,AJ92*AK92,0)</f>
        <v>0</v>
      </c>
      <c r="AN92" s="31">
        <f t="shared" ref="AN92" si="95">IF(AL92=2,AJ92*AK92,0)</f>
        <v>0</v>
      </c>
      <c r="AO92" s="31"/>
      <c r="AP92" s="6"/>
      <c r="AQ92" s="6"/>
      <c r="AR92" s="6"/>
      <c r="AS92" s="6"/>
      <c r="AT92" s="6"/>
      <c r="AU92" s="6"/>
      <c r="AV92" s="6"/>
      <c r="AW92" s="6"/>
      <c r="AX92" s="6"/>
    </row>
    <row r="93" spans="1:50" ht="15" customHeight="1" x14ac:dyDescent="0.15">
      <c r="A93" s="136" t="s">
        <v>243</v>
      </c>
      <c r="B93" s="26"/>
      <c r="C93" s="26" t="s">
        <v>141</v>
      </c>
      <c r="D93" s="26" t="s">
        <v>211</v>
      </c>
      <c r="E93" s="26" t="s">
        <v>142</v>
      </c>
      <c r="F93" s="27">
        <f>+F92</f>
        <v>45691</v>
      </c>
      <c r="G93" s="27">
        <f>+G92</f>
        <v>45697</v>
      </c>
      <c r="H93" s="28">
        <f t="shared" si="85"/>
        <v>7</v>
      </c>
      <c r="I93" s="107">
        <v>3100</v>
      </c>
      <c r="J93" s="108">
        <v>0</v>
      </c>
      <c r="K93" s="109">
        <f>SUM(M93:S93)</f>
        <v>0</v>
      </c>
      <c r="L93" s="32"/>
      <c r="M93" s="109">
        <v>0</v>
      </c>
      <c r="N93" s="109">
        <v>0</v>
      </c>
      <c r="O93" s="109">
        <v>0</v>
      </c>
      <c r="P93" s="109">
        <v>0</v>
      </c>
      <c r="Q93" s="109">
        <v>0</v>
      </c>
      <c r="R93" s="109">
        <v>0</v>
      </c>
      <c r="S93" s="109">
        <v>0</v>
      </c>
      <c r="T93" s="2"/>
      <c r="U93" s="110"/>
      <c r="V93" s="110">
        <v>0</v>
      </c>
      <c r="W93" s="110"/>
      <c r="X93" s="37"/>
      <c r="Y93" s="2"/>
      <c r="Z93" s="109">
        <f>SUM(M93:S93)</f>
        <v>0</v>
      </c>
      <c r="AA93" s="109">
        <v>0</v>
      </c>
      <c r="AB93" s="109">
        <v>0</v>
      </c>
      <c r="AC93" s="109">
        <v>0</v>
      </c>
      <c r="AD93" s="109"/>
      <c r="AE93" s="109"/>
      <c r="AF93" s="109"/>
      <c r="AG93" s="109">
        <f>SUM(U93:X93)</f>
        <v>0</v>
      </c>
      <c r="AJ93" s="109"/>
      <c r="AK93" s="111"/>
      <c r="AL93" s="112"/>
      <c r="AM93" s="109"/>
      <c r="AN93" s="109"/>
      <c r="AO93" s="109"/>
    </row>
    <row r="94" spans="1:50" s="6" customFormat="1" ht="15" customHeight="1" x14ac:dyDescent="0.15">
      <c r="A94" s="136" t="s">
        <v>244</v>
      </c>
      <c r="B94" s="26" t="s">
        <v>47</v>
      </c>
      <c r="C94" s="26" t="s">
        <v>48</v>
      </c>
      <c r="D94" s="26" t="s">
        <v>212</v>
      </c>
      <c r="E94" s="26" t="s">
        <v>46</v>
      </c>
      <c r="F94" s="27">
        <f t="shared" si="87"/>
        <v>45691</v>
      </c>
      <c r="G94" s="27">
        <f t="shared" si="88"/>
        <v>45697</v>
      </c>
      <c r="H94" s="28">
        <f t="shared" si="85"/>
        <v>7</v>
      </c>
      <c r="I94" s="29">
        <f>3365.38+100+100</f>
        <v>3565.38</v>
      </c>
      <c r="J94" s="30">
        <v>0</v>
      </c>
      <c r="K94" s="31">
        <f t="shared" ref="K94" si="96">SUM(M94:W94)</f>
        <v>0</v>
      </c>
      <c r="L94" s="32"/>
      <c r="M94" s="109">
        <f>IF(M8="Panino",$I94/7,0)</f>
        <v>0</v>
      </c>
      <c r="N94" s="109">
        <f t="shared" ref="N94:S94" si="97">IF(N8="Panino",$I94/7,0)</f>
        <v>0</v>
      </c>
      <c r="O94" s="109">
        <f t="shared" si="97"/>
        <v>0</v>
      </c>
      <c r="P94" s="109">
        <f t="shared" si="97"/>
        <v>0</v>
      </c>
      <c r="Q94" s="109">
        <f t="shared" si="97"/>
        <v>0</v>
      </c>
      <c r="R94" s="109">
        <f t="shared" si="97"/>
        <v>0</v>
      </c>
      <c r="S94" s="109">
        <f t="shared" si="97"/>
        <v>0</v>
      </c>
      <c r="T94" s="2"/>
      <c r="U94" s="33">
        <v>0</v>
      </c>
      <c r="V94" s="33">
        <v>0</v>
      </c>
      <c r="W94" s="33">
        <v>0</v>
      </c>
      <c r="X94" s="37"/>
      <c r="Y94" s="2"/>
      <c r="Z94" s="31">
        <f t="shared" ref="Z94" si="98">+K94-AA94-AB94-AC94-AD94-AE94-AF94-AG94</f>
        <v>0</v>
      </c>
      <c r="AA94" s="31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31">
        <f>+U94+V94</f>
        <v>0</v>
      </c>
      <c r="AH94" s="6" t="b">
        <f t="shared" ref="AH94" si="99">K94=SUM(Z94:AG94)</f>
        <v>1</v>
      </c>
      <c r="AI94" s="31">
        <f t="shared" ref="AI94" si="100">+AJ94-K94</f>
        <v>0</v>
      </c>
      <c r="AJ94" s="31">
        <v>0</v>
      </c>
      <c r="AK94" s="38"/>
      <c r="AL94" s="36"/>
      <c r="AM94" s="31">
        <f t="shared" ref="AM94" si="101">IF(AL94=1,AJ94*AK94,0)</f>
        <v>0</v>
      </c>
      <c r="AN94" s="31">
        <f t="shared" ref="AN94" si="102">IF(AL94=2,AJ94*AK94,0)</f>
        <v>0</v>
      </c>
      <c r="AO94" s="31"/>
    </row>
    <row r="95" spans="1:50" ht="15" customHeight="1" x14ac:dyDescent="0.15">
      <c r="A95" s="136" t="s">
        <v>245</v>
      </c>
      <c r="B95" s="26" t="s">
        <v>81</v>
      </c>
      <c r="C95" s="26" t="s">
        <v>82</v>
      </c>
      <c r="D95" s="26" t="s">
        <v>213</v>
      </c>
      <c r="E95" s="26" t="s">
        <v>54</v>
      </c>
      <c r="F95" s="27">
        <f t="shared" si="87"/>
        <v>45691</v>
      </c>
      <c r="G95" s="27">
        <f t="shared" si="88"/>
        <v>45697</v>
      </c>
      <c r="H95" s="28">
        <f t="shared" si="85"/>
        <v>7</v>
      </c>
      <c r="I95" s="29">
        <f>(150000/52)+100+100</f>
        <v>3084.6153846153848</v>
      </c>
      <c r="J95" s="30">
        <v>0</v>
      </c>
      <c r="K95" s="109">
        <f>SUM(M95:S95)</f>
        <v>0</v>
      </c>
      <c r="L95" s="32"/>
      <c r="M95" s="109">
        <f t="shared" ref="M95:S96" si="103">IF(M22="Panino",$I95/7,0)</f>
        <v>0</v>
      </c>
      <c r="N95" s="109">
        <f t="shared" si="103"/>
        <v>0</v>
      </c>
      <c r="O95" s="109">
        <f t="shared" si="103"/>
        <v>0</v>
      </c>
      <c r="P95" s="109">
        <f t="shared" si="103"/>
        <v>0</v>
      </c>
      <c r="Q95" s="109">
        <f t="shared" si="103"/>
        <v>0</v>
      </c>
      <c r="R95" s="109">
        <f t="shared" si="103"/>
        <v>0</v>
      </c>
      <c r="S95" s="109">
        <f t="shared" si="103"/>
        <v>0</v>
      </c>
      <c r="T95" s="2"/>
      <c r="U95" s="110"/>
      <c r="V95" s="110">
        <v>0</v>
      </c>
      <c r="W95" s="110"/>
      <c r="X95" s="37"/>
      <c r="Y95" s="2"/>
      <c r="Z95" s="109">
        <f>SUM(M95:S95)</f>
        <v>0</v>
      </c>
      <c r="AA95" s="109">
        <v>0</v>
      </c>
      <c r="AB95" s="109">
        <v>0</v>
      </c>
      <c r="AC95" s="109">
        <v>0</v>
      </c>
      <c r="AD95" s="109">
        <v>0</v>
      </c>
      <c r="AE95" s="109">
        <v>0</v>
      </c>
      <c r="AF95" s="109">
        <v>0</v>
      </c>
      <c r="AG95" s="109">
        <f>SUM(U95:X95)</f>
        <v>0</v>
      </c>
      <c r="AJ95" s="109"/>
      <c r="AK95" s="111"/>
      <c r="AL95" s="112"/>
      <c r="AM95" s="109"/>
      <c r="AN95" s="109"/>
      <c r="AO95" s="109"/>
    </row>
    <row r="96" spans="1:50" ht="15" customHeight="1" x14ac:dyDescent="0.15">
      <c r="A96" s="136" t="s">
        <v>246</v>
      </c>
      <c r="B96" s="26" t="s">
        <v>70</v>
      </c>
      <c r="C96" s="26"/>
      <c r="D96" s="26" t="s">
        <v>214</v>
      </c>
      <c r="E96" s="26" t="s">
        <v>43</v>
      </c>
      <c r="F96" s="27">
        <f t="shared" si="87"/>
        <v>45691</v>
      </c>
      <c r="G96" s="27">
        <f t="shared" si="88"/>
        <v>45697</v>
      </c>
      <c r="H96" s="28">
        <f t="shared" si="85"/>
        <v>7</v>
      </c>
      <c r="I96" s="29">
        <f>4500+100+100+100</f>
        <v>4800</v>
      </c>
      <c r="J96" s="30">
        <v>0</v>
      </c>
      <c r="K96" s="109">
        <f>SUM(Q96:V96)</f>
        <v>0</v>
      </c>
      <c r="L96" s="32" t="s">
        <v>143</v>
      </c>
      <c r="M96" s="109">
        <f t="shared" si="103"/>
        <v>0</v>
      </c>
      <c r="N96" s="109">
        <f t="shared" si="103"/>
        <v>0</v>
      </c>
      <c r="O96" s="109">
        <f t="shared" si="103"/>
        <v>0</v>
      </c>
      <c r="P96" s="109">
        <f t="shared" si="103"/>
        <v>0</v>
      </c>
      <c r="Q96" s="109">
        <f t="shared" si="103"/>
        <v>0</v>
      </c>
      <c r="R96" s="109">
        <f t="shared" si="103"/>
        <v>0</v>
      </c>
      <c r="S96" s="109">
        <f t="shared" si="103"/>
        <v>0</v>
      </c>
      <c r="T96" s="2"/>
      <c r="U96" s="110"/>
      <c r="V96" s="110">
        <v>0</v>
      </c>
      <c r="W96" s="110"/>
      <c r="X96" s="37"/>
      <c r="Y96" s="2"/>
      <c r="Z96" s="109">
        <f>SUM(M96:S96)</f>
        <v>0</v>
      </c>
      <c r="AA96" s="109">
        <v>0</v>
      </c>
      <c r="AB96" s="109">
        <v>0</v>
      </c>
      <c r="AC96" s="109">
        <v>0</v>
      </c>
      <c r="AD96" s="109">
        <v>0</v>
      </c>
      <c r="AE96" s="109">
        <v>0</v>
      </c>
      <c r="AF96" s="109">
        <v>0</v>
      </c>
      <c r="AG96" s="109">
        <f>SUM(U96:X96)</f>
        <v>0</v>
      </c>
      <c r="AJ96" s="109"/>
      <c r="AK96" s="111"/>
      <c r="AL96" s="112"/>
      <c r="AM96" s="109"/>
      <c r="AN96" s="109"/>
      <c r="AO96" s="109"/>
    </row>
    <row r="97" spans="1:50" ht="15" customHeight="1" x14ac:dyDescent="0.15">
      <c r="A97" s="136" t="s">
        <v>247</v>
      </c>
      <c r="B97" s="26"/>
      <c r="C97" s="26" t="s">
        <v>116</v>
      </c>
      <c r="D97" s="26" t="s">
        <v>215</v>
      </c>
      <c r="E97" s="26" t="s">
        <v>59</v>
      </c>
      <c r="F97" s="27">
        <f t="shared" si="87"/>
        <v>45691</v>
      </c>
      <c r="G97" s="27">
        <f t="shared" si="88"/>
        <v>45697</v>
      </c>
      <c r="H97" s="28">
        <f t="shared" si="85"/>
        <v>7</v>
      </c>
      <c r="I97" s="107">
        <f>1500+250+100</f>
        <v>1850</v>
      </c>
      <c r="J97" s="108">
        <v>0</v>
      </c>
      <c r="K97" s="109">
        <f>SUM(Q97:V97)</f>
        <v>0</v>
      </c>
      <c r="L97" s="32"/>
      <c r="M97" s="109">
        <f t="shared" ref="M97:S97" si="104">IF(M43="Panino",$I97/7,0)</f>
        <v>0</v>
      </c>
      <c r="N97" s="109">
        <f t="shared" si="104"/>
        <v>0</v>
      </c>
      <c r="O97" s="109">
        <f t="shared" si="104"/>
        <v>0</v>
      </c>
      <c r="P97" s="109">
        <f t="shared" si="104"/>
        <v>0</v>
      </c>
      <c r="Q97" s="109">
        <f t="shared" si="104"/>
        <v>0</v>
      </c>
      <c r="R97" s="109">
        <f t="shared" si="104"/>
        <v>0</v>
      </c>
      <c r="S97" s="109">
        <f t="shared" si="104"/>
        <v>0</v>
      </c>
      <c r="T97" s="2"/>
      <c r="U97" s="110"/>
      <c r="V97" s="110">
        <v>0</v>
      </c>
      <c r="W97" s="110"/>
      <c r="X97" s="37"/>
      <c r="Y97" s="2"/>
      <c r="Z97" s="109">
        <f>SUM(M97:S97)</f>
        <v>0</v>
      </c>
      <c r="AA97" s="109">
        <v>0</v>
      </c>
      <c r="AB97" s="109">
        <v>0</v>
      </c>
      <c r="AC97" s="109">
        <v>0</v>
      </c>
      <c r="AD97" s="109"/>
      <c r="AE97" s="109"/>
      <c r="AF97" s="109"/>
      <c r="AG97" s="109">
        <f>SUM(U97:X97)</f>
        <v>0</v>
      </c>
      <c r="AJ97" s="109"/>
      <c r="AK97" s="111"/>
      <c r="AL97" s="112"/>
      <c r="AM97" s="109"/>
      <c r="AN97" s="109"/>
      <c r="AO97" s="109"/>
    </row>
    <row r="98" spans="1:50" ht="15" customHeight="1" x14ac:dyDescent="0.15">
      <c r="A98" s="136" t="s">
        <v>248</v>
      </c>
      <c r="B98" s="26" t="s">
        <v>63</v>
      </c>
      <c r="C98" s="26" t="s">
        <v>113</v>
      </c>
      <c r="D98" s="26" t="s">
        <v>216</v>
      </c>
      <c r="E98" s="26" t="s">
        <v>114</v>
      </c>
      <c r="F98" s="27">
        <f t="shared" si="87"/>
        <v>45691</v>
      </c>
      <c r="G98" s="27">
        <f t="shared" si="88"/>
        <v>45697</v>
      </c>
      <c r="H98" s="28">
        <f t="shared" si="85"/>
        <v>7</v>
      </c>
      <c r="I98" s="107">
        <f>2750+100+100+100</f>
        <v>3050</v>
      </c>
      <c r="J98" s="108">
        <v>0</v>
      </c>
      <c r="K98" s="109">
        <f>SUM(M98:U98)</f>
        <v>0</v>
      </c>
      <c r="L98" s="32"/>
      <c r="M98" s="109">
        <f>IF(M$46="Other 50%",($I98*0.5)/7,IF(M$46="Other 75%",($I98*0.75)/7,IF(M$46="Other 100%",$I98/7,IF(M$46="On Tour 50%",($I98*0.5)/7,IF(M$46="On Tour 100%",$I98/7,IF(M$46="Off Tour 50%",($J98*0.5)/7,IF(M$46="Off Tour 100%",$J98/7,0)))))))</f>
        <v>0</v>
      </c>
      <c r="N98" s="109">
        <f t="shared" ref="N98:S98" si="105">IF(N$46="Other 50%",($I98*0.5)/7,IF(N$46="Other 75%",($I98*0.75)/7,IF(N$46="Other 100%",$I98/7,IF(N$46="On Tour 50%",($I98*0.5)/7,IF(N$46="On Tour 100%",$I98/7,IF(N$46="Off Tour 50%",($J98*0.5)/7,IF(N$46="Off Tour 100%",$J98/7,0)))))))</f>
        <v>0</v>
      </c>
      <c r="O98" s="109">
        <f t="shared" si="105"/>
        <v>0</v>
      </c>
      <c r="P98" s="109">
        <f t="shared" si="105"/>
        <v>0</v>
      </c>
      <c r="Q98" s="109">
        <f t="shared" si="105"/>
        <v>0</v>
      </c>
      <c r="R98" s="109">
        <f t="shared" si="105"/>
        <v>0</v>
      </c>
      <c r="S98" s="109">
        <f t="shared" si="105"/>
        <v>0</v>
      </c>
      <c r="T98" s="2"/>
      <c r="U98" s="110">
        <v>0</v>
      </c>
      <c r="V98" s="110"/>
      <c r="W98" s="110"/>
      <c r="X98" s="37"/>
      <c r="Y98" s="2"/>
      <c r="Z98" s="109">
        <v>0</v>
      </c>
      <c r="AA98" s="109">
        <f t="shared" ref="AA98" si="106">+K98-AB98-AC98-AD98-AE98-AF98-AG98</f>
        <v>0</v>
      </c>
      <c r="AB98" s="109">
        <v>0</v>
      </c>
      <c r="AC98" s="109">
        <v>0</v>
      </c>
      <c r="AD98" s="109">
        <v>0</v>
      </c>
      <c r="AE98" s="109">
        <v>0</v>
      </c>
      <c r="AF98" s="109">
        <v>0</v>
      </c>
      <c r="AG98" s="109">
        <v>0</v>
      </c>
      <c r="AJ98" s="109">
        <f>SUM(M98:S98)</f>
        <v>0</v>
      </c>
      <c r="AK98" s="111"/>
      <c r="AL98" s="112"/>
      <c r="AM98" s="109">
        <f t="shared" ref="AM98" si="107">IF(AL98=1,AJ98*AK98,0)</f>
        <v>0</v>
      </c>
      <c r="AN98" s="109">
        <f t="shared" ref="AN98" si="108">IF(AL98=2,AJ98*AK98,0)</f>
        <v>0</v>
      </c>
      <c r="AO98" s="109"/>
    </row>
    <row r="99" spans="1:50" s="168" customFormat="1" ht="15" customHeight="1" x14ac:dyDescent="0.15">
      <c r="A99" s="157" t="s">
        <v>249</v>
      </c>
      <c r="B99" s="158" t="s">
        <v>63</v>
      </c>
      <c r="C99" s="158"/>
      <c r="D99" s="158"/>
      <c r="E99" s="158"/>
      <c r="F99" s="160">
        <f t="shared" si="87"/>
        <v>45691</v>
      </c>
      <c r="G99" s="160">
        <f t="shared" si="88"/>
        <v>45697</v>
      </c>
      <c r="H99" s="159">
        <f t="shared" si="85"/>
        <v>7</v>
      </c>
      <c r="I99" s="161">
        <v>3050</v>
      </c>
      <c r="J99" s="162">
        <v>0</v>
      </c>
      <c r="K99" s="163">
        <f>SUM(Q99:V99)</f>
        <v>0</v>
      </c>
      <c r="L99" s="164"/>
      <c r="M99" s="163"/>
      <c r="N99" s="163"/>
      <c r="O99" s="163"/>
      <c r="P99" s="163"/>
      <c r="Q99" s="163"/>
      <c r="R99" s="163"/>
      <c r="S99" s="163"/>
      <c r="T99" s="165"/>
      <c r="U99" s="166"/>
      <c r="V99" s="166">
        <v>0</v>
      </c>
      <c r="W99" s="166"/>
      <c r="X99" s="167"/>
      <c r="Y99" s="165"/>
      <c r="Z99" s="163">
        <f>SUM(M99:S99)</f>
        <v>0</v>
      </c>
      <c r="AA99" s="163">
        <v>0</v>
      </c>
      <c r="AB99" s="163">
        <f>SUM(M99:S99)</f>
        <v>0</v>
      </c>
      <c r="AC99" s="163">
        <v>0</v>
      </c>
      <c r="AD99" s="163"/>
      <c r="AE99" s="163"/>
      <c r="AF99" s="163"/>
      <c r="AG99" s="163">
        <f>SUM(U99:X99)</f>
        <v>0</v>
      </c>
      <c r="AJ99" s="163"/>
      <c r="AK99" s="169"/>
      <c r="AL99" s="170"/>
      <c r="AM99" s="163"/>
      <c r="AN99" s="163"/>
      <c r="AO99" s="163"/>
    </row>
    <row r="100" spans="1:50" ht="15" customHeight="1" x14ac:dyDescent="0.15">
      <c r="A100" s="136" t="s">
        <v>106</v>
      </c>
      <c r="B100" s="26" t="s">
        <v>49</v>
      </c>
      <c r="C100" s="26" t="s">
        <v>50</v>
      </c>
      <c r="D100" s="26" t="s">
        <v>217</v>
      </c>
      <c r="E100" s="26" t="s">
        <v>51</v>
      </c>
      <c r="F100" s="27">
        <f t="shared" si="87"/>
        <v>45691</v>
      </c>
      <c r="G100" s="27">
        <f t="shared" si="88"/>
        <v>45697</v>
      </c>
      <c r="H100" s="28">
        <f t="shared" si="85"/>
        <v>7</v>
      </c>
      <c r="I100" s="29">
        <f>100000/52</f>
        <v>1923.0769230769231</v>
      </c>
      <c r="J100" s="30">
        <v>0</v>
      </c>
      <c r="K100" s="109">
        <f>SUM(M100:V100)</f>
        <v>-451.96</v>
      </c>
      <c r="L100" s="32"/>
      <c r="M100" s="109">
        <f t="shared" ref="M100:S100" si="109">IF(M17="Panino",$I100/7,0)</f>
        <v>0</v>
      </c>
      <c r="N100" s="109">
        <f t="shared" si="109"/>
        <v>0</v>
      </c>
      <c r="O100" s="109">
        <f t="shared" si="109"/>
        <v>0</v>
      </c>
      <c r="P100" s="109">
        <f t="shared" si="109"/>
        <v>0</v>
      </c>
      <c r="Q100" s="109">
        <f t="shared" si="109"/>
        <v>0</v>
      </c>
      <c r="R100" s="109">
        <f t="shared" si="109"/>
        <v>0</v>
      </c>
      <c r="S100" s="109">
        <f t="shared" si="109"/>
        <v>0</v>
      </c>
      <c r="T100" s="2"/>
      <c r="U100" s="110">
        <v>-451.96</v>
      </c>
      <c r="V100" s="110">
        <v>0</v>
      </c>
      <c r="W100" s="110"/>
      <c r="X100" s="37"/>
      <c r="Y100" s="2"/>
      <c r="Z100" s="109">
        <f>SUM(M100:S100)</f>
        <v>0</v>
      </c>
      <c r="AA100" s="109">
        <v>0</v>
      </c>
      <c r="AB100" s="109">
        <v>0</v>
      </c>
      <c r="AC100" s="109">
        <v>0</v>
      </c>
      <c r="AD100" s="109"/>
      <c r="AE100" s="109"/>
      <c r="AF100" s="109"/>
      <c r="AG100" s="109">
        <f>SUM(U100:X100)</f>
        <v>-451.96</v>
      </c>
      <c r="AJ100" s="109"/>
      <c r="AK100" s="111"/>
      <c r="AL100" s="112"/>
      <c r="AM100" s="109"/>
      <c r="AN100" s="109"/>
      <c r="AO100" s="109"/>
    </row>
    <row r="101" spans="1:50" s="6" customFormat="1" ht="15" customHeight="1" x14ac:dyDescent="0.15">
      <c r="A101" s="136" t="s">
        <v>250</v>
      </c>
      <c r="B101" s="26" t="s">
        <v>60</v>
      </c>
      <c r="C101" s="26" t="s">
        <v>61</v>
      </c>
      <c r="D101" s="26" t="s">
        <v>218</v>
      </c>
      <c r="E101" s="26" t="s">
        <v>62</v>
      </c>
      <c r="F101" s="27">
        <f t="shared" si="87"/>
        <v>45691</v>
      </c>
      <c r="G101" s="27">
        <f t="shared" si="88"/>
        <v>45697</v>
      </c>
      <c r="H101" s="28">
        <f t="shared" si="85"/>
        <v>7</v>
      </c>
      <c r="I101" s="29">
        <f>4300+100+100</f>
        <v>4500</v>
      </c>
      <c r="J101" s="30">
        <v>0</v>
      </c>
      <c r="K101" s="31">
        <f t="shared" ref="K101" si="110">SUM(M101:W101)</f>
        <v>0</v>
      </c>
      <c r="L101" s="32"/>
      <c r="M101" s="109">
        <f>IF(M13="Panino",$I101/7,0)</f>
        <v>0</v>
      </c>
      <c r="N101" s="109">
        <f t="shared" ref="N101:S101" si="111">IF(N13="Panino",$I101/7,0)</f>
        <v>0</v>
      </c>
      <c r="O101" s="109">
        <f t="shared" si="111"/>
        <v>0</v>
      </c>
      <c r="P101" s="109">
        <f t="shared" si="111"/>
        <v>0</v>
      </c>
      <c r="Q101" s="109">
        <f t="shared" si="111"/>
        <v>0</v>
      </c>
      <c r="R101" s="109">
        <f t="shared" si="111"/>
        <v>0</v>
      </c>
      <c r="S101" s="109">
        <f t="shared" si="111"/>
        <v>0</v>
      </c>
      <c r="T101" s="2"/>
      <c r="U101" s="33">
        <v>0</v>
      </c>
      <c r="V101" s="33">
        <v>0</v>
      </c>
      <c r="W101" s="33">
        <v>0</v>
      </c>
      <c r="X101" s="37"/>
      <c r="Y101" s="2">
        <f t="shared" ref="Y101" si="112">+AA101+AB101+AC101-K101+Z101</f>
        <v>0</v>
      </c>
      <c r="Z101" s="31">
        <f t="shared" ref="Z101" si="113">+K101-AA101-AB101-AC101-AD101-AE101-AF101-AG101</f>
        <v>0</v>
      </c>
      <c r="AA101" s="31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6" t="b">
        <f t="shared" ref="AH101" si="114">K101=SUM(Z101:AG101)</f>
        <v>1</v>
      </c>
      <c r="AI101" s="31">
        <f t="shared" ref="AI101" si="115">+AJ101-K101</f>
        <v>0</v>
      </c>
      <c r="AJ101" s="31">
        <f>SUM(M101:S101)</f>
        <v>0</v>
      </c>
      <c r="AK101" s="35"/>
      <c r="AL101" s="36">
        <v>0</v>
      </c>
      <c r="AM101" s="31">
        <f t="shared" ref="AM101" si="116">IF(AL101=1,AJ101*AK101,0)</f>
        <v>0</v>
      </c>
      <c r="AN101" s="31">
        <f t="shared" ref="AN101" si="117">IF(AL101=2,AJ101*AK101,0)</f>
        <v>0</v>
      </c>
      <c r="AO101" s="31"/>
    </row>
    <row r="102" spans="1:50" ht="15" customHeight="1" x14ac:dyDescent="0.15">
      <c r="A102" s="136" t="s">
        <v>251</v>
      </c>
      <c r="B102" s="26" t="s">
        <v>107</v>
      </c>
      <c r="C102" s="26" t="s">
        <v>108</v>
      </c>
      <c r="D102" s="26" t="s">
        <v>219</v>
      </c>
      <c r="E102" s="26" t="s">
        <v>51</v>
      </c>
      <c r="F102" s="27">
        <f t="shared" si="87"/>
        <v>45691</v>
      </c>
      <c r="G102" s="27">
        <f t="shared" si="88"/>
        <v>45697</v>
      </c>
      <c r="H102" s="28">
        <f t="shared" si="85"/>
        <v>7</v>
      </c>
      <c r="I102" s="107">
        <v>4000</v>
      </c>
      <c r="J102" s="108">
        <v>0</v>
      </c>
      <c r="K102" s="109">
        <f>SUM(M102:S102)</f>
        <v>1714.2857142857142</v>
      </c>
      <c r="L102" s="32"/>
      <c r="M102" s="109">
        <f t="shared" ref="M102:R102" si="118">IF(M$80="Other 50%",($I102*0.5)/7,IF(M$80="Other 75%",($I102*0.75)/7,IF(M$80="Other 100%",$I102/7,IF(M$80="On Tour 50%",($I102*0.5)/7,IF(M$80="On Tour 100%",$I102/7,IF(M$80="Off Tour 50%",($J102*0.5)/7,IF(M$80="Off Tour 100%",$J102/7,0)))))))</f>
        <v>0</v>
      </c>
      <c r="N102" s="109">
        <f t="shared" si="118"/>
        <v>0</v>
      </c>
      <c r="O102" s="109">
        <f t="shared" si="118"/>
        <v>0</v>
      </c>
      <c r="P102" s="109">
        <f>+I102/7</f>
        <v>571.42857142857144</v>
      </c>
      <c r="Q102" s="109">
        <f>+I102/7</f>
        <v>571.42857142857144</v>
      </c>
      <c r="R102" s="109">
        <f t="shared" si="118"/>
        <v>0</v>
      </c>
      <c r="S102" s="109">
        <f>+I102/7</f>
        <v>571.42857142857144</v>
      </c>
      <c r="T102" s="2"/>
      <c r="U102" s="110"/>
      <c r="V102" s="110">
        <v>0</v>
      </c>
      <c r="W102" s="110"/>
      <c r="X102" s="37"/>
      <c r="Y102" s="2"/>
      <c r="Z102" s="109">
        <v>0</v>
      </c>
      <c r="AA102" s="109">
        <v>0</v>
      </c>
      <c r="AB102" s="109">
        <f>SUM(M102:S102)</f>
        <v>1714.2857142857142</v>
      </c>
      <c r="AC102" s="109">
        <v>0</v>
      </c>
      <c r="AD102" s="109"/>
      <c r="AE102" s="109"/>
      <c r="AF102" s="109"/>
      <c r="AG102" s="109">
        <f>SUM(U102:X102)</f>
        <v>0</v>
      </c>
      <c r="AJ102" s="109"/>
      <c r="AK102" s="111"/>
      <c r="AL102" s="112"/>
      <c r="AM102" s="109"/>
      <c r="AN102" s="109"/>
      <c r="AO102" s="109"/>
    </row>
    <row r="103" spans="1:50" ht="15" customHeight="1" x14ac:dyDescent="0.15">
      <c r="A103" s="136" t="s">
        <v>252</v>
      </c>
      <c r="B103" s="26" t="s">
        <v>63</v>
      </c>
      <c r="C103" s="26" t="s">
        <v>64</v>
      </c>
      <c r="D103" s="26" t="s">
        <v>220</v>
      </c>
      <c r="E103" s="26" t="s">
        <v>65</v>
      </c>
      <c r="F103" s="27">
        <f t="shared" si="87"/>
        <v>45691</v>
      </c>
      <c r="G103" s="27">
        <f t="shared" si="88"/>
        <v>45697</v>
      </c>
      <c r="H103" s="28">
        <f t="shared" si="85"/>
        <v>7</v>
      </c>
      <c r="I103" s="107">
        <f>4300+100</f>
        <v>4400</v>
      </c>
      <c r="J103" s="108">
        <v>0</v>
      </c>
      <c r="K103" s="109">
        <f>SUM(M103:V103)</f>
        <v>0</v>
      </c>
      <c r="L103" s="32">
        <v>0</v>
      </c>
      <c r="M103" s="109">
        <f t="shared" ref="M103:S103" si="119">IF(M23="Panino",$I103/7,0)</f>
        <v>0</v>
      </c>
      <c r="N103" s="109">
        <f t="shared" si="119"/>
        <v>0</v>
      </c>
      <c r="O103" s="109">
        <f t="shared" si="119"/>
        <v>0</v>
      </c>
      <c r="P103" s="109">
        <f t="shared" si="119"/>
        <v>0</v>
      </c>
      <c r="Q103" s="109">
        <f t="shared" si="119"/>
        <v>0</v>
      </c>
      <c r="R103" s="109">
        <f t="shared" si="119"/>
        <v>0</v>
      </c>
      <c r="S103" s="109">
        <f t="shared" si="119"/>
        <v>0</v>
      </c>
      <c r="T103" s="2"/>
      <c r="U103" s="110"/>
      <c r="V103" s="110">
        <v>0</v>
      </c>
      <c r="W103" s="110"/>
      <c r="X103" s="37"/>
      <c r="Y103" s="2"/>
      <c r="Z103" s="109">
        <f>SUM(M103:S103)</f>
        <v>0</v>
      </c>
      <c r="AA103" s="109">
        <v>0</v>
      </c>
      <c r="AB103" s="109">
        <v>0</v>
      </c>
      <c r="AC103" s="109">
        <v>0</v>
      </c>
      <c r="AD103" s="109"/>
      <c r="AE103" s="109"/>
      <c r="AF103" s="109"/>
      <c r="AG103" s="109">
        <f>SUM(U103:X103)</f>
        <v>0</v>
      </c>
      <c r="AJ103" s="109"/>
      <c r="AK103" s="111"/>
      <c r="AL103" s="112"/>
      <c r="AM103" s="109"/>
      <c r="AN103" s="109"/>
      <c r="AO103" s="109"/>
    </row>
    <row r="104" spans="1:50" ht="15" customHeight="1" x14ac:dyDescent="0.15">
      <c r="A104" s="136" t="s">
        <v>253</v>
      </c>
      <c r="B104" s="26" t="s">
        <v>102</v>
      </c>
      <c r="C104" s="26"/>
      <c r="D104" s="26" t="s">
        <v>221</v>
      </c>
      <c r="E104" s="26" t="s">
        <v>46</v>
      </c>
      <c r="F104" s="27">
        <f t="shared" si="87"/>
        <v>45691</v>
      </c>
      <c r="G104" s="27">
        <f t="shared" si="88"/>
        <v>45697</v>
      </c>
      <c r="H104" s="28">
        <f t="shared" si="85"/>
        <v>7</v>
      </c>
      <c r="I104" s="107">
        <f>2250+100+100</f>
        <v>2450</v>
      </c>
      <c r="J104" s="108">
        <v>0</v>
      </c>
      <c r="K104" s="109">
        <f>SUM(Q104:V104)</f>
        <v>0</v>
      </c>
      <c r="L104" s="32">
        <v>0</v>
      </c>
      <c r="M104" s="109">
        <f t="shared" ref="M104:S104" si="120">IF(M34="Panino",$I104/7,0)</f>
        <v>0</v>
      </c>
      <c r="N104" s="109">
        <f t="shared" si="120"/>
        <v>0</v>
      </c>
      <c r="O104" s="109">
        <f t="shared" si="120"/>
        <v>0</v>
      </c>
      <c r="P104" s="109">
        <f t="shared" si="120"/>
        <v>0</v>
      </c>
      <c r="Q104" s="109">
        <f t="shared" si="120"/>
        <v>0</v>
      </c>
      <c r="R104" s="109">
        <f t="shared" si="120"/>
        <v>0</v>
      </c>
      <c r="S104" s="109">
        <f t="shared" si="120"/>
        <v>0</v>
      </c>
      <c r="T104" s="2"/>
      <c r="U104" s="110"/>
      <c r="V104" s="110">
        <v>0</v>
      </c>
      <c r="W104" s="110"/>
      <c r="X104" s="37"/>
      <c r="Y104" s="2"/>
      <c r="Z104" s="109">
        <f>SUM(M104:S104)</f>
        <v>0</v>
      </c>
      <c r="AA104" s="109">
        <v>0</v>
      </c>
      <c r="AB104" s="109">
        <v>0</v>
      </c>
      <c r="AC104" s="109">
        <v>0</v>
      </c>
      <c r="AD104" s="109"/>
      <c r="AE104" s="109"/>
      <c r="AF104" s="109"/>
      <c r="AG104" s="109">
        <f>SUM(U104:X104)</f>
        <v>0</v>
      </c>
      <c r="AJ104" s="109"/>
      <c r="AK104" s="111"/>
      <c r="AL104" s="112"/>
      <c r="AM104" s="109"/>
      <c r="AN104" s="109"/>
      <c r="AO104" s="109"/>
    </row>
    <row r="105" spans="1:50" ht="15" customHeight="1" x14ac:dyDescent="0.15">
      <c r="A105" s="136" t="s">
        <v>254</v>
      </c>
      <c r="B105" s="26" t="s">
        <v>66</v>
      </c>
      <c r="C105" s="26" t="s">
        <v>67</v>
      </c>
      <c r="D105" s="26" t="s">
        <v>222</v>
      </c>
      <c r="E105" s="26" t="s">
        <v>43</v>
      </c>
      <c r="F105" s="27">
        <f t="shared" si="87"/>
        <v>45691</v>
      </c>
      <c r="G105" s="27">
        <f t="shared" si="88"/>
        <v>45697</v>
      </c>
      <c r="H105" s="28">
        <f t="shared" si="85"/>
        <v>7</v>
      </c>
      <c r="I105" s="107">
        <f>((200000)/52)</f>
        <v>3846.1538461538462</v>
      </c>
      <c r="J105" s="108">
        <v>0</v>
      </c>
      <c r="K105" s="109">
        <f>SUM(M105:S105)</f>
        <v>0</v>
      </c>
      <c r="L105" s="32">
        <v>0</v>
      </c>
      <c r="M105" s="109">
        <f t="shared" ref="M105:S105" si="121">IF(M15="Panino",$I105/7,0)</f>
        <v>0</v>
      </c>
      <c r="N105" s="109">
        <f t="shared" si="121"/>
        <v>0</v>
      </c>
      <c r="O105" s="109">
        <f t="shared" si="121"/>
        <v>0</v>
      </c>
      <c r="P105" s="109">
        <f t="shared" si="121"/>
        <v>0</v>
      </c>
      <c r="Q105" s="109">
        <f t="shared" si="121"/>
        <v>0</v>
      </c>
      <c r="R105" s="109">
        <f t="shared" si="121"/>
        <v>0</v>
      </c>
      <c r="S105" s="109">
        <f t="shared" si="121"/>
        <v>0</v>
      </c>
      <c r="T105" s="2"/>
      <c r="U105" s="110"/>
      <c r="V105" s="110">
        <v>0</v>
      </c>
      <c r="W105" s="110"/>
      <c r="X105" s="37"/>
      <c r="Y105" s="2"/>
      <c r="Z105" s="109">
        <f>SUM(M105:S105)</f>
        <v>0</v>
      </c>
      <c r="AA105" s="109">
        <v>0</v>
      </c>
      <c r="AB105" s="109">
        <v>0</v>
      </c>
      <c r="AC105" s="109">
        <v>0</v>
      </c>
      <c r="AD105" s="109"/>
      <c r="AE105" s="109"/>
      <c r="AF105" s="109"/>
      <c r="AG105" s="109">
        <f>SUM(U105:X105)</f>
        <v>0</v>
      </c>
      <c r="AJ105" s="109"/>
      <c r="AK105" s="111"/>
      <c r="AL105" s="112"/>
      <c r="AM105" s="109"/>
      <c r="AN105" s="109"/>
      <c r="AO105" s="109"/>
    </row>
    <row r="106" spans="1:50" ht="15" customHeight="1" x14ac:dyDescent="0.15">
      <c r="A106" s="124"/>
      <c r="B106" s="125"/>
      <c r="C106" s="126"/>
      <c r="D106" s="126"/>
      <c r="E106" s="126"/>
      <c r="F106" s="126"/>
      <c r="G106" s="126"/>
      <c r="H106" s="128"/>
      <c r="I106" s="129"/>
      <c r="J106" s="129"/>
      <c r="K106" s="76">
        <f t="shared" ref="K106" si="122">SUM(M106:S106)</f>
        <v>0</v>
      </c>
      <c r="L106" s="32"/>
      <c r="M106" s="80"/>
      <c r="N106" s="38"/>
      <c r="O106" s="38"/>
      <c r="P106" s="38"/>
      <c r="Q106" s="38"/>
      <c r="R106" s="38"/>
      <c r="S106" s="37"/>
      <c r="T106" s="2"/>
      <c r="U106" s="60"/>
      <c r="V106" s="126">
        <v>0</v>
      </c>
      <c r="W106" s="126"/>
      <c r="X106" s="135"/>
      <c r="Y106" s="2"/>
      <c r="Z106" s="60"/>
      <c r="AA106" s="38"/>
      <c r="AB106" s="38"/>
      <c r="AC106" s="38"/>
      <c r="AD106" s="38"/>
      <c r="AE106" s="38"/>
      <c r="AF106" s="37"/>
      <c r="AG106" s="125">
        <f t="shared" ref="AG106" si="123">SUM(U106:X106)</f>
        <v>0</v>
      </c>
      <c r="AJ106" s="131"/>
      <c r="AK106" s="132"/>
      <c r="AL106" s="132"/>
      <c r="AM106" s="131"/>
      <c r="AN106" s="131"/>
      <c r="AO106" s="131"/>
    </row>
    <row r="107" spans="1:50" s="74" customFormat="1" ht="15" customHeight="1" thickBot="1" x14ac:dyDescent="0.2">
      <c r="A107" s="69" t="s">
        <v>110</v>
      </c>
      <c r="B107" s="113"/>
      <c r="C107" s="114"/>
      <c r="D107" s="114"/>
      <c r="E107" s="114"/>
      <c r="F107" s="114"/>
      <c r="G107" s="114"/>
      <c r="H107" s="65"/>
      <c r="I107" s="65">
        <f>SUM(I82:I106)</f>
        <v>77473.076153846137</v>
      </c>
      <c r="J107" s="65">
        <f t="shared" ref="J107:K107" si="124">SUM(J105:J106)</f>
        <v>0</v>
      </c>
      <c r="K107" s="65">
        <f t="shared" si="124"/>
        <v>0</v>
      </c>
      <c r="L107" s="65">
        <f t="shared" ref="L107" si="125">SUM(L99:L106)</f>
        <v>0</v>
      </c>
      <c r="M107" s="65">
        <f t="shared" ref="M107:S107" si="126">SUM(M82:M106)</f>
        <v>0</v>
      </c>
      <c r="N107" s="65">
        <f t="shared" si="126"/>
        <v>0</v>
      </c>
      <c r="O107" s="65">
        <f t="shared" si="126"/>
        <v>0</v>
      </c>
      <c r="P107" s="65">
        <f t="shared" si="126"/>
        <v>571.42857142857144</v>
      </c>
      <c r="Q107" s="65">
        <f t="shared" si="126"/>
        <v>571.42857142857144</v>
      </c>
      <c r="R107" s="65">
        <f t="shared" si="126"/>
        <v>0</v>
      </c>
      <c r="S107" s="65">
        <f t="shared" si="126"/>
        <v>571.42857142857144</v>
      </c>
      <c r="T107" s="65"/>
      <c r="U107" s="65">
        <f>SUM(U82:U106)</f>
        <v>-451.96</v>
      </c>
      <c r="V107" s="65">
        <f>SUM(V82:V106)</f>
        <v>0</v>
      </c>
      <c r="W107" s="65">
        <f>SUM(W82:W106)</f>
        <v>0</v>
      </c>
      <c r="X107" s="65">
        <f>SUM(X82:X106)</f>
        <v>0</v>
      </c>
      <c r="Y107" s="65">
        <f t="shared" ref="Y107" si="127">SUM(Y105:Y106)</f>
        <v>0</v>
      </c>
      <c r="Z107" s="65">
        <f t="shared" ref="Z107:AG107" si="128">SUM(Z82:Z106)</f>
        <v>0</v>
      </c>
      <c r="AA107" s="65">
        <f t="shared" si="128"/>
        <v>0</v>
      </c>
      <c r="AB107" s="65">
        <f t="shared" si="128"/>
        <v>1714.2857142857142</v>
      </c>
      <c r="AC107" s="65">
        <f t="shared" si="128"/>
        <v>0</v>
      </c>
      <c r="AD107" s="65">
        <f t="shared" si="128"/>
        <v>0</v>
      </c>
      <c r="AE107" s="65">
        <f t="shared" si="128"/>
        <v>0</v>
      </c>
      <c r="AF107" s="65">
        <f t="shared" si="128"/>
        <v>0</v>
      </c>
      <c r="AG107" s="65">
        <f t="shared" si="128"/>
        <v>-451.96</v>
      </c>
      <c r="AH107" s="65">
        <f t="shared" ref="AH107:AI107" si="129">SUM(AH105:AH106)</f>
        <v>0</v>
      </c>
      <c r="AI107" s="65">
        <f t="shared" si="129"/>
        <v>0</v>
      </c>
      <c r="AJ107" s="65">
        <f t="shared" ref="AJ107:AO107" si="130">SUM(AJ82:AJ106)</f>
        <v>0</v>
      </c>
      <c r="AK107" s="65">
        <f t="shared" si="130"/>
        <v>0</v>
      </c>
      <c r="AL107" s="65">
        <f t="shared" si="130"/>
        <v>0</v>
      </c>
      <c r="AM107" s="65">
        <f t="shared" si="130"/>
        <v>0</v>
      </c>
      <c r="AN107" s="65">
        <f t="shared" si="130"/>
        <v>0</v>
      </c>
      <c r="AO107" s="65">
        <f t="shared" si="130"/>
        <v>0</v>
      </c>
      <c r="AP107" s="73"/>
      <c r="AQ107" s="73"/>
      <c r="AR107" s="73"/>
      <c r="AS107" s="73"/>
      <c r="AT107" s="73"/>
      <c r="AU107" s="73"/>
      <c r="AV107" s="73"/>
      <c r="AW107" s="73"/>
      <c r="AX107" s="73"/>
    </row>
    <row r="108" spans="1:50" ht="15" customHeight="1" x14ac:dyDescent="0.15">
      <c r="A108" s="75"/>
      <c r="B108" s="75"/>
      <c r="C108" s="2"/>
      <c r="D108" s="2"/>
      <c r="E108" s="2"/>
      <c r="F108" s="2"/>
      <c r="G108" s="2"/>
      <c r="H108" s="32"/>
      <c r="I108" s="2"/>
      <c r="J108" s="32" t="s">
        <v>111</v>
      </c>
      <c r="K108" s="76">
        <v>0</v>
      </c>
      <c r="L108" s="3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1"/>
      <c r="AH108" s="6"/>
      <c r="AI108" s="6"/>
      <c r="AJ108" s="2"/>
      <c r="AK108" s="2"/>
      <c r="AL108" s="2"/>
      <c r="AM108" s="2"/>
      <c r="AN108" s="13"/>
      <c r="AO108" s="13"/>
      <c r="AP108" s="6"/>
      <c r="AQ108" s="6"/>
      <c r="AR108" s="6"/>
      <c r="AS108" s="6"/>
      <c r="AT108" s="6"/>
      <c r="AU108" s="6"/>
      <c r="AV108" s="6"/>
    </row>
    <row r="109" spans="1:50" s="95" customFormat="1" ht="15" customHeight="1" x14ac:dyDescent="0.15">
      <c r="I109" s="1"/>
      <c r="J109" s="1"/>
      <c r="K109" s="1"/>
      <c r="L109" s="2"/>
      <c r="T109" s="1"/>
      <c r="Y109" s="1"/>
    </row>
    <row r="110" spans="1:50" s="95" customFormat="1" ht="15" customHeight="1" x14ac:dyDescent="0.15">
      <c r="I110" s="1"/>
      <c r="J110" s="1"/>
      <c r="K110" s="1"/>
      <c r="L110" s="2"/>
      <c r="T110" s="1"/>
      <c r="Y110" s="1"/>
    </row>
    <row r="111" spans="1:50" s="95" customFormat="1" ht="15" customHeight="1" x14ac:dyDescent="0.15">
      <c r="I111" s="1"/>
      <c r="J111" s="1"/>
      <c r="K111" s="1"/>
      <c r="L111" s="2"/>
      <c r="T111" s="1"/>
      <c r="Y111" s="1"/>
    </row>
    <row r="112" spans="1:50" s="95" customFormat="1" ht="15" customHeight="1" x14ac:dyDescent="0.15">
      <c r="I112" s="1"/>
      <c r="J112" s="1"/>
      <c r="K112" s="1"/>
      <c r="L112" s="2"/>
      <c r="T112" s="1"/>
      <c r="Y112" s="1"/>
    </row>
    <row r="113" spans="1:25" s="95" customFormat="1" ht="15" customHeight="1" x14ac:dyDescent="0.15">
      <c r="I113" s="1"/>
      <c r="J113" s="1"/>
      <c r="K113" s="1"/>
      <c r="L113" s="2"/>
      <c r="T113" s="1"/>
      <c r="Y113" s="1"/>
    </row>
    <row r="114" spans="1:25" s="95" customFormat="1" ht="15" customHeight="1" x14ac:dyDescent="0.15">
      <c r="I114" s="1"/>
      <c r="J114" s="1"/>
      <c r="K114" s="1"/>
      <c r="L114" s="2"/>
      <c r="T114" s="1"/>
      <c r="Y114" s="1"/>
    </row>
    <row r="115" spans="1:25" s="95" customFormat="1" ht="15" customHeight="1" x14ac:dyDescent="0.15">
      <c r="I115" s="1"/>
      <c r="J115" s="1"/>
      <c r="K115" s="1"/>
      <c r="L115" s="2"/>
      <c r="T115" s="1"/>
      <c r="Y115" s="1"/>
    </row>
    <row r="117" spans="1:25" ht="15" customHeight="1" x14ac:dyDescent="0.2">
      <c r="A117" s="171"/>
    </row>
    <row r="120" spans="1:25" ht="15" customHeight="1" x14ac:dyDescent="0.2">
      <c r="A120" s="171"/>
    </row>
    <row r="123" spans="1:25" ht="15" customHeight="1" x14ac:dyDescent="0.2">
      <c r="A123" s="171"/>
    </row>
    <row r="126" spans="1:25" ht="15" customHeight="1" x14ac:dyDescent="0.2">
      <c r="A126" s="171"/>
    </row>
    <row r="129" spans="1:1" ht="15" customHeight="1" x14ac:dyDescent="0.2">
      <c r="A129" s="171"/>
    </row>
    <row r="132" spans="1:1" ht="15" customHeight="1" x14ac:dyDescent="0.2">
      <c r="A132" s="171"/>
    </row>
    <row r="135" spans="1:1" ht="15" customHeight="1" x14ac:dyDescent="0.2">
      <c r="A135" s="171"/>
    </row>
  </sheetData>
  <phoneticPr fontId="10" type="noConversion"/>
  <conditionalFormatting sqref="A47:B50 A2:L2 A54:L54 A44:L46 A69:L71 A55:Y56 A3:AJ3 A58:AO66 A73:AO75 A107:AO107 A4:XFD5 A43:XFD43 A53:XFD53 A57:XFD57 A68:XFD68 A72:XFD72 A77:XFD81 B92 B94 B100:B101 C48:S50 C47:XFD47 C92:E94 C100:E105 A41:S41 A51:S51 A116:J116 A106:W106 A109:L115 M109:XFD1048576 A117:L1048576">
    <cfRule type="cellIs" dxfId="0" priority="26" operator="equal">
      <formula>"Panino"</formula>
    </cfRule>
  </conditionalFormatting>
  <conditionalFormatting sqref="C42:AO42 C52:AO52 C67:AO67">
    <cfRule type="cellIs" dxfId="40" priority="73" operator="equal">
      <formula>"Panino"</formula>
    </cfRule>
  </conditionalFormatting>
  <conditionalFormatting sqref="AM3:AO3 AP6:XFD42 AN7:AO7 L26:L38">
    <cfRule type="cellIs" dxfId="39" priority="69" operator="equal">
      <formula>"Panino"</formula>
    </cfRule>
  </conditionalFormatting>
  <conditionalFormatting sqref="A6:B6">
    <cfRule type="cellIs" dxfId="38" priority="1" operator="equal">
      <formula>"Panino"</formula>
    </cfRule>
  </conditionalFormatting>
  <conditionalFormatting sqref="B7:B16 A17:B34 B35:B39 A40:B40">
    <cfRule type="cellIs" dxfId="37" priority="47" operator="equal">
      <formula>"Panino"</formula>
    </cfRule>
  </conditionalFormatting>
  <conditionalFormatting sqref="B82:B91">
    <cfRule type="cellIs" dxfId="36" priority="39" operator="equal">
      <formula>"Panino"</formula>
    </cfRule>
  </conditionalFormatting>
  <conditionalFormatting sqref="B93 B102:B105">
    <cfRule type="cellIs" dxfId="35" priority="43" operator="equal">
      <formula>"Panino"</formula>
    </cfRule>
  </conditionalFormatting>
  <conditionalFormatting sqref="B95:B99">
    <cfRule type="cellIs" dxfId="34" priority="32" operator="equal">
      <formula>"Panino"</formula>
    </cfRule>
  </conditionalFormatting>
  <conditionalFormatting sqref="C82:E91">
    <cfRule type="cellIs" dxfId="33" priority="38" operator="equal">
      <formula>"Panino"</formula>
    </cfRule>
  </conditionalFormatting>
  <conditionalFormatting sqref="C95:E99">
    <cfRule type="cellIs" dxfId="32" priority="33" operator="equal">
      <formula>"Panino"</formula>
    </cfRule>
  </conditionalFormatting>
  <conditionalFormatting sqref="C6:K40">
    <cfRule type="cellIs" dxfId="31" priority="60" operator="equal">
      <formula>"Panino"</formula>
    </cfRule>
  </conditionalFormatting>
  <conditionalFormatting sqref="C76:AO76">
    <cfRule type="cellIs" dxfId="30" priority="46" operator="equal">
      <formula>"Panino"</formula>
    </cfRule>
  </conditionalFormatting>
  <conditionalFormatting sqref="C108:AO108">
    <cfRule type="cellIs" dxfId="29" priority="28" operator="equal">
      <formula>"Panino"</formula>
    </cfRule>
  </conditionalFormatting>
  <conditionalFormatting sqref="F82:XFD105">
    <cfRule type="cellIs" dxfId="28" priority="2" operator="equal">
      <formula>"Panino"</formula>
    </cfRule>
  </conditionalFormatting>
  <conditionalFormatting sqref="L6:L24">
    <cfRule type="cellIs" dxfId="27" priority="72" operator="equal">
      <formula>"Panino"</formula>
    </cfRule>
  </conditionalFormatting>
  <conditionalFormatting sqref="L39:M39 L40:S40">
    <cfRule type="cellIs" dxfId="26" priority="65" operator="equal">
      <formula>"Panino"</formula>
    </cfRule>
  </conditionalFormatting>
  <conditionalFormatting sqref="M35:M38">
    <cfRule type="cellIs" dxfId="25" priority="59" operator="equal">
      <formula>"Panino"</formula>
    </cfRule>
  </conditionalFormatting>
  <conditionalFormatting sqref="M6:S34 N35:S39">
    <cfRule type="cellIs" dxfId="24" priority="11" operator="equal">
      <formula>"Panino"</formula>
    </cfRule>
  </conditionalFormatting>
  <conditionalFormatting sqref="M45:T45">
    <cfRule type="cellIs" dxfId="23" priority="64" operator="equal">
      <formula>"Panino"</formula>
    </cfRule>
  </conditionalFormatting>
  <conditionalFormatting sqref="M46:X46">
    <cfRule type="cellIs" dxfId="22" priority="4" operator="equal">
      <formula>"Panino"</formula>
    </cfRule>
  </conditionalFormatting>
  <conditionalFormatting sqref="M70:Y71">
    <cfRule type="cellIs" dxfId="21" priority="63" operator="equal">
      <formula>"Panino"</formula>
    </cfRule>
  </conditionalFormatting>
  <conditionalFormatting sqref="R69:S69">
    <cfRule type="cellIs" dxfId="20" priority="66" operator="equal">
      <formula>"Panino"</formula>
    </cfRule>
  </conditionalFormatting>
  <conditionalFormatting sqref="T6:AO41">
    <cfRule type="cellIs" dxfId="19" priority="55" operator="equal">
      <formula>"Panino"</formula>
    </cfRule>
  </conditionalFormatting>
  <conditionalFormatting sqref="T48:AO51">
    <cfRule type="cellIs" dxfId="18" priority="9" operator="equal">
      <formula>"Panino"</formula>
    </cfRule>
  </conditionalFormatting>
  <conditionalFormatting sqref="U44:X45">
    <cfRule type="cellIs" dxfId="17" priority="70" operator="equal">
      <formula>"Panino"</formula>
    </cfRule>
  </conditionalFormatting>
  <conditionalFormatting sqref="V2:X2">
    <cfRule type="cellIs" dxfId="16" priority="78" operator="equal">
      <formula>"Panino"</formula>
    </cfRule>
  </conditionalFormatting>
  <conditionalFormatting sqref="V54:X54">
    <cfRule type="cellIs" dxfId="15" priority="77" operator="equal">
      <formula>"Panino"</formula>
    </cfRule>
  </conditionalFormatting>
  <conditionalFormatting sqref="V69:X69">
    <cfRule type="cellIs" dxfId="14" priority="79" operator="equal">
      <formula>"Panino"</formula>
    </cfRule>
  </conditionalFormatting>
  <conditionalFormatting sqref="Y45:Y46">
    <cfRule type="cellIs" dxfId="13" priority="76" operator="equal">
      <formula>"Panino"</formula>
    </cfRule>
  </conditionalFormatting>
  <conditionalFormatting sqref="Z2:AI2">
    <cfRule type="cellIs" dxfId="12" priority="10" operator="equal">
      <formula>"Panino"</formula>
    </cfRule>
  </conditionalFormatting>
  <conditionalFormatting sqref="Z54:AI56">
    <cfRule type="cellIs" dxfId="11" priority="68" operator="equal">
      <formula>"Panino"</formula>
    </cfRule>
  </conditionalFormatting>
  <conditionalFormatting sqref="Z69:AI71">
    <cfRule type="cellIs" dxfId="10" priority="67" operator="equal">
      <formula>"Panino"</formula>
    </cfRule>
  </conditionalFormatting>
  <conditionalFormatting sqref="Z44:XFD46">
    <cfRule type="cellIs" dxfId="9" priority="53" operator="equal">
      <formula>"Panino"</formula>
    </cfRule>
  </conditionalFormatting>
  <conditionalFormatting sqref="AJ70:AO71">
    <cfRule type="cellIs" dxfId="8" priority="71" operator="equal">
      <formula>"Panino"</formula>
    </cfRule>
  </conditionalFormatting>
  <conditionalFormatting sqref="AK2:AL3">
    <cfRule type="cellIs" dxfId="7" priority="74" operator="equal">
      <formula>"Panino"</formula>
    </cfRule>
  </conditionalFormatting>
  <conditionalFormatting sqref="AN92:AO92">
    <cfRule type="cellIs" dxfId="6" priority="37" operator="equal">
      <formula>"Panino"</formula>
    </cfRule>
  </conditionalFormatting>
  <conditionalFormatting sqref="AP2:XFD3">
    <cfRule type="cellIs" dxfId="5" priority="75" operator="equal">
      <formula>"Panino"</formula>
    </cfRule>
  </conditionalFormatting>
  <conditionalFormatting sqref="AP48:XFD52">
    <cfRule type="cellIs" dxfId="4" priority="58" operator="equal">
      <formula>"Panino"</formula>
    </cfRule>
  </conditionalFormatting>
  <conditionalFormatting sqref="AP54:XFD54 AJ55:XFD56 AP69:XFD71 Y106:XFD106 AP107:XFD108 L116">
    <cfRule type="cellIs" dxfId="3" priority="80" operator="equal">
      <formula>"Panino"</formula>
    </cfRule>
  </conditionalFormatting>
  <conditionalFormatting sqref="AP58:XFD67">
    <cfRule type="cellIs" dxfId="2" priority="51" operator="equal">
      <formula>"Panino"</formula>
    </cfRule>
  </conditionalFormatting>
  <conditionalFormatting sqref="AP73:XFD76">
    <cfRule type="cellIs" dxfId="1" priority="45" operator="equal">
      <formula>"Panino"</formula>
    </cfRule>
  </conditionalFormatting>
  <dataValidations count="1">
    <dataValidation type="list" allowBlank="1" showInputMessage="1" showErrorMessage="1" sqref="M77:T79 M53:T53 X53:Y53 AJ53:AO53 M55:Y55 V79 V3:Y3 AJ3 AJ45:AO45 AJ130813:AO130814 AJ55:AO55 AM3:AO3 R69:S69 AJ70:AO70 AJ68:AO68 M68:T68 X68:Y68 X77:Y78 M56:T56 U108 U52 U67 M130813:Y130814 M196349:Y196350 M261885:Y261886 M327421:Y327422 M392957:Y392958 M458493:Y458494 M524029:Y524030 M589565:Y589566 M655101:Y655102 M720637:Y720638 M786173:Y786174 M851709:Y851710 M917245:Y917246 M982781:Y982782 M65366:Y65367 M130902:Y130903 M196438:Y196439 M261974:Y261975 M327510:Y327511 M393046:Y393047 M458582:Y458583 M524118:Y524119 M589654:Y589655 M655190:Y655191 M720726:Y720727 M786262:Y786263 M851798:Y851799 M917334:Y917335 M982870:Y982871 M65321:Y65322 M130857:Y130858 M196393:Y196394 M261929:Y261930 M327465:Y327466 M393001:Y393002 M458537:Y458538 M524073:Y524074 M589609:Y589610 M655145:Y655146 M720681:Y720682 M786217:Y786218 M851753:Y851754 M917289:Y917290 M982825:Y982826 M130842:Y130843 M196378:Y196379 M261914:Y261915 M327450:Y327451 M392986:Y392987 M458522:Y458523 M524058:Y524059 M589594:Y589595 M655130:Y655131 M720666:Y720667 M786202:Y786203 M851738:Y851739 M917274:Y917275 M982810:Y982811 M65330:Y65331 M130866:Y130867 M196402:Y196403 M261938:Y261939 M327474:Y327475 M393010:Y393011 M458546:Y458547 M524082:Y524083 M589618:Y589619 M655154:Y655155 M720690:Y720691 M786226:Y786227 M851762:Y851763 M917298:Y917299 M982834:Y982835 M65338:Y65339 M130874:Y130875 M196410:Y196411 M261946:Y261947 M327482:Y327483 M393018:Y393019 M458554:Y458555 M524090:Y524091 M589626:Y589627 M655162:Y655163 M720698:Y720699 M786234:Y786235 M851770:Y851771 M917306:Y917307 M982842:Y982843 M65277:Y65278 AJ65277:AO65278 AJ982842:AO982843 AJ917306:AO917307 AJ851770:AO851771 AJ786234:AO786235 AJ720698:AO720699 AJ655162:AO655163 AJ589626:AO589627 AJ524090:AO524091 AJ458554:AO458555 AJ393018:AO393019 AJ327482:AO327483 AJ261946:AO261947 AJ196410:AO196411 AJ130874:AO130875 AJ65338:AO65339 AJ982834:AO982835 AJ917298:AO917299 AJ851762:AO851763 AJ786226:AO786227 AJ720690:AO720691 AJ655154:AO655155 AJ589618:AO589619 AJ524082:AO524083 AJ458546:AO458547 AJ393010:AO393011 AJ327474:AO327475 AJ261938:AO261939 AJ196402:AO196403 AJ130866:AO130867 AJ65330:AO65331 AJ982810:AO982811 AJ917274:AO917275 AJ851738:AO851739 AJ786202:AO786203 AJ720666:AO720667 AJ655130:AO655131 AJ589594:AO589595 AJ524058:AO524059 AJ458522:AO458523 AJ392986:AO392987 AJ327450:AO327451 AJ261914:AO261915 AJ196378:AO196379 AJ130842:AO130843 AJ65306:AO65307 AJ982825:AO982826 AJ917289:AO917290 AJ851753:AO851754 AJ786217:AO786218 AJ720681:AO720682 AJ655145:AO655146 AJ589609:AO589610 AJ524073:AO524074 AJ458537:AO458538 AJ393001:AO393002 AJ327465:AO327466 AJ261929:AO261930 AJ196393:AO196394 AJ130857:AO130858 AJ65321:AO65322 AJ982870:AO982871 AJ917334:AO917335 AJ851798:AO851799 AJ786262:AO786263 AJ720726:AO720727 AJ655190:AO655191 AJ589654:AO589655 AJ524118:AO524119 AJ458582:AO458583 AJ393046:AO393047 AJ327510:AO327511 AJ261974:AO261975 AJ196438:AO196439 AJ130902:AO130903 AJ65366:AO65367 AJ982781:AO982782 AJ917245:AO917246 AJ851709:AO851710 AJ786173:AO786174 AJ720637:AO720638 AJ655101:AO655102 AJ589565:AO589566 AJ524029:AO524030 AJ458493:AO458494 AJ392957:AO392958 AJ327421:AO327422 AJ261885:AO261886 AJ196349:AO196350 AJ77:AO80 X56:Y56 U44 X4:Y4 W80:Y80 X70:Y71 M45:T46 U76 M3:T4 M70:T71 M80:U80 X45:Y46 M65306:Y65307" xr:uid="{F1FBA4F8-56D8-4284-BF8A-901FE39D2F43}">
      <formula1>#REF!</formula1>
    </dataValidation>
  </dataValidations>
  <pageMargins left="0.75" right="0.75" top="1" bottom="1" header="0.5" footer="0.5"/>
  <pageSetup scale="52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08D370247D4A479760A2BA3B7C68C2" ma:contentTypeVersion="15" ma:contentTypeDescription="Create a new document." ma:contentTypeScope="" ma:versionID="82c981a92905dcf82f5b260a03b3ee2e">
  <xsd:schema xmlns:xsd="http://www.w3.org/2001/XMLSchema" xmlns:xs="http://www.w3.org/2001/XMLSchema" xmlns:p="http://schemas.microsoft.com/office/2006/metadata/properties" xmlns:ns2="9187c98b-201f-436a-9f2e-04eb4fcd031a" xmlns:ns3="f80068a2-cc98-4f6a-b9ba-7438b059570d" targetNamespace="http://schemas.microsoft.com/office/2006/metadata/properties" ma:root="true" ma:fieldsID="3024040de470491bb0083c2526276a9b" ns2:_="" ns3:_="">
    <xsd:import namespace="9187c98b-201f-436a-9f2e-04eb4fcd031a"/>
    <xsd:import namespace="f80068a2-cc98-4f6a-b9ba-7438b05957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7c98b-201f-436a-9f2e-04eb4fcd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e74df71-1e60-46a5-9e9d-dfd5449d96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68a2-cc98-4f6a-b9ba-7438b059570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f1bf76b-a746-457b-9abb-b0a48222ba14}" ma:internalName="TaxCatchAll" ma:showField="CatchAllData" ma:web="f80068a2-cc98-4f6a-b9ba-7438b05957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0068a2-cc98-4f6a-b9ba-7438b059570d" xsi:nil="true"/>
    <lcf76f155ced4ddcb4097134ff3c332f xmlns="9187c98b-201f-436a-9f2e-04eb4fcd03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54DBCD4-18A3-4E44-A946-90B43B90B6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3CA179-3F85-45E0-A588-323ED4E74C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7c98b-201f-436a-9f2e-04eb4fcd031a"/>
    <ds:schemaRef ds:uri="f80068a2-cc98-4f6a-b9ba-7438b05957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FDFAF6-0082-4518-9E32-ABF79937A713}">
  <ds:schemaRefs>
    <ds:schemaRef ds:uri="http://schemas.microsoft.com/office/2006/metadata/properties"/>
    <ds:schemaRef ds:uri="http://schemas.microsoft.com/office/infopath/2007/PartnerControls"/>
    <ds:schemaRef ds:uri="f80068a2-cc98-4f6a-b9ba-7438b059570d"/>
    <ds:schemaRef ds:uri="9187c98b-201f-436a-9f2e-04eb4fcd03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02-09-25</vt:lpstr>
      <vt:lpstr>'02-09-25'!Print_Area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Danyael Brand</dc:creator>
  <cp:keywords/>
  <dc:description/>
  <cp:lastModifiedBy>Tung Le</cp:lastModifiedBy>
  <cp:revision/>
  <dcterms:created xsi:type="dcterms:W3CDTF">2025-02-04T23:17:34Z</dcterms:created>
  <dcterms:modified xsi:type="dcterms:W3CDTF">2025-07-02T18:45:32Z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0x0101005D08D370247D4A479760A2BA3B7C68C2</vt:lpwstr>
  </property>
</Properties>
</file>