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hausch/Data/GH_Dashboards/"/>
    </mc:Choice>
  </mc:AlternateContent>
  <xr:revisionPtr revIDLastSave="0" documentId="13_ncr:1_{22FFAE84-A53F-324F-9046-047D2228124A}" xr6:coauthVersionLast="47" xr6:coauthVersionMax="47" xr10:uidLastSave="{00000000-0000-0000-0000-000000000000}"/>
  <bookViews>
    <workbookView xWindow="44180" yWindow="3640" windowWidth="33500" windowHeight="21580" firstSheet="1" activeTab="13" xr2:uid="{00000000-000D-0000-FFFF-FFFF00000000}"/>
  </bookViews>
  <sheets>
    <sheet name="Free ISTs" sheetId="1" r:id="rId1"/>
    <sheet name="Opportunities &amp; Risks" sheetId="16" r:id="rId2"/>
    <sheet name="5QRF by product line" sheetId="15" r:id="rId3"/>
    <sheet name="5 QRF forecast by segment" sheetId="14" r:id="rId4"/>
    <sheet name="PPPs" sheetId="13" r:id="rId5"/>
    <sheet name=" Euaa commercial" sheetId="11" r:id="rId6"/>
    <sheet name="Canada" sheetId="2" r:id="rId7"/>
    <sheet name="Spain" sheetId="3" r:id="rId8"/>
    <sheet name="UK" sheetId="4" r:id="rId9"/>
    <sheet name="Turkey" sheetId="5" r:id="rId10"/>
    <sheet name="Latam" sheetId="6" r:id="rId11"/>
    <sheet name="Italy" sheetId="7" r:id="rId12"/>
    <sheet name="Rest" sheetId="8" r:id="rId13"/>
    <sheet name="France" sheetId="9" r:id="rId14"/>
    <sheet name="Paid ISTs" sheetId="10" r:id="rId15"/>
    <sheet name="EUAA Commercial &amp; Paid IST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13" l="1"/>
  <c r="F46" i="13"/>
  <c r="E46" i="13"/>
  <c r="D46" i="13"/>
  <c r="C46" i="13"/>
  <c r="B46" i="13"/>
  <c r="G45" i="13"/>
  <c r="F45" i="13"/>
  <c r="E45" i="13"/>
  <c r="D45" i="13"/>
  <c r="C45" i="13"/>
  <c r="B45" i="13"/>
  <c r="G44" i="13"/>
  <c r="F44" i="13"/>
  <c r="E44" i="13"/>
  <c r="D44" i="13"/>
  <c r="C44" i="13"/>
  <c r="B44" i="13"/>
  <c r="B43" i="13"/>
  <c r="G39" i="13"/>
  <c r="F26" i="15" s="1"/>
  <c r="F39" i="13"/>
  <c r="E26" i="15" s="1"/>
  <c r="E39" i="13"/>
  <c r="E32" i="14" s="1"/>
  <c r="D39" i="13"/>
  <c r="D32" i="14" s="1"/>
  <c r="C39" i="13"/>
  <c r="B39" i="13"/>
  <c r="G38" i="13"/>
  <c r="F38" i="13"/>
  <c r="E38" i="13"/>
  <c r="D38" i="13"/>
  <c r="C38" i="13"/>
  <c r="B38" i="13"/>
  <c r="G37" i="13"/>
  <c r="F37" i="13"/>
  <c r="E37" i="13"/>
  <c r="D37" i="13"/>
  <c r="C37" i="13"/>
  <c r="B37" i="13"/>
  <c r="G36" i="13"/>
  <c r="F36" i="13"/>
  <c r="E24" i="15" s="1"/>
  <c r="E36" i="13"/>
  <c r="D24" i="15" s="1"/>
  <c r="D36" i="13"/>
  <c r="C24" i="15" s="1"/>
  <c r="C36" i="13"/>
  <c r="B24" i="15" s="1"/>
  <c r="B36" i="13"/>
  <c r="G32" i="13"/>
  <c r="F32" i="13"/>
  <c r="E32" i="13"/>
  <c r="D32" i="13"/>
  <c r="C32" i="13"/>
  <c r="B32" i="13"/>
  <c r="G31" i="13"/>
  <c r="F31" i="13"/>
  <c r="E31" i="13"/>
  <c r="D31" i="13"/>
  <c r="C31" i="13"/>
  <c r="B31" i="13"/>
  <c r="A31" i="13"/>
  <c r="G28" i="13"/>
  <c r="F28" i="13"/>
  <c r="E28" i="13"/>
  <c r="D28" i="13"/>
  <c r="C28" i="13"/>
  <c r="B28" i="13"/>
  <c r="G27" i="13"/>
  <c r="F27" i="13"/>
  <c r="E27" i="13"/>
  <c r="D27" i="13"/>
  <c r="C27" i="13"/>
  <c r="B27" i="13"/>
  <c r="A27" i="13"/>
  <c r="G24" i="13"/>
  <c r="F24" i="13"/>
  <c r="E24" i="13"/>
  <c r="D24" i="13"/>
  <c r="C24" i="13"/>
  <c r="B24" i="13"/>
  <c r="G23" i="13"/>
  <c r="F23" i="13"/>
  <c r="E23" i="13"/>
  <c r="D23" i="13"/>
  <c r="C23" i="13"/>
  <c r="B23" i="13"/>
  <c r="A23" i="13"/>
  <c r="G22" i="13"/>
  <c r="F22" i="13"/>
  <c r="E22" i="13"/>
  <c r="D22" i="13"/>
  <c r="C22" i="13"/>
  <c r="G21" i="13"/>
  <c r="F21" i="13"/>
  <c r="E21" i="13"/>
  <c r="D21" i="13"/>
  <c r="C21" i="13"/>
  <c r="A21" i="13"/>
  <c r="G5" i="13"/>
  <c r="F5" i="13"/>
  <c r="E5" i="13"/>
  <c r="D5" i="13"/>
  <c r="C5" i="13"/>
  <c r="B5" i="13"/>
  <c r="G4" i="13"/>
  <c r="F4" i="13"/>
  <c r="E4" i="13"/>
  <c r="D4" i="13"/>
  <c r="C4" i="13"/>
  <c r="B4" i="13"/>
  <c r="G3" i="13"/>
  <c r="F3" i="13"/>
  <c r="E3" i="13"/>
  <c r="E27" i="14" s="1"/>
  <c r="D3" i="13"/>
  <c r="D27" i="14" s="1"/>
  <c r="C3" i="13"/>
  <c r="B3" i="13"/>
  <c r="G2" i="13"/>
  <c r="F2" i="13"/>
  <c r="E2" i="13"/>
  <c r="D2" i="13"/>
  <c r="C2" i="13"/>
  <c r="G1" i="13"/>
  <c r="F1" i="13"/>
  <c r="E1" i="13"/>
  <c r="D1" i="13"/>
  <c r="C1" i="13"/>
  <c r="B1" i="13"/>
  <c r="F31" i="10"/>
  <c r="G43" i="14" s="1"/>
  <c r="E31" i="10"/>
  <c r="F43" i="14" s="1"/>
  <c r="D31" i="10"/>
  <c r="E43" i="14" s="1"/>
  <c r="C31" i="10"/>
  <c r="D43" i="14" s="1"/>
  <c r="B31" i="10"/>
  <c r="C43" i="14" s="1"/>
  <c r="A31" i="10"/>
  <c r="F30" i="10"/>
  <c r="E30" i="10"/>
  <c r="D30" i="10"/>
  <c r="C30" i="10"/>
  <c r="B30" i="10"/>
  <c r="A30" i="10"/>
  <c r="F29" i="10"/>
  <c r="G38" i="14" s="1"/>
  <c r="G40" i="14" s="1"/>
  <c r="E29" i="10"/>
  <c r="F38" i="14" s="1"/>
  <c r="F40" i="14" s="1"/>
  <c r="D29" i="10"/>
  <c r="E38" i="14" s="1"/>
  <c r="E40" i="14" s="1"/>
  <c r="C29" i="10"/>
  <c r="D38" i="14" s="1"/>
  <c r="D40" i="14" s="1"/>
  <c r="B29" i="10"/>
  <c r="C38" i="14" s="1"/>
  <c r="A29" i="10"/>
  <c r="F20" i="10"/>
  <c r="E20" i="10"/>
  <c r="D20" i="10"/>
  <c r="C20" i="10"/>
  <c r="B20" i="10"/>
  <c r="A20" i="10"/>
  <c r="F19" i="10"/>
  <c r="E19" i="10"/>
  <c r="D19" i="10"/>
  <c r="C19" i="10"/>
  <c r="B19" i="10"/>
  <c r="A19" i="10"/>
  <c r="F18" i="10"/>
  <c r="E18" i="10"/>
  <c r="D18" i="10"/>
  <c r="C18" i="10"/>
  <c r="B18" i="10"/>
  <c r="A18" i="10"/>
  <c r="F15" i="10"/>
  <c r="E15" i="10"/>
  <c r="D15" i="10"/>
  <c r="C15" i="10"/>
  <c r="B15" i="10"/>
  <c r="A15" i="10"/>
  <c r="F14" i="10"/>
  <c r="E14" i="10"/>
  <c r="D14" i="10"/>
  <c r="C14" i="10"/>
  <c r="B14" i="10"/>
  <c r="A14" i="10"/>
  <c r="F13" i="10"/>
  <c r="E13" i="10"/>
  <c r="D13" i="10"/>
  <c r="C13" i="10"/>
  <c r="B13" i="10"/>
  <c r="A13" i="10"/>
  <c r="F10" i="10"/>
  <c r="E10" i="10"/>
  <c r="D10" i="10"/>
  <c r="C10" i="10"/>
  <c r="B10" i="10"/>
  <c r="A10" i="10"/>
  <c r="F9" i="10"/>
  <c r="E9" i="10"/>
  <c r="D9" i="10"/>
  <c r="C9" i="10"/>
  <c r="B9" i="10"/>
  <c r="A9" i="10"/>
  <c r="F8" i="10"/>
  <c r="E8" i="10"/>
  <c r="D8" i="10"/>
  <c r="C8" i="10"/>
  <c r="B8" i="10"/>
  <c r="A8" i="10"/>
  <c r="F5" i="10"/>
  <c r="E5" i="10"/>
  <c r="D5" i="10"/>
  <c r="C5" i="10"/>
  <c r="B5" i="10"/>
  <c r="A5" i="10"/>
  <c r="F4" i="10"/>
  <c r="E4" i="10"/>
  <c r="D4" i="10"/>
  <c r="C4" i="10"/>
  <c r="B4" i="10"/>
  <c r="A4" i="10"/>
  <c r="F3" i="10"/>
  <c r="E3" i="10"/>
  <c r="D3" i="10"/>
  <c r="C3" i="10"/>
  <c r="B3" i="10"/>
  <c r="A3" i="10"/>
  <c r="F2" i="10"/>
  <c r="E2" i="10"/>
  <c r="D2" i="10"/>
  <c r="C2" i="10"/>
  <c r="B2" i="10"/>
  <c r="F1" i="10"/>
  <c r="E1" i="10"/>
  <c r="D1" i="10"/>
  <c r="C1" i="10"/>
  <c r="B1" i="10"/>
  <c r="A1" i="10"/>
  <c r="G50" i="9"/>
  <c r="F50" i="9"/>
  <c r="E50" i="9"/>
  <c r="D50" i="9"/>
  <c r="C50" i="9"/>
  <c r="G49" i="9"/>
  <c r="G54" i="9" s="1"/>
  <c r="G59" i="9" s="1"/>
  <c r="F49" i="9"/>
  <c r="F54" i="9" s="1"/>
  <c r="E49" i="9"/>
  <c r="E54" i="9" s="1"/>
  <c r="E59" i="9" s="1"/>
  <c r="D49" i="9"/>
  <c r="D54" i="9" s="1"/>
  <c r="D59" i="9" s="1"/>
  <c r="C49" i="9"/>
  <c r="C54" i="9" s="1"/>
  <c r="G35" i="9"/>
  <c r="G39" i="9" s="1"/>
  <c r="G44" i="9" s="1"/>
  <c r="F35" i="9"/>
  <c r="F39" i="9" s="1"/>
  <c r="F44" i="9" s="1"/>
  <c r="E35" i="9"/>
  <c r="E39" i="9" s="1"/>
  <c r="E44" i="9" s="1"/>
  <c r="D35" i="9"/>
  <c r="D39" i="9" s="1"/>
  <c r="D44" i="9" s="1"/>
  <c r="C35" i="9"/>
  <c r="G34" i="9"/>
  <c r="G38" i="9" s="1"/>
  <c r="G43" i="9" s="1"/>
  <c r="F34" i="9"/>
  <c r="F38" i="9" s="1"/>
  <c r="F43" i="9" s="1"/>
  <c r="E34" i="9"/>
  <c r="E38" i="9" s="1"/>
  <c r="E43" i="9" s="1"/>
  <c r="D34" i="9"/>
  <c r="D38" i="9" s="1"/>
  <c r="C34" i="9"/>
  <c r="C38" i="9" s="1"/>
  <c r="C43" i="9" s="1"/>
  <c r="G19" i="9"/>
  <c r="G24" i="9" s="1"/>
  <c r="G29" i="9" s="1"/>
  <c r="F19" i="9"/>
  <c r="F24" i="9" s="1"/>
  <c r="F29" i="9" s="1"/>
  <c r="E19" i="9"/>
  <c r="E24" i="9" s="1"/>
  <c r="E29" i="9" s="1"/>
  <c r="D19" i="9"/>
  <c r="D24" i="9" s="1"/>
  <c r="D29" i="9" s="1"/>
  <c r="C19" i="9"/>
  <c r="C24" i="9" s="1"/>
  <c r="C29" i="9" s="1"/>
  <c r="G18" i="9"/>
  <c r="G23" i="9" s="1"/>
  <c r="G28" i="9" s="1"/>
  <c r="F18" i="9"/>
  <c r="E18" i="9"/>
  <c r="E23" i="9" s="1"/>
  <c r="E28" i="9" s="1"/>
  <c r="D18" i="9"/>
  <c r="D23" i="9" s="1"/>
  <c r="D28" i="9" s="1"/>
  <c r="C18" i="9"/>
  <c r="C23" i="9" s="1"/>
  <c r="C28" i="9" s="1"/>
  <c r="G4" i="9"/>
  <c r="G8" i="9" s="1"/>
  <c r="G13" i="9" s="1"/>
  <c r="F4" i="9"/>
  <c r="F8" i="9" s="1"/>
  <c r="F13" i="9" s="1"/>
  <c r="E4" i="9"/>
  <c r="E8" i="9" s="1"/>
  <c r="E13" i="9" s="1"/>
  <c r="D4" i="9"/>
  <c r="D8" i="9" s="1"/>
  <c r="D13" i="9" s="1"/>
  <c r="C4" i="9"/>
  <c r="C8" i="9" s="1"/>
  <c r="C13" i="9" s="1"/>
  <c r="G3" i="9"/>
  <c r="G7" i="9" s="1"/>
  <c r="G12" i="9" s="1"/>
  <c r="F3" i="9"/>
  <c r="F7" i="9" s="1"/>
  <c r="F12" i="9" s="1"/>
  <c r="E3" i="9"/>
  <c r="E7" i="9" s="1"/>
  <c r="E12" i="9" s="1"/>
  <c r="D3" i="9"/>
  <c r="D7" i="9" s="1"/>
  <c r="D12" i="9" s="1"/>
  <c r="C3" i="9"/>
  <c r="C7" i="9" s="1"/>
  <c r="C12" i="9" s="1"/>
  <c r="G50" i="8"/>
  <c r="G55" i="8" s="1"/>
  <c r="G60" i="8" s="1"/>
  <c r="F50" i="8"/>
  <c r="F55" i="8" s="1"/>
  <c r="F60" i="8" s="1"/>
  <c r="E50" i="8"/>
  <c r="E55" i="8" s="1"/>
  <c r="E60" i="8" s="1"/>
  <c r="D50" i="8"/>
  <c r="D55" i="8" s="1"/>
  <c r="D60" i="8" s="1"/>
  <c r="C50" i="8"/>
  <c r="C55" i="8" s="1"/>
  <c r="C60" i="8" s="1"/>
  <c r="G49" i="8"/>
  <c r="G54" i="8" s="1"/>
  <c r="F49" i="8"/>
  <c r="F54" i="8" s="1"/>
  <c r="F59" i="8" s="1"/>
  <c r="E49" i="8"/>
  <c r="E54" i="8" s="1"/>
  <c r="E59" i="8" s="1"/>
  <c r="D49" i="8"/>
  <c r="D54" i="8" s="1"/>
  <c r="D59" i="8" s="1"/>
  <c r="C49" i="8"/>
  <c r="C54" i="8" s="1"/>
  <c r="G35" i="8"/>
  <c r="F35" i="8"/>
  <c r="E35" i="8"/>
  <c r="D35" i="8"/>
  <c r="C35" i="8"/>
  <c r="C39" i="8" s="1"/>
  <c r="C44" i="8" s="1"/>
  <c r="G34" i="8"/>
  <c r="G38" i="8" s="1"/>
  <c r="G43" i="8" s="1"/>
  <c r="F34" i="8"/>
  <c r="F38" i="8" s="1"/>
  <c r="F43" i="8" s="1"/>
  <c r="E34" i="8"/>
  <c r="E38" i="8" s="1"/>
  <c r="E43" i="8" s="1"/>
  <c r="D34" i="8"/>
  <c r="D38" i="8" s="1"/>
  <c r="D43" i="8" s="1"/>
  <c r="C34" i="8"/>
  <c r="C38" i="8" s="1"/>
  <c r="C43" i="8" s="1"/>
  <c r="G19" i="8"/>
  <c r="G24" i="8" s="1"/>
  <c r="G29" i="8" s="1"/>
  <c r="F19" i="8"/>
  <c r="E19" i="8"/>
  <c r="E24" i="8" s="1"/>
  <c r="E29" i="8" s="1"/>
  <c r="D19" i="8"/>
  <c r="D24" i="8" s="1"/>
  <c r="D29" i="8" s="1"/>
  <c r="C19" i="8"/>
  <c r="C24" i="8" s="1"/>
  <c r="C29" i="8" s="1"/>
  <c r="G18" i="8"/>
  <c r="G23" i="8" s="1"/>
  <c r="G28" i="8" s="1"/>
  <c r="F18" i="8"/>
  <c r="F23" i="8" s="1"/>
  <c r="F28" i="8" s="1"/>
  <c r="E18" i="8"/>
  <c r="E23" i="8" s="1"/>
  <c r="E28" i="8" s="1"/>
  <c r="D18" i="8"/>
  <c r="D23" i="8" s="1"/>
  <c r="D28" i="8" s="1"/>
  <c r="C18" i="8"/>
  <c r="C23" i="8" s="1"/>
  <c r="C28" i="8" s="1"/>
  <c r="G4" i="8"/>
  <c r="G8" i="8" s="1"/>
  <c r="G13" i="8" s="1"/>
  <c r="F4" i="8"/>
  <c r="F8" i="8" s="1"/>
  <c r="F13" i="8" s="1"/>
  <c r="E4" i="8"/>
  <c r="E8" i="8" s="1"/>
  <c r="E13" i="8" s="1"/>
  <c r="D4" i="8"/>
  <c r="D8" i="8" s="1"/>
  <c r="D13" i="8" s="1"/>
  <c r="C4" i="8"/>
  <c r="C8" i="8" s="1"/>
  <c r="C13" i="8" s="1"/>
  <c r="G3" i="8"/>
  <c r="G7" i="8" s="1"/>
  <c r="G12" i="8" s="1"/>
  <c r="F3" i="8"/>
  <c r="E3" i="8"/>
  <c r="E7" i="8" s="1"/>
  <c r="E12" i="8" s="1"/>
  <c r="D3" i="8"/>
  <c r="D7" i="8" s="1"/>
  <c r="D12" i="8" s="1"/>
  <c r="C3" i="8"/>
  <c r="C7" i="8" s="1"/>
  <c r="C12" i="8" s="1"/>
  <c r="G50" i="7"/>
  <c r="G55" i="7" s="1"/>
  <c r="G60" i="7" s="1"/>
  <c r="F50" i="7"/>
  <c r="F55" i="7" s="1"/>
  <c r="F60" i="7" s="1"/>
  <c r="E50" i="7"/>
  <c r="D50" i="7"/>
  <c r="D55" i="7" s="1"/>
  <c r="D60" i="7" s="1"/>
  <c r="C50" i="7"/>
  <c r="C55" i="7" s="1"/>
  <c r="C60" i="7" s="1"/>
  <c r="G49" i="7"/>
  <c r="G54" i="7" s="1"/>
  <c r="G59" i="7" s="1"/>
  <c r="F49" i="7"/>
  <c r="F54" i="7" s="1"/>
  <c r="E49" i="7"/>
  <c r="E54" i="7" s="1"/>
  <c r="D49" i="7"/>
  <c r="D54" i="7" s="1"/>
  <c r="D59" i="7" s="1"/>
  <c r="C49" i="7"/>
  <c r="C54" i="7" s="1"/>
  <c r="G35" i="7"/>
  <c r="F35" i="7"/>
  <c r="F39" i="7" s="1"/>
  <c r="F44" i="7" s="1"/>
  <c r="E35" i="7"/>
  <c r="D35" i="7"/>
  <c r="D39" i="7" s="1"/>
  <c r="D44" i="7" s="1"/>
  <c r="C35" i="7"/>
  <c r="G34" i="7"/>
  <c r="G38" i="7" s="1"/>
  <c r="F34" i="7"/>
  <c r="F38" i="7" s="1"/>
  <c r="F43" i="7" s="1"/>
  <c r="E34" i="7"/>
  <c r="E38" i="7" s="1"/>
  <c r="E43" i="7" s="1"/>
  <c r="D34" i="7"/>
  <c r="D38" i="7" s="1"/>
  <c r="D43" i="7" s="1"/>
  <c r="C34" i="7"/>
  <c r="C38" i="7" s="1"/>
  <c r="C43" i="7" s="1"/>
  <c r="G19" i="7"/>
  <c r="G24" i="7" s="1"/>
  <c r="G29" i="7" s="1"/>
  <c r="F19" i="7"/>
  <c r="F24" i="7" s="1"/>
  <c r="F29" i="7" s="1"/>
  <c r="E19" i="7"/>
  <c r="E24" i="7" s="1"/>
  <c r="E29" i="7" s="1"/>
  <c r="D19" i="7"/>
  <c r="D24" i="7" s="1"/>
  <c r="D29" i="7" s="1"/>
  <c r="C19" i="7"/>
  <c r="C24" i="7" s="1"/>
  <c r="C29" i="7" s="1"/>
  <c r="G18" i="7"/>
  <c r="G23" i="7" s="1"/>
  <c r="G28" i="7" s="1"/>
  <c r="F18" i="7"/>
  <c r="F23" i="7" s="1"/>
  <c r="F28" i="7" s="1"/>
  <c r="E18" i="7"/>
  <c r="E23" i="7" s="1"/>
  <c r="E28" i="7" s="1"/>
  <c r="D18" i="7"/>
  <c r="C18" i="7"/>
  <c r="C23" i="7" s="1"/>
  <c r="C28" i="7" s="1"/>
  <c r="G4" i="7"/>
  <c r="G8" i="7" s="1"/>
  <c r="G13" i="7" s="1"/>
  <c r="F4" i="7"/>
  <c r="F8" i="7" s="1"/>
  <c r="F13" i="7" s="1"/>
  <c r="E4" i="7"/>
  <c r="E8" i="7" s="1"/>
  <c r="E13" i="7" s="1"/>
  <c r="D4" i="7"/>
  <c r="D8" i="7" s="1"/>
  <c r="D13" i="7" s="1"/>
  <c r="C4" i="7"/>
  <c r="C8" i="7" s="1"/>
  <c r="C13" i="7" s="1"/>
  <c r="G3" i="7"/>
  <c r="F3" i="7"/>
  <c r="F7" i="7" s="1"/>
  <c r="F12" i="7" s="1"/>
  <c r="E3" i="7"/>
  <c r="D3" i="7"/>
  <c r="D7" i="7" s="1"/>
  <c r="D12" i="7" s="1"/>
  <c r="C3" i="7"/>
  <c r="C7" i="7" s="1"/>
  <c r="C12" i="7" s="1"/>
  <c r="G50" i="6"/>
  <c r="G55" i="6" s="1"/>
  <c r="G60" i="6" s="1"/>
  <c r="F50" i="6"/>
  <c r="E50" i="6"/>
  <c r="E55" i="6" s="1"/>
  <c r="E60" i="6" s="1"/>
  <c r="D50" i="6"/>
  <c r="D55" i="6" s="1"/>
  <c r="D60" i="6" s="1"/>
  <c r="C50" i="6"/>
  <c r="C55" i="6" s="1"/>
  <c r="C60" i="6" s="1"/>
  <c r="G49" i="6"/>
  <c r="G54" i="6" s="1"/>
  <c r="F49" i="6"/>
  <c r="F54" i="6" s="1"/>
  <c r="F59" i="6" s="1"/>
  <c r="E49" i="6"/>
  <c r="E54" i="6" s="1"/>
  <c r="D49" i="6"/>
  <c r="D54" i="6" s="1"/>
  <c r="D59" i="6" s="1"/>
  <c r="C49" i="6"/>
  <c r="G35" i="6"/>
  <c r="G39" i="6" s="1"/>
  <c r="G44" i="6" s="1"/>
  <c r="F35" i="6"/>
  <c r="F39" i="6" s="1"/>
  <c r="F44" i="6" s="1"/>
  <c r="E35" i="6"/>
  <c r="E39" i="6" s="1"/>
  <c r="E44" i="6" s="1"/>
  <c r="D35" i="6"/>
  <c r="C35" i="6"/>
  <c r="C39" i="6" s="1"/>
  <c r="C44" i="6" s="1"/>
  <c r="G34" i="6"/>
  <c r="G38" i="6" s="1"/>
  <c r="G43" i="6" s="1"/>
  <c r="F34" i="6"/>
  <c r="F38" i="6" s="1"/>
  <c r="F43" i="6" s="1"/>
  <c r="E34" i="6"/>
  <c r="E38" i="6" s="1"/>
  <c r="E43" i="6" s="1"/>
  <c r="D34" i="6"/>
  <c r="D38" i="6" s="1"/>
  <c r="D43" i="6" s="1"/>
  <c r="C34" i="6"/>
  <c r="C38" i="6" s="1"/>
  <c r="C43" i="6" s="1"/>
  <c r="G19" i="6"/>
  <c r="G24" i="6" s="1"/>
  <c r="G29" i="6" s="1"/>
  <c r="F19" i="6"/>
  <c r="F24" i="6" s="1"/>
  <c r="F29" i="6" s="1"/>
  <c r="E19" i="6"/>
  <c r="E24" i="6" s="1"/>
  <c r="E29" i="6" s="1"/>
  <c r="D19" i="6"/>
  <c r="D24" i="6" s="1"/>
  <c r="D29" i="6" s="1"/>
  <c r="C19" i="6"/>
  <c r="C24" i="6" s="1"/>
  <c r="C29" i="6" s="1"/>
  <c r="G18" i="6"/>
  <c r="G23" i="6" s="1"/>
  <c r="G28" i="6" s="1"/>
  <c r="F18" i="6"/>
  <c r="F23" i="6" s="1"/>
  <c r="F28" i="6" s="1"/>
  <c r="E18" i="6"/>
  <c r="E23" i="6" s="1"/>
  <c r="E28" i="6" s="1"/>
  <c r="D18" i="6"/>
  <c r="D23" i="6" s="1"/>
  <c r="D28" i="6" s="1"/>
  <c r="C18" i="6"/>
  <c r="C23" i="6" s="1"/>
  <c r="G4" i="6"/>
  <c r="G8" i="6" s="1"/>
  <c r="G13" i="6" s="1"/>
  <c r="F4" i="6"/>
  <c r="F8" i="6" s="1"/>
  <c r="F13" i="6" s="1"/>
  <c r="E4" i="6"/>
  <c r="E8" i="6" s="1"/>
  <c r="E13" i="6" s="1"/>
  <c r="D4" i="6"/>
  <c r="D8" i="6" s="1"/>
  <c r="D13" i="6" s="1"/>
  <c r="C4" i="6"/>
  <c r="C8" i="6" s="1"/>
  <c r="C13" i="6" s="1"/>
  <c r="G3" i="6"/>
  <c r="G7" i="6" s="1"/>
  <c r="G12" i="6" s="1"/>
  <c r="F3" i="6"/>
  <c r="F7" i="6" s="1"/>
  <c r="F12" i="6" s="1"/>
  <c r="E3" i="6"/>
  <c r="D3" i="6"/>
  <c r="D7" i="6" s="1"/>
  <c r="D12" i="6" s="1"/>
  <c r="C3" i="6"/>
  <c r="G50" i="5"/>
  <c r="G55" i="5" s="1"/>
  <c r="G60" i="5" s="1"/>
  <c r="F50" i="5"/>
  <c r="E50" i="5"/>
  <c r="D50" i="5"/>
  <c r="C50" i="5"/>
  <c r="C55" i="5" s="1"/>
  <c r="C60" i="5" s="1"/>
  <c r="G49" i="5"/>
  <c r="G54" i="5" s="1"/>
  <c r="G59" i="5" s="1"/>
  <c r="F49" i="5"/>
  <c r="F54" i="5" s="1"/>
  <c r="E49" i="5"/>
  <c r="E54" i="5" s="1"/>
  <c r="E59" i="5" s="1"/>
  <c r="D49" i="5"/>
  <c r="D54" i="5" s="1"/>
  <c r="D59" i="5" s="1"/>
  <c r="C49" i="5"/>
  <c r="C54" i="5" s="1"/>
  <c r="C59" i="5" s="1"/>
  <c r="G35" i="5"/>
  <c r="F35" i="5"/>
  <c r="F39" i="5" s="1"/>
  <c r="F44" i="5" s="1"/>
  <c r="E35" i="5"/>
  <c r="E39" i="5" s="1"/>
  <c r="E44" i="5" s="1"/>
  <c r="D35" i="5"/>
  <c r="D39" i="5" s="1"/>
  <c r="D44" i="5" s="1"/>
  <c r="C35" i="5"/>
  <c r="G34" i="5"/>
  <c r="G38" i="5" s="1"/>
  <c r="G43" i="5" s="1"/>
  <c r="F34" i="5"/>
  <c r="F38" i="5" s="1"/>
  <c r="F43" i="5" s="1"/>
  <c r="E34" i="5"/>
  <c r="D34" i="5"/>
  <c r="C34" i="5"/>
  <c r="C38" i="5" s="1"/>
  <c r="C43" i="5" s="1"/>
  <c r="G19" i="5"/>
  <c r="G24" i="5" s="1"/>
  <c r="G29" i="5" s="1"/>
  <c r="F19" i="5"/>
  <c r="F24" i="5" s="1"/>
  <c r="F29" i="5" s="1"/>
  <c r="E19" i="5"/>
  <c r="E24" i="5" s="1"/>
  <c r="E29" i="5" s="1"/>
  <c r="D19" i="5"/>
  <c r="D24" i="5" s="1"/>
  <c r="D29" i="5" s="1"/>
  <c r="C19" i="5"/>
  <c r="C24" i="5" s="1"/>
  <c r="C29" i="5" s="1"/>
  <c r="G18" i="5"/>
  <c r="G23" i="5" s="1"/>
  <c r="G28" i="5" s="1"/>
  <c r="F18" i="5"/>
  <c r="F23" i="5" s="1"/>
  <c r="F28" i="5" s="1"/>
  <c r="E18" i="5"/>
  <c r="E23" i="5" s="1"/>
  <c r="E28" i="5" s="1"/>
  <c r="D18" i="5"/>
  <c r="D23" i="5" s="1"/>
  <c r="D28" i="5" s="1"/>
  <c r="C18" i="5"/>
  <c r="C23" i="5" s="1"/>
  <c r="C28" i="5" s="1"/>
  <c r="G4" i="5"/>
  <c r="G8" i="5" s="1"/>
  <c r="G13" i="5" s="1"/>
  <c r="F4" i="5"/>
  <c r="F8" i="5" s="1"/>
  <c r="F13" i="5" s="1"/>
  <c r="E4" i="5"/>
  <c r="E8" i="5" s="1"/>
  <c r="E13" i="5" s="1"/>
  <c r="D4" i="5"/>
  <c r="D8" i="5" s="1"/>
  <c r="D13" i="5" s="1"/>
  <c r="C4" i="5"/>
  <c r="C8" i="5" s="1"/>
  <c r="C13" i="5" s="1"/>
  <c r="G3" i="5"/>
  <c r="G7" i="5" s="1"/>
  <c r="G12" i="5" s="1"/>
  <c r="F3" i="5"/>
  <c r="E3" i="5"/>
  <c r="E7" i="5" s="1"/>
  <c r="E12" i="5" s="1"/>
  <c r="D3" i="5"/>
  <c r="D7" i="5" s="1"/>
  <c r="D12" i="5" s="1"/>
  <c r="C3" i="5"/>
  <c r="G50" i="4"/>
  <c r="F50" i="4"/>
  <c r="F55" i="4" s="1"/>
  <c r="F60" i="4" s="1"/>
  <c r="E50" i="4"/>
  <c r="D50" i="4"/>
  <c r="C50" i="4"/>
  <c r="C55" i="4" s="1"/>
  <c r="C60" i="4" s="1"/>
  <c r="G49" i="4"/>
  <c r="G54" i="4" s="1"/>
  <c r="G59" i="4" s="1"/>
  <c r="F49" i="4"/>
  <c r="E49" i="4"/>
  <c r="E54" i="4" s="1"/>
  <c r="D49" i="4"/>
  <c r="D54" i="4" s="1"/>
  <c r="C49" i="4"/>
  <c r="G35" i="4"/>
  <c r="G39" i="4" s="1"/>
  <c r="G44" i="4" s="1"/>
  <c r="F35" i="4"/>
  <c r="E35" i="4"/>
  <c r="E39" i="4" s="1"/>
  <c r="E44" i="4" s="1"/>
  <c r="D35" i="4"/>
  <c r="D39" i="4" s="1"/>
  <c r="D44" i="4" s="1"/>
  <c r="C35" i="4"/>
  <c r="C39" i="4" s="1"/>
  <c r="C44" i="4" s="1"/>
  <c r="G34" i="4"/>
  <c r="G38" i="4" s="1"/>
  <c r="G43" i="4" s="1"/>
  <c r="F34" i="4"/>
  <c r="E34" i="4"/>
  <c r="E38" i="4" s="1"/>
  <c r="D34" i="4"/>
  <c r="C34" i="4"/>
  <c r="G19" i="4"/>
  <c r="G24" i="4" s="1"/>
  <c r="G29" i="4" s="1"/>
  <c r="F19" i="4"/>
  <c r="F24" i="4" s="1"/>
  <c r="F29" i="4" s="1"/>
  <c r="E19" i="4"/>
  <c r="E24" i="4" s="1"/>
  <c r="E29" i="4" s="1"/>
  <c r="D19" i="4"/>
  <c r="D24" i="4" s="1"/>
  <c r="D29" i="4" s="1"/>
  <c r="C19" i="4"/>
  <c r="C24" i="4" s="1"/>
  <c r="C29" i="4" s="1"/>
  <c r="G18" i="4"/>
  <c r="F18" i="4"/>
  <c r="E18" i="4"/>
  <c r="D18" i="4"/>
  <c r="D23" i="4" s="1"/>
  <c r="D28" i="4" s="1"/>
  <c r="C18" i="4"/>
  <c r="C23" i="4" s="1"/>
  <c r="G5" i="4"/>
  <c r="G9" i="4" s="1"/>
  <c r="G14" i="4" s="1"/>
  <c r="F5" i="4"/>
  <c r="F9" i="4" s="1"/>
  <c r="F14" i="4" s="1"/>
  <c r="E5" i="4"/>
  <c r="E9" i="4" s="1"/>
  <c r="E14" i="4" s="1"/>
  <c r="D5" i="4"/>
  <c r="D9" i="4" s="1"/>
  <c r="D14" i="4" s="1"/>
  <c r="C5" i="4"/>
  <c r="C9" i="4" s="1"/>
  <c r="C14" i="4" s="1"/>
  <c r="G4" i="4"/>
  <c r="G8" i="4" s="1"/>
  <c r="G13" i="4" s="1"/>
  <c r="F4" i="4"/>
  <c r="F8" i="4" s="1"/>
  <c r="F13" i="4" s="1"/>
  <c r="E4" i="4"/>
  <c r="E8" i="4" s="1"/>
  <c r="E13" i="4" s="1"/>
  <c r="D4" i="4"/>
  <c r="D8" i="4" s="1"/>
  <c r="D13" i="4" s="1"/>
  <c r="C4" i="4"/>
  <c r="C8" i="4" s="1"/>
  <c r="C13" i="4" s="1"/>
  <c r="G3" i="4"/>
  <c r="F3" i="4"/>
  <c r="F7" i="4" s="1"/>
  <c r="F12" i="4" s="1"/>
  <c r="E3" i="4"/>
  <c r="E7" i="4" s="1"/>
  <c r="E12" i="4" s="1"/>
  <c r="D3" i="4"/>
  <c r="D7" i="4" s="1"/>
  <c r="C3" i="4"/>
  <c r="C7" i="4" s="1"/>
  <c r="G50" i="3"/>
  <c r="G55" i="3" s="1"/>
  <c r="G60" i="3" s="1"/>
  <c r="F50" i="3"/>
  <c r="F55" i="3" s="1"/>
  <c r="F60" i="3" s="1"/>
  <c r="E50" i="3"/>
  <c r="E55" i="3" s="1"/>
  <c r="E60" i="3" s="1"/>
  <c r="D50" i="3"/>
  <c r="D55" i="3" s="1"/>
  <c r="D60" i="3" s="1"/>
  <c r="C50" i="3"/>
  <c r="C55" i="3" s="1"/>
  <c r="C60" i="3" s="1"/>
  <c r="G49" i="3"/>
  <c r="G54" i="3" s="1"/>
  <c r="F49" i="3"/>
  <c r="F54" i="3" s="1"/>
  <c r="F59" i="3" s="1"/>
  <c r="E49" i="3"/>
  <c r="E54" i="3" s="1"/>
  <c r="E59" i="3" s="1"/>
  <c r="D49" i="3"/>
  <c r="D54" i="3" s="1"/>
  <c r="D59" i="3" s="1"/>
  <c r="C49" i="3"/>
  <c r="G35" i="3"/>
  <c r="G39" i="3" s="1"/>
  <c r="G44" i="3" s="1"/>
  <c r="F35" i="3"/>
  <c r="F39" i="3" s="1"/>
  <c r="F44" i="3" s="1"/>
  <c r="E35" i="3"/>
  <c r="E39" i="3" s="1"/>
  <c r="E44" i="3" s="1"/>
  <c r="D35" i="3"/>
  <c r="D39" i="3" s="1"/>
  <c r="D44" i="3" s="1"/>
  <c r="C35" i="3"/>
  <c r="C39" i="3" s="1"/>
  <c r="C44" i="3" s="1"/>
  <c r="G34" i="3"/>
  <c r="F34" i="3"/>
  <c r="E34" i="3"/>
  <c r="E38" i="3" s="1"/>
  <c r="E43" i="3" s="1"/>
  <c r="D34" i="3"/>
  <c r="D38" i="3" s="1"/>
  <c r="D43" i="3" s="1"/>
  <c r="C34" i="3"/>
  <c r="C38" i="3" s="1"/>
  <c r="C43" i="3" s="1"/>
  <c r="G19" i="3"/>
  <c r="G24" i="3" s="1"/>
  <c r="G29" i="3" s="1"/>
  <c r="F19" i="3"/>
  <c r="F24" i="3" s="1"/>
  <c r="F29" i="3" s="1"/>
  <c r="E19" i="3"/>
  <c r="E24" i="3" s="1"/>
  <c r="E29" i="3" s="1"/>
  <c r="D19" i="3"/>
  <c r="D24" i="3" s="1"/>
  <c r="D29" i="3" s="1"/>
  <c r="C19" i="3"/>
  <c r="C24" i="3" s="1"/>
  <c r="C29" i="3" s="1"/>
  <c r="G18" i="3"/>
  <c r="G23" i="3" s="1"/>
  <c r="G28" i="3" s="1"/>
  <c r="F18" i="3"/>
  <c r="E18" i="3"/>
  <c r="E23" i="3" s="1"/>
  <c r="E28" i="3" s="1"/>
  <c r="D18" i="3"/>
  <c r="D23" i="3" s="1"/>
  <c r="D28" i="3" s="1"/>
  <c r="C18" i="3"/>
  <c r="G4" i="3"/>
  <c r="G8" i="3" s="1"/>
  <c r="G13" i="3" s="1"/>
  <c r="F4" i="3"/>
  <c r="F8" i="3" s="1"/>
  <c r="F13" i="3" s="1"/>
  <c r="E4" i="3"/>
  <c r="E8" i="3" s="1"/>
  <c r="E13" i="3" s="1"/>
  <c r="D4" i="3"/>
  <c r="D8" i="3" s="1"/>
  <c r="D13" i="3" s="1"/>
  <c r="C4" i="3"/>
  <c r="C8" i="3" s="1"/>
  <c r="C13" i="3" s="1"/>
  <c r="G3" i="3"/>
  <c r="F3" i="3"/>
  <c r="F7" i="3" s="1"/>
  <c r="F12" i="3" s="1"/>
  <c r="E3" i="3"/>
  <c r="E7" i="3" s="1"/>
  <c r="E12" i="3" s="1"/>
  <c r="D3" i="3"/>
  <c r="D7" i="3" s="1"/>
  <c r="D12" i="3" s="1"/>
  <c r="C3" i="3"/>
  <c r="G50" i="2"/>
  <c r="G55" i="2" s="1"/>
  <c r="G60" i="2" s="1"/>
  <c r="F50" i="2"/>
  <c r="F55" i="2" s="1"/>
  <c r="F60" i="2" s="1"/>
  <c r="E50" i="2"/>
  <c r="E55" i="2" s="1"/>
  <c r="E60" i="2" s="1"/>
  <c r="D50" i="2"/>
  <c r="D55" i="2" s="1"/>
  <c r="D60" i="2" s="1"/>
  <c r="C50" i="2"/>
  <c r="C55" i="2" s="1"/>
  <c r="C60" i="2" s="1"/>
  <c r="G49" i="2"/>
  <c r="F49" i="2"/>
  <c r="F54" i="2" s="1"/>
  <c r="E49" i="2"/>
  <c r="E54" i="2" s="1"/>
  <c r="D49" i="2"/>
  <c r="D54" i="2" s="1"/>
  <c r="C49" i="2"/>
  <c r="C54" i="2" s="1"/>
  <c r="G35" i="2"/>
  <c r="G39" i="2" s="1"/>
  <c r="G44" i="2" s="1"/>
  <c r="F35" i="2"/>
  <c r="F39" i="2" s="1"/>
  <c r="F44" i="2" s="1"/>
  <c r="E35" i="2"/>
  <c r="E39" i="2" s="1"/>
  <c r="E44" i="2" s="1"/>
  <c r="D35" i="2"/>
  <c r="D39" i="2" s="1"/>
  <c r="D44" i="2" s="1"/>
  <c r="C35" i="2"/>
  <c r="C39" i="2" s="1"/>
  <c r="C44" i="2" s="1"/>
  <c r="G34" i="2"/>
  <c r="G38" i="2" s="1"/>
  <c r="G43" i="2" s="1"/>
  <c r="F34" i="2"/>
  <c r="F38" i="2" s="1"/>
  <c r="F43" i="2" s="1"/>
  <c r="E34" i="2"/>
  <c r="E38" i="2" s="1"/>
  <c r="E43" i="2" s="1"/>
  <c r="D34" i="2"/>
  <c r="C34" i="2"/>
  <c r="G19" i="2"/>
  <c r="G24" i="2" s="1"/>
  <c r="G29" i="2" s="1"/>
  <c r="F19" i="2"/>
  <c r="F24" i="2" s="1"/>
  <c r="F29" i="2" s="1"/>
  <c r="E19" i="2"/>
  <c r="E24" i="2" s="1"/>
  <c r="E29" i="2" s="1"/>
  <c r="D19" i="2"/>
  <c r="D24" i="2" s="1"/>
  <c r="D29" i="2" s="1"/>
  <c r="C19" i="2"/>
  <c r="C24" i="2" s="1"/>
  <c r="C29" i="2" s="1"/>
  <c r="G18" i="2"/>
  <c r="F18" i="2"/>
  <c r="F23" i="2" s="1"/>
  <c r="F28" i="2" s="1"/>
  <c r="E18" i="2"/>
  <c r="E23" i="2" s="1"/>
  <c r="E28" i="2" s="1"/>
  <c r="D18" i="2"/>
  <c r="C18" i="2"/>
  <c r="G4" i="2"/>
  <c r="G8" i="2" s="1"/>
  <c r="G13" i="2" s="1"/>
  <c r="F4" i="2"/>
  <c r="F8" i="2" s="1"/>
  <c r="F13" i="2" s="1"/>
  <c r="E4" i="2"/>
  <c r="E8" i="2" s="1"/>
  <c r="E13" i="2" s="1"/>
  <c r="D4" i="2"/>
  <c r="D8" i="2" s="1"/>
  <c r="D13" i="2" s="1"/>
  <c r="C4" i="2"/>
  <c r="C8" i="2" s="1"/>
  <c r="C13" i="2" s="1"/>
  <c r="G3" i="2"/>
  <c r="G7" i="2" s="1"/>
  <c r="G12" i="2" s="1"/>
  <c r="F3" i="2"/>
  <c r="E3" i="2"/>
  <c r="E7" i="2" s="1"/>
  <c r="E12" i="2" s="1"/>
  <c r="D3" i="2"/>
  <c r="C3" i="2"/>
  <c r="C7" i="2" s="1"/>
  <c r="C12" i="2" s="1"/>
  <c r="F21" i="1"/>
  <c r="E21" i="1"/>
  <c r="D21" i="1"/>
  <c r="C21" i="1"/>
  <c r="C39" i="14" s="1"/>
  <c r="B21" i="1"/>
  <c r="A21" i="1"/>
  <c r="F12" i="1"/>
  <c r="E12" i="1"/>
  <c r="D12" i="1"/>
  <c r="C12" i="1"/>
  <c r="B12" i="1"/>
  <c r="A12" i="1"/>
  <c r="F9" i="1"/>
  <c r="E9" i="1"/>
  <c r="D9" i="1"/>
  <c r="C9" i="1"/>
  <c r="B9" i="1"/>
  <c r="A9" i="1"/>
  <c r="F6" i="1"/>
  <c r="E6" i="1"/>
  <c r="D6" i="1"/>
  <c r="C6" i="1"/>
  <c r="B6" i="1"/>
  <c r="A6" i="1"/>
  <c r="F3" i="1"/>
  <c r="E3" i="1"/>
  <c r="D3" i="1"/>
  <c r="C3" i="1"/>
  <c r="B3" i="1"/>
  <c r="A3" i="1"/>
  <c r="F2" i="1"/>
  <c r="E2" i="1"/>
  <c r="D2" i="1"/>
  <c r="C2" i="1"/>
  <c r="B2" i="1"/>
  <c r="F1" i="1"/>
  <c r="E1" i="1"/>
  <c r="D1" i="1"/>
  <c r="C1" i="1"/>
  <c r="B1" i="1"/>
  <c r="A1" i="1"/>
  <c r="E5" i="6" l="1"/>
  <c r="E9" i="6" s="1"/>
  <c r="E14" i="6" s="1"/>
  <c r="G51" i="2"/>
  <c r="G56" i="2" s="1"/>
  <c r="G61" i="2" s="1"/>
  <c r="C51" i="9"/>
  <c r="C56" i="9" s="1"/>
  <c r="C5" i="5"/>
  <c r="C9" i="5" s="1"/>
  <c r="C14" i="5" s="1"/>
  <c r="F20" i="9"/>
  <c r="F25" i="9" s="1"/>
  <c r="C20" i="2"/>
  <c r="C25" i="2" s="1"/>
  <c r="C30" i="2" s="1"/>
  <c r="F36" i="4"/>
  <c r="F40" i="4" s="1"/>
  <c r="F45" i="4" s="1"/>
  <c r="F20" i="8"/>
  <c r="F25" i="8" s="1"/>
  <c r="F30" i="8" s="1"/>
  <c r="F5" i="2"/>
  <c r="F9" i="2" s="1"/>
  <c r="F14" i="2" s="1"/>
  <c r="G36" i="3"/>
  <c r="G40" i="3" s="1"/>
  <c r="G45" i="3" s="1"/>
  <c r="C5" i="6"/>
  <c r="C9" i="6" s="1"/>
  <c r="C14" i="6" s="1"/>
  <c r="E5" i="7"/>
  <c r="E9" i="7" s="1"/>
  <c r="E14" i="7" s="1"/>
  <c r="C20" i="3"/>
  <c r="C25" i="3" s="1"/>
  <c r="C30" i="3" s="1"/>
  <c r="D51" i="4"/>
  <c r="D56" i="4" s="1"/>
  <c r="C51" i="3"/>
  <c r="C56" i="3" s="1"/>
  <c r="C61" i="3" s="1"/>
  <c r="E18" i="11"/>
  <c r="G51" i="6"/>
  <c r="G56" i="6" s="1"/>
  <c r="G61" i="6" s="1"/>
  <c r="F51" i="4"/>
  <c r="F56" i="4" s="1"/>
  <c r="F61" i="4" s="1"/>
  <c r="F5" i="5"/>
  <c r="F9" i="5" s="1"/>
  <c r="F14" i="5" s="1"/>
  <c r="C36" i="7"/>
  <c r="C40" i="7" s="1"/>
  <c r="C45" i="7" s="1"/>
  <c r="D51" i="5"/>
  <c r="D56" i="5" s="1"/>
  <c r="C51" i="6"/>
  <c r="C56" i="6" s="1"/>
  <c r="C61" i="6" s="1"/>
  <c r="D55" i="4"/>
  <c r="D60" i="4" s="1"/>
  <c r="E36" i="5"/>
  <c r="E40" i="5" s="1"/>
  <c r="E45" i="5" s="1"/>
  <c r="D51" i="7"/>
  <c r="D56" i="7" s="1"/>
  <c r="D61" i="7" s="1"/>
  <c r="E5" i="5"/>
  <c r="E9" i="5" s="1"/>
  <c r="E14" i="5" s="1"/>
  <c r="C5" i="2"/>
  <c r="C9" i="2" s="1"/>
  <c r="C14" i="2" s="1"/>
  <c r="E5" i="3"/>
  <c r="E9" i="3" s="1"/>
  <c r="E14" i="3" s="1"/>
  <c r="D20" i="2"/>
  <c r="D25" i="2" s="1"/>
  <c r="D30" i="2" s="1"/>
  <c r="F20" i="4"/>
  <c r="F25" i="4" s="1"/>
  <c r="F30" i="4" s="1"/>
  <c r="C36" i="2"/>
  <c r="C40" i="2" s="1"/>
  <c r="C45" i="2" s="1"/>
  <c r="E20" i="3"/>
  <c r="E25" i="3" s="1"/>
  <c r="E30" i="3" s="1"/>
  <c r="E7" i="6"/>
  <c r="E12" i="6" s="1"/>
  <c r="C6" i="13"/>
  <c r="C7" i="13" s="1"/>
  <c r="C8" i="13" s="1"/>
  <c r="C9" i="13" s="1"/>
  <c r="C33" i="14" s="1"/>
  <c r="E26" i="14"/>
  <c r="E28" i="14" s="1"/>
  <c r="C7" i="6"/>
  <c r="C12" i="6" s="1"/>
  <c r="F26" i="14"/>
  <c r="F20" i="3"/>
  <c r="F25" i="3" s="1"/>
  <c r="F30" i="3" s="1"/>
  <c r="G51" i="4"/>
  <c r="G56" i="4" s="1"/>
  <c r="G61" i="4" s="1"/>
  <c r="G20" i="2"/>
  <c r="G25" i="2" s="1"/>
  <c r="G30" i="2" s="1"/>
  <c r="G3" i="11"/>
  <c r="C54" i="6"/>
  <c r="C59" i="6" s="1"/>
  <c r="F5" i="8"/>
  <c r="F9" i="8" s="1"/>
  <c r="F14" i="8" s="1"/>
  <c r="F24" i="8"/>
  <c r="F29" i="8" s="1"/>
  <c r="D5" i="9"/>
  <c r="D9" i="9" s="1"/>
  <c r="D23" i="15"/>
  <c r="E59" i="7"/>
  <c r="D5" i="2"/>
  <c r="D9" i="2" s="1"/>
  <c r="D14" i="2" s="1"/>
  <c r="C5" i="3"/>
  <c r="C9" i="3" s="1"/>
  <c r="C14" i="3" s="1"/>
  <c r="G20" i="3"/>
  <c r="G25" i="3" s="1"/>
  <c r="G30" i="3" s="1"/>
  <c r="D36" i="6"/>
  <c r="D40" i="6" s="1"/>
  <c r="D45" i="6" s="1"/>
  <c r="G7" i="4"/>
  <c r="G12" i="4" s="1"/>
  <c r="E23" i="4"/>
  <c r="E65" i="4" s="1"/>
  <c r="E5" i="2"/>
  <c r="E9" i="2" s="1"/>
  <c r="E14" i="2" s="1"/>
  <c r="F7" i="2"/>
  <c r="F12" i="2" s="1"/>
  <c r="D36" i="2"/>
  <c r="D40" i="2" s="1"/>
  <c r="D45" i="2" s="1"/>
  <c r="C7" i="3"/>
  <c r="C12" i="3" s="1"/>
  <c r="G20" i="4"/>
  <c r="G25" i="4" s="1"/>
  <c r="G30" i="4" s="1"/>
  <c r="C51" i="5"/>
  <c r="C56" i="5" s="1"/>
  <c r="C61" i="5" s="1"/>
  <c r="D55" i="5"/>
  <c r="D60" i="5" s="1"/>
  <c r="D36" i="7"/>
  <c r="D40" i="7" s="1"/>
  <c r="D45" i="7" s="1"/>
  <c r="G55" i="4"/>
  <c r="G60" i="4" s="1"/>
  <c r="D65" i="6"/>
  <c r="G20" i="7"/>
  <c r="G25" i="7" s="1"/>
  <c r="G30" i="7" s="1"/>
  <c r="F36" i="7"/>
  <c r="F40" i="7" s="1"/>
  <c r="F45" i="7" s="1"/>
  <c r="G51" i="7"/>
  <c r="G56" i="7" s="1"/>
  <c r="G61" i="7" s="1"/>
  <c r="G5" i="8"/>
  <c r="G9" i="8" s="1"/>
  <c r="G14" i="8" s="1"/>
  <c r="C26" i="14"/>
  <c r="G5" i="2"/>
  <c r="G9" i="2" s="1"/>
  <c r="G14" i="2" s="1"/>
  <c r="E51" i="5"/>
  <c r="E56" i="5" s="1"/>
  <c r="E61" i="5" s="1"/>
  <c r="C5" i="7"/>
  <c r="C9" i="7" s="1"/>
  <c r="C14" i="7" s="1"/>
  <c r="F5" i="7"/>
  <c r="F9" i="7" s="1"/>
  <c r="F14" i="7" s="1"/>
  <c r="D20" i="7"/>
  <c r="D25" i="7" s="1"/>
  <c r="D30" i="7" s="1"/>
  <c r="D23" i="7"/>
  <c r="D28" i="7" s="1"/>
  <c r="G20" i="8"/>
  <c r="G25" i="8" s="1"/>
  <c r="G30" i="8" s="1"/>
  <c r="G51" i="8"/>
  <c r="G56" i="8" s="1"/>
  <c r="G61" i="8" s="1"/>
  <c r="D26" i="14"/>
  <c r="D28" i="14" s="1"/>
  <c r="G5" i="3"/>
  <c r="G9" i="3" s="1"/>
  <c r="G14" i="3" s="1"/>
  <c r="F36" i="3"/>
  <c r="F40" i="3" s="1"/>
  <c r="F45" i="3" s="1"/>
  <c r="F51" i="5"/>
  <c r="F56" i="5" s="1"/>
  <c r="F61" i="5" s="1"/>
  <c r="F36" i="6"/>
  <c r="F40" i="6" s="1"/>
  <c r="F45" i="6" s="1"/>
  <c r="D51" i="8"/>
  <c r="D56" i="8" s="1"/>
  <c r="D61" i="8" s="1"/>
  <c r="D36" i="9"/>
  <c r="D40" i="9" s="1"/>
  <c r="B23" i="15"/>
  <c r="E7" i="7"/>
  <c r="E12" i="7" s="1"/>
  <c r="F7" i="8"/>
  <c r="F12" i="8" s="1"/>
  <c r="C23" i="2"/>
  <c r="C28" i="2" s="1"/>
  <c r="D23" i="2"/>
  <c r="D28" i="2" s="1"/>
  <c r="C7" i="5"/>
  <c r="C12" i="5" s="1"/>
  <c r="C39" i="7"/>
  <c r="C44" i="7" s="1"/>
  <c r="C27" i="14"/>
  <c r="D20" i="3"/>
  <c r="D25" i="3" s="1"/>
  <c r="D30" i="3" s="1"/>
  <c r="G36" i="4"/>
  <c r="G40" i="4" s="1"/>
  <c r="G45" i="4" s="1"/>
  <c r="D36" i="5"/>
  <c r="D40" i="5" s="1"/>
  <c r="D45" i="5" s="1"/>
  <c r="D38" i="5"/>
  <c r="D43" i="5" s="1"/>
  <c r="D20" i="6"/>
  <c r="D25" i="6" s="1"/>
  <c r="D30" i="6" s="1"/>
  <c r="F23" i="9"/>
  <c r="F28" i="9" s="1"/>
  <c r="F23" i="3"/>
  <c r="F28" i="3" s="1"/>
  <c r="F7" i="5"/>
  <c r="F12" i="5" s="1"/>
  <c r="E38" i="5"/>
  <c r="E43" i="5" s="1"/>
  <c r="G65" i="8"/>
  <c r="C26" i="15"/>
  <c r="D34" i="11"/>
  <c r="D5" i="6"/>
  <c r="D9" i="6" s="1"/>
  <c r="D14" i="6" s="1"/>
  <c r="F5" i="6"/>
  <c r="F9" i="6" s="1"/>
  <c r="F14" i="6" s="1"/>
  <c r="F20" i="6"/>
  <c r="F25" i="6" s="1"/>
  <c r="F30" i="6" s="1"/>
  <c r="C36" i="6"/>
  <c r="C40" i="6" s="1"/>
  <c r="C45" i="6" s="1"/>
  <c r="C51" i="8"/>
  <c r="C56" i="8" s="1"/>
  <c r="C61" i="8" s="1"/>
  <c r="G5" i="9"/>
  <c r="G9" i="9" s="1"/>
  <c r="G20" i="9"/>
  <c r="G25" i="9" s="1"/>
  <c r="F32" i="14"/>
  <c r="D26" i="15"/>
  <c r="E65" i="2"/>
  <c r="E59" i="2"/>
  <c r="G43" i="7"/>
  <c r="C28" i="6"/>
  <c r="F59" i="2"/>
  <c r="G65" i="6"/>
  <c r="G59" i="6"/>
  <c r="G23" i="2"/>
  <c r="G28" i="2" s="1"/>
  <c r="G36" i="2"/>
  <c r="G40" i="2" s="1"/>
  <c r="G45" i="2" s="1"/>
  <c r="G54" i="2"/>
  <c r="G54" i="11" s="1"/>
  <c r="F38" i="3"/>
  <c r="F43" i="3" s="1"/>
  <c r="C38" i="2"/>
  <c r="C43" i="2" s="1"/>
  <c r="C51" i="2"/>
  <c r="C56" i="2" s="1"/>
  <c r="C59" i="2"/>
  <c r="G7" i="3"/>
  <c r="G12" i="3" s="1"/>
  <c r="G38" i="3"/>
  <c r="G43" i="3" s="1"/>
  <c r="G51" i="3"/>
  <c r="G56" i="3" s="1"/>
  <c r="G59" i="3"/>
  <c r="F3" i="11"/>
  <c r="D7" i="2"/>
  <c r="D12" i="2" s="1"/>
  <c r="D38" i="2"/>
  <c r="D43" i="2" s="1"/>
  <c r="D51" i="2"/>
  <c r="D56" i="2" s="1"/>
  <c r="D59" i="2"/>
  <c r="C23" i="3"/>
  <c r="C28" i="3" s="1"/>
  <c r="C36" i="3"/>
  <c r="C40" i="3" s="1"/>
  <c r="C45" i="3" s="1"/>
  <c r="C54" i="3"/>
  <c r="C18" i="11"/>
  <c r="C20" i="4"/>
  <c r="C25" i="4" s="1"/>
  <c r="C30" i="4" s="1"/>
  <c r="E43" i="4"/>
  <c r="C20" i="5"/>
  <c r="C25" i="5" s="1"/>
  <c r="C30" i="5" s="1"/>
  <c r="G65" i="5"/>
  <c r="D51" i="6"/>
  <c r="D56" i="6" s="1"/>
  <c r="G36" i="8"/>
  <c r="G40" i="8" s="1"/>
  <c r="G45" i="8" s="1"/>
  <c r="G39" i="8"/>
  <c r="G44" i="8" s="1"/>
  <c r="C20" i="9"/>
  <c r="E36" i="3"/>
  <c r="E40" i="3" s="1"/>
  <c r="E45" i="3" s="1"/>
  <c r="E65" i="3"/>
  <c r="E20" i="2"/>
  <c r="E25" i="2" s="1"/>
  <c r="E30" i="2" s="1"/>
  <c r="E51" i="2"/>
  <c r="E56" i="2" s="1"/>
  <c r="D5" i="3"/>
  <c r="D9" i="3" s="1"/>
  <c r="D14" i="3" s="1"/>
  <c r="D36" i="3"/>
  <c r="D40" i="3" s="1"/>
  <c r="D45" i="3" s="1"/>
  <c r="D65" i="3"/>
  <c r="D18" i="11"/>
  <c r="D20" i="4"/>
  <c r="D25" i="4" s="1"/>
  <c r="D30" i="4" s="1"/>
  <c r="C34" i="11"/>
  <c r="C36" i="4"/>
  <c r="C40" i="4" s="1"/>
  <c r="C45" i="4" s="1"/>
  <c r="C49" i="11"/>
  <c r="C51" i="4"/>
  <c r="C56" i="4" s="1"/>
  <c r="D20" i="5"/>
  <c r="D25" i="5" s="1"/>
  <c r="D30" i="5" s="1"/>
  <c r="F36" i="5"/>
  <c r="F40" i="5" s="1"/>
  <c r="F45" i="5" s="1"/>
  <c r="E51" i="6"/>
  <c r="E56" i="6" s="1"/>
  <c r="D5" i="7"/>
  <c r="D9" i="7" s="1"/>
  <c r="D14" i="7" s="1"/>
  <c r="F20" i="7"/>
  <c r="F25" i="7" s="1"/>
  <c r="F30" i="7" s="1"/>
  <c r="C36" i="8"/>
  <c r="C40" i="8" s="1"/>
  <c r="C45" i="8" s="1"/>
  <c r="C65" i="8"/>
  <c r="C59" i="8"/>
  <c r="G59" i="8"/>
  <c r="F51" i="2"/>
  <c r="F56" i="2" s="1"/>
  <c r="D36" i="4"/>
  <c r="D40" i="4" s="1"/>
  <c r="D45" i="4" s="1"/>
  <c r="D54" i="11"/>
  <c r="E20" i="5"/>
  <c r="E25" i="5" s="1"/>
  <c r="E30" i="5" s="1"/>
  <c r="F5" i="3"/>
  <c r="F9" i="3" s="1"/>
  <c r="F14" i="3" s="1"/>
  <c r="F18" i="11"/>
  <c r="E36" i="4"/>
  <c r="E40" i="4" s="1"/>
  <c r="E45" i="4" s="1"/>
  <c r="F39" i="4"/>
  <c r="F44" i="4" s="1"/>
  <c r="D5" i="5"/>
  <c r="D9" i="5" s="1"/>
  <c r="D14" i="5" s="1"/>
  <c r="F20" i="5"/>
  <c r="F25" i="5" s="1"/>
  <c r="F30" i="5" s="1"/>
  <c r="F59" i="5"/>
  <c r="D39" i="6"/>
  <c r="D44" i="6" s="1"/>
  <c r="D43" i="9"/>
  <c r="D65" i="9"/>
  <c r="E36" i="9"/>
  <c r="F55" i="9"/>
  <c r="F60" i="9" s="1"/>
  <c r="F51" i="9"/>
  <c r="F34" i="11"/>
  <c r="F49" i="11"/>
  <c r="G20" i="5"/>
  <c r="G25" i="5" s="1"/>
  <c r="G30" i="5" s="1"/>
  <c r="C39" i="5"/>
  <c r="C44" i="5" s="1"/>
  <c r="C36" i="5"/>
  <c r="C40" i="5" s="1"/>
  <c r="C45" i="5" s="1"/>
  <c r="C20" i="6"/>
  <c r="C25" i="6" s="1"/>
  <c r="C30" i="6" s="1"/>
  <c r="E59" i="6"/>
  <c r="G51" i="9"/>
  <c r="G55" i="9"/>
  <c r="G60" i="9" s="1"/>
  <c r="G65" i="9"/>
  <c r="F20" i="2"/>
  <c r="F25" i="2" s="1"/>
  <c r="F30" i="2" s="1"/>
  <c r="G34" i="11"/>
  <c r="G49" i="11"/>
  <c r="C54" i="4"/>
  <c r="E55" i="5"/>
  <c r="E60" i="5" s="1"/>
  <c r="F65" i="6"/>
  <c r="G7" i="7"/>
  <c r="G12" i="7" s="1"/>
  <c r="G5" i="7"/>
  <c r="G9" i="7" s="1"/>
  <c r="G14" i="7" s="1"/>
  <c r="C65" i="7"/>
  <c r="C59" i="7"/>
  <c r="C51" i="7"/>
  <c r="C56" i="7" s="1"/>
  <c r="D49" i="11"/>
  <c r="G18" i="11"/>
  <c r="C3" i="11"/>
  <c r="C12" i="4"/>
  <c r="C38" i="4"/>
  <c r="E54" i="11"/>
  <c r="E59" i="4"/>
  <c r="D61" i="4"/>
  <c r="F55" i="5"/>
  <c r="F60" i="5" s="1"/>
  <c r="E20" i="6"/>
  <c r="E25" i="6" s="1"/>
  <c r="E30" i="6" s="1"/>
  <c r="G20" i="6"/>
  <c r="G25" i="6" s="1"/>
  <c r="G30" i="6" s="1"/>
  <c r="F51" i="7"/>
  <c r="F56" i="7" s="1"/>
  <c r="E36" i="2"/>
  <c r="E40" i="2" s="1"/>
  <c r="E45" i="2" s="1"/>
  <c r="D51" i="3"/>
  <c r="D56" i="3" s="1"/>
  <c r="F36" i="2"/>
  <c r="F40" i="2" s="1"/>
  <c r="F45" i="2" s="1"/>
  <c r="E51" i="3"/>
  <c r="E56" i="3" s="1"/>
  <c r="D3" i="11"/>
  <c r="D12" i="4"/>
  <c r="F23" i="4"/>
  <c r="D38" i="4"/>
  <c r="D65" i="4" s="1"/>
  <c r="F54" i="4"/>
  <c r="G5" i="5"/>
  <c r="G9" i="5" s="1"/>
  <c r="G14" i="5" s="1"/>
  <c r="G5" i="6"/>
  <c r="G9" i="6" s="1"/>
  <c r="G14" i="6" s="1"/>
  <c r="E36" i="6"/>
  <c r="E40" i="6" s="1"/>
  <c r="E45" i="6" s="1"/>
  <c r="F55" i="6"/>
  <c r="F60" i="6" s="1"/>
  <c r="F51" i="6"/>
  <c r="F56" i="6" s="1"/>
  <c r="G36" i="7"/>
  <c r="G40" i="7" s="1"/>
  <c r="G45" i="7" s="1"/>
  <c r="G39" i="7"/>
  <c r="G44" i="7" s="1"/>
  <c r="C5" i="8"/>
  <c r="C9" i="8" s="1"/>
  <c r="C14" i="8" s="1"/>
  <c r="C20" i="8"/>
  <c r="C25" i="8" s="1"/>
  <c r="C30" i="8" s="1"/>
  <c r="D20" i="8"/>
  <c r="D25" i="8" s="1"/>
  <c r="D30" i="8" s="1"/>
  <c r="E5" i="9"/>
  <c r="C39" i="9"/>
  <c r="C44" i="9" s="1"/>
  <c r="C36" i="9"/>
  <c r="F51" i="3"/>
  <c r="F56" i="3" s="1"/>
  <c r="E3" i="11"/>
  <c r="G23" i="4"/>
  <c r="C28" i="4"/>
  <c r="F38" i="4"/>
  <c r="E55" i="4"/>
  <c r="E60" i="4" s="1"/>
  <c r="E51" i="4"/>
  <c r="E56" i="4" s="1"/>
  <c r="D59" i="4"/>
  <c r="G39" i="5"/>
  <c r="G44" i="5" s="1"/>
  <c r="G36" i="5"/>
  <c r="G40" i="5" s="1"/>
  <c r="G45" i="5" s="1"/>
  <c r="F65" i="7"/>
  <c r="F59" i="7"/>
  <c r="D5" i="8"/>
  <c r="D9" i="8" s="1"/>
  <c r="D14" i="8" s="1"/>
  <c r="F59" i="9"/>
  <c r="G51" i="5"/>
  <c r="G56" i="5" s="1"/>
  <c r="D61" i="5"/>
  <c r="G36" i="6"/>
  <c r="G40" i="6" s="1"/>
  <c r="G45" i="6" s="1"/>
  <c r="C20" i="7"/>
  <c r="C25" i="7" s="1"/>
  <c r="C30" i="7" s="1"/>
  <c r="C61" i="9"/>
  <c r="E34" i="11"/>
  <c r="E20" i="4"/>
  <c r="E25" i="4" s="1"/>
  <c r="E30" i="4" s="1"/>
  <c r="E49" i="11"/>
  <c r="E55" i="7"/>
  <c r="E60" i="7" s="1"/>
  <c r="E51" i="7"/>
  <c r="E56" i="7" s="1"/>
  <c r="E39" i="8"/>
  <c r="E44" i="8" s="1"/>
  <c r="E36" i="8"/>
  <c r="E40" i="8" s="1"/>
  <c r="E45" i="8" s="1"/>
  <c r="D55" i="9"/>
  <c r="D60" i="9" s="1"/>
  <c r="D51" i="9"/>
  <c r="C55" i="9"/>
  <c r="C60" i="9" s="1"/>
  <c r="E39" i="7"/>
  <c r="E44" i="7" s="1"/>
  <c r="E36" i="7"/>
  <c r="E40" i="7" s="1"/>
  <c r="E45" i="7" s="1"/>
  <c r="F39" i="8"/>
  <c r="F44" i="8" s="1"/>
  <c r="F36" i="8"/>
  <c r="F40" i="8" s="1"/>
  <c r="F45" i="8" s="1"/>
  <c r="C5" i="9"/>
  <c r="E55" i="9"/>
  <c r="E60" i="9" s="1"/>
  <c r="E51" i="9"/>
  <c r="F6" i="13"/>
  <c r="F7" i="13" s="1"/>
  <c r="F8" i="13" s="1"/>
  <c r="F9" i="13" s="1"/>
  <c r="F27" i="14"/>
  <c r="E23" i="15"/>
  <c r="C32" i="14"/>
  <c r="B26" i="15"/>
  <c r="G27" i="14"/>
  <c r="G6" i="13"/>
  <c r="G7" i="13" s="1"/>
  <c r="G8" i="13" s="1"/>
  <c r="G9" i="13" s="1"/>
  <c r="F23" i="15"/>
  <c r="E20" i="7"/>
  <c r="E25" i="7" s="1"/>
  <c r="E30" i="7" s="1"/>
  <c r="D65" i="8"/>
  <c r="E51" i="8"/>
  <c r="E56" i="8" s="1"/>
  <c r="F5" i="9"/>
  <c r="D20" i="9"/>
  <c r="F36" i="9"/>
  <c r="E65" i="9"/>
  <c r="C40" i="14"/>
  <c r="E65" i="8"/>
  <c r="G36" i="9"/>
  <c r="C65" i="9"/>
  <c r="C59" i="9"/>
  <c r="F24" i="15"/>
  <c r="G26" i="14"/>
  <c r="I43" i="14"/>
  <c r="E5" i="8"/>
  <c r="E9" i="8" s="1"/>
  <c r="E14" i="8" s="1"/>
  <c r="E20" i="8"/>
  <c r="E25" i="8" s="1"/>
  <c r="E30" i="8" s="1"/>
  <c r="D39" i="8"/>
  <c r="D44" i="8" s="1"/>
  <c r="D36" i="8"/>
  <c r="D40" i="8" s="1"/>
  <c r="D45" i="8" s="1"/>
  <c r="F51" i="8"/>
  <c r="F56" i="8" s="1"/>
  <c r="E20" i="9"/>
  <c r="E34" i="10"/>
  <c r="G32" i="14"/>
  <c r="C23" i="15"/>
  <c r="D6" i="13"/>
  <c r="D7" i="13" s="1"/>
  <c r="D8" i="13" s="1"/>
  <c r="D9" i="13" s="1"/>
  <c r="E6" i="13"/>
  <c r="E7" i="13" s="1"/>
  <c r="E8" i="13" s="1"/>
  <c r="E9" i="13" s="1"/>
  <c r="F65" i="8" l="1"/>
  <c r="B25" i="15"/>
  <c r="C50" i="13"/>
  <c r="F28" i="14"/>
  <c r="D59" i="11"/>
  <c r="D65" i="5"/>
  <c r="D28" i="11"/>
  <c r="C65" i="6"/>
  <c r="D7" i="11"/>
  <c r="D3" i="14" s="1"/>
  <c r="E12" i="11"/>
  <c r="F67" i="4"/>
  <c r="C34" i="14"/>
  <c r="E65" i="5"/>
  <c r="D65" i="7"/>
  <c r="C65" i="5"/>
  <c r="C7" i="11"/>
  <c r="C3" i="14" s="1"/>
  <c r="C56" i="11"/>
  <c r="C13" i="14" s="1"/>
  <c r="E38" i="11"/>
  <c r="E5" i="12" s="1"/>
  <c r="F65" i="5"/>
  <c r="D12" i="11"/>
  <c r="G67" i="8"/>
  <c r="G66" i="8" s="1"/>
  <c r="C28" i="11"/>
  <c r="E43" i="11"/>
  <c r="E65" i="7"/>
  <c r="F12" i="11"/>
  <c r="E65" i="6"/>
  <c r="G7" i="11"/>
  <c r="G3" i="14" s="1"/>
  <c r="E28" i="4"/>
  <c r="E28" i="11" s="1"/>
  <c r="C51" i="11"/>
  <c r="C50" i="11" s="1"/>
  <c r="E23" i="11"/>
  <c r="E4" i="14" s="1"/>
  <c r="D3" i="15" s="1"/>
  <c r="G5" i="11"/>
  <c r="G4" i="11" s="1"/>
  <c r="F65" i="9"/>
  <c r="D23" i="11"/>
  <c r="D4" i="12" s="1"/>
  <c r="C23" i="11"/>
  <c r="C4" i="14" s="1"/>
  <c r="B3" i="15" s="1"/>
  <c r="C67" i="3"/>
  <c r="E7" i="11"/>
  <c r="E3" i="14" s="1"/>
  <c r="F65" i="2"/>
  <c r="D36" i="11"/>
  <c r="D35" i="11" s="1"/>
  <c r="F65" i="3"/>
  <c r="G43" i="11"/>
  <c r="D67" i="7"/>
  <c r="C12" i="11"/>
  <c r="G12" i="11"/>
  <c r="G67" i="4"/>
  <c r="C28" i="14"/>
  <c r="G38" i="11"/>
  <c r="G5" i="14" s="1"/>
  <c r="F4" i="15" s="1"/>
  <c r="F7" i="11"/>
  <c r="F3" i="14" s="1"/>
  <c r="D25" i="15"/>
  <c r="E33" i="14"/>
  <c r="E34" i="14" s="1"/>
  <c r="E50" i="13"/>
  <c r="C25" i="15"/>
  <c r="D50" i="13"/>
  <c r="I10" i="13"/>
  <c r="D33" i="14"/>
  <c r="D34" i="14" s="1"/>
  <c r="G36" i="11"/>
  <c r="G35" i="11" s="1"/>
  <c r="G40" i="9"/>
  <c r="E67" i="3"/>
  <c r="E66" i="3" s="1"/>
  <c r="E61" i="3"/>
  <c r="F40" i="9"/>
  <c r="F36" i="11"/>
  <c r="F35" i="11" s="1"/>
  <c r="G23" i="11"/>
  <c r="G65" i="4"/>
  <c r="G28" i="4"/>
  <c r="G28" i="11" s="1"/>
  <c r="D38" i="11"/>
  <c r="D43" i="4"/>
  <c r="D43" i="11" s="1"/>
  <c r="D5" i="11"/>
  <c r="D4" i="11" s="1"/>
  <c r="D67" i="2"/>
  <c r="D61" i="2"/>
  <c r="C67" i="2"/>
  <c r="C61" i="2"/>
  <c r="F59" i="4"/>
  <c r="F59" i="11" s="1"/>
  <c r="F54" i="11"/>
  <c r="F65" i="4"/>
  <c r="F23" i="11"/>
  <c r="F28" i="4"/>
  <c r="F28" i="11" s="1"/>
  <c r="D9" i="11"/>
  <c r="D14" i="9"/>
  <c r="G51" i="11"/>
  <c r="G50" i="11" s="1"/>
  <c r="G56" i="9"/>
  <c r="G67" i="6"/>
  <c r="G66" i="6" s="1"/>
  <c r="C38" i="11"/>
  <c r="C43" i="4"/>
  <c r="C43" i="11" s="1"/>
  <c r="D25" i="9"/>
  <c r="D20" i="11"/>
  <c r="D19" i="11" s="1"/>
  <c r="C5" i="11"/>
  <c r="C4" i="11" s="1"/>
  <c r="C9" i="9"/>
  <c r="E61" i="7"/>
  <c r="E67" i="7"/>
  <c r="F9" i="9"/>
  <c r="F5" i="11"/>
  <c r="F4" i="11" s="1"/>
  <c r="G67" i="7"/>
  <c r="E67" i="8"/>
  <c r="E66" i="8" s="1"/>
  <c r="E61" i="8"/>
  <c r="G67" i="5"/>
  <c r="G66" i="5" s="1"/>
  <c r="G61" i="5"/>
  <c r="F67" i="3"/>
  <c r="F61" i="3"/>
  <c r="F61" i="7"/>
  <c r="F67" i="7"/>
  <c r="F66" i="7" s="1"/>
  <c r="G20" i="11"/>
  <c r="G19" i="11" s="1"/>
  <c r="F51" i="11"/>
  <c r="F50" i="11" s="1"/>
  <c r="F56" i="9"/>
  <c r="G65" i="3"/>
  <c r="C67" i="6"/>
  <c r="C20" i="11"/>
  <c r="C19" i="11" s="1"/>
  <c r="C25" i="9"/>
  <c r="G59" i="2"/>
  <c r="G59" i="11" s="1"/>
  <c r="G65" i="2"/>
  <c r="E40" i="9"/>
  <c r="E36" i="11"/>
  <c r="E35" i="11" s="1"/>
  <c r="G67" i="2"/>
  <c r="F67" i="5"/>
  <c r="C67" i="5"/>
  <c r="F61" i="6"/>
  <c r="F67" i="6"/>
  <c r="F66" i="6" s="1"/>
  <c r="D65" i="2"/>
  <c r="E61" i="4"/>
  <c r="E67" i="4"/>
  <c r="E66" i="4" s="1"/>
  <c r="E9" i="9"/>
  <c r="E5" i="11"/>
  <c r="E4" i="11" s="1"/>
  <c r="D61" i="3"/>
  <c r="D67" i="3"/>
  <c r="F61" i="2"/>
  <c r="F67" i="2"/>
  <c r="C67" i="4"/>
  <c r="C61" i="4"/>
  <c r="E67" i="2"/>
  <c r="E66" i="2" s="1"/>
  <c r="E61" i="2"/>
  <c r="D67" i="8"/>
  <c r="D66" i="8" s="1"/>
  <c r="C59" i="3"/>
  <c r="C65" i="3"/>
  <c r="G67" i="3"/>
  <c r="G61" i="3"/>
  <c r="E67" i="6"/>
  <c r="E61" i="6"/>
  <c r="D6" i="12"/>
  <c r="D6" i="14"/>
  <c r="C5" i="15" s="1"/>
  <c r="C54" i="11"/>
  <c r="C65" i="4"/>
  <c r="C59" i="4"/>
  <c r="F30" i="9"/>
  <c r="F30" i="11" s="1"/>
  <c r="F25" i="11"/>
  <c r="C67" i="8"/>
  <c r="C66" i="8" s="1"/>
  <c r="D67" i="5"/>
  <c r="C36" i="11"/>
  <c r="C35" i="11" s="1"/>
  <c r="C40" i="9"/>
  <c r="G6" i="12"/>
  <c r="G6" i="14"/>
  <c r="F5" i="15" s="1"/>
  <c r="G30" i="9"/>
  <c r="G30" i="11" s="1"/>
  <c r="G25" i="11"/>
  <c r="E25" i="15"/>
  <c r="F50" i="13"/>
  <c r="F33" i="14"/>
  <c r="F34" i="14" s="1"/>
  <c r="F25" i="15"/>
  <c r="G50" i="13"/>
  <c r="G33" i="14"/>
  <c r="G34" i="14" s="1"/>
  <c r="D56" i="9"/>
  <c r="D51" i="11"/>
  <c r="D50" i="11" s="1"/>
  <c r="D40" i="11"/>
  <c r="D45" i="9"/>
  <c r="D45" i="11" s="1"/>
  <c r="E59" i="11"/>
  <c r="G9" i="11"/>
  <c r="G14" i="9"/>
  <c r="E20" i="11"/>
  <c r="E19" i="11" s="1"/>
  <c r="E25" i="9"/>
  <c r="G28" i="14"/>
  <c r="E51" i="11"/>
  <c r="E50" i="11" s="1"/>
  <c r="E56" i="9"/>
  <c r="F38" i="11"/>
  <c r="F43" i="4"/>
  <c r="F43" i="11" s="1"/>
  <c r="E6" i="14"/>
  <c r="D5" i="15" s="1"/>
  <c r="E6" i="12"/>
  <c r="C67" i="7"/>
  <c r="C66" i="7" s="1"/>
  <c r="C61" i="7"/>
  <c r="F20" i="11"/>
  <c r="F19" i="11" s="1"/>
  <c r="D67" i="4"/>
  <c r="G65" i="7"/>
  <c r="F67" i="8"/>
  <c r="F66" i="8" s="1"/>
  <c r="F61" i="8"/>
  <c r="D67" i="6"/>
  <c r="D61" i="6"/>
  <c r="C65" i="2"/>
  <c r="E67" i="5"/>
  <c r="E66" i="5" s="1"/>
  <c r="D4" i="14" l="1"/>
  <c r="C3" i="15" s="1"/>
  <c r="C66" i="6"/>
  <c r="F66" i="5"/>
  <c r="D3" i="12"/>
  <c r="E5" i="14"/>
  <c r="D4" i="15" s="1"/>
  <c r="C3" i="12"/>
  <c r="F66" i="4"/>
  <c r="C55" i="11"/>
  <c r="E4" i="12"/>
  <c r="C61" i="11"/>
  <c r="D65" i="11"/>
  <c r="D66" i="7"/>
  <c r="G5" i="12"/>
  <c r="E66" i="6"/>
  <c r="C12" i="12"/>
  <c r="C66" i="5"/>
  <c r="G3" i="12"/>
  <c r="D44" i="11"/>
  <c r="E66" i="7"/>
  <c r="F3" i="12"/>
  <c r="F66" i="2"/>
  <c r="G65" i="11"/>
  <c r="E65" i="11"/>
  <c r="C66" i="3"/>
  <c r="E3" i="12"/>
  <c r="F29" i="11"/>
  <c r="G66" i="4"/>
  <c r="F66" i="3"/>
  <c r="C4" i="12"/>
  <c r="C59" i="11"/>
  <c r="G66" i="3"/>
  <c r="G29" i="11"/>
  <c r="C45" i="9"/>
  <c r="C45" i="11" s="1"/>
  <c r="C44" i="11" s="1"/>
  <c r="C40" i="11"/>
  <c r="C67" i="9"/>
  <c r="C66" i="9" s="1"/>
  <c r="F6" i="12"/>
  <c r="F6" i="14"/>
  <c r="E5" i="15" s="1"/>
  <c r="F65" i="11"/>
  <c r="D66" i="4"/>
  <c r="G71" i="4"/>
  <c r="G72" i="4" s="1"/>
  <c r="F5" i="14"/>
  <c r="E4" i="15" s="1"/>
  <c r="F5" i="12"/>
  <c r="E40" i="11"/>
  <c r="E45" i="9"/>
  <c r="E45" i="11" s="1"/>
  <c r="E44" i="11" s="1"/>
  <c r="E69" i="6"/>
  <c r="D66" i="6"/>
  <c r="E30" i="9"/>
  <c r="E30" i="11" s="1"/>
  <c r="E29" i="11" s="1"/>
  <c r="E25" i="11"/>
  <c r="D39" i="11"/>
  <c r="D12" i="14"/>
  <c r="D11" i="12"/>
  <c r="E2" i="15"/>
  <c r="D2" i="15"/>
  <c r="D5" i="14"/>
  <c r="C4" i="15" s="1"/>
  <c r="D5" i="12"/>
  <c r="I33" i="14"/>
  <c r="G24" i="11"/>
  <c r="G11" i="14"/>
  <c r="G10" i="12"/>
  <c r="C14" i="9"/>
  <c r="C9" i="11"/>
  <c r="C2" i="15"/>
  <c r="G14" i="11"/>
  <c r="G13" i="11"/>
  <c r="D61" i="9"/>
  <c r="D61" i="11" s="1"/>
  <c r="D60" i="11" s="1"/>
  <c r="D56" i="11"/>
  <c r="D67" i="9"/>
  <c r="F11" i="14"/>
  <c r="F10" i="12"/>
  <c r="F24" i="11"/>
  <c r="C66" i="4"/>
  <c r="B2" i="15"/>
  <c r="G67" i="9"/>
  <c r="G66" i="9" s="1"/>
  <c r="G56" i="11"/>
  <c r="G61" i="9"/>
  <c r="G61" i="11" s="1"/>
  <c r="G60" i="11" s="1"/>
  <c r="F70" i="7"/>
  <c r="F61" i="9"/>
  <c r="F61" i="11" s="1"/>
  <c r="F60" i="11" s="1"/>
  <c r="F67" i="9"/>
  <c r="F66" i="9" s="1"/>
  <c r="F56" i="11"/>
  <c r="G4" i="14"/>
  <c r="F3" i="15" s="1"/>
  <c r="G4" i="12"/>
  <c r="G54" i="13"/>
  <c r="D30" i="9"/>
  <c r="D30" i="11" s="1"/>
  <c r="D29" i="11" s="1"/>
  <c r="D25" i="11"/>
  <c r="D14" i="11"/>
  <c r="D13" i="11"/>
  <c r="D8" i="11"/>
  <c r="D9" i="12"/>
  <c r="D10" i="14"/>
  <c r="C66" i="2"/>
  <c r="F40" i="11"/>
  <c r="F45" i="9"/>
  <c r="F45" i="11" s="1"/>
  <c r="F44" i="11" s="1"/>
  <c r="G9" i="12"/>
  <c r="G10" i="14"/>
  <c r="G8" i="11"/>
  <c r="G66" i="7"/>
  <c r="D66" i="3"/>
  <c r="G71" i="3"/>
  <c r="C25" i="11"/>
  <c r="C30" i="9"/>
  <c r="C30" i="11" s="1"/>
  <c r="C29" i="11" s="1"/>
  <c r="C65" i="11"/>
  <c r="C6" i="14"/>
  <c r="B5" i="15" s="1"/>
  <c r="C6" i="12"/>
  <c r="E61" i="9"/>
  <c r="E61" i="11" s="1"/>
  <c r="E60" i="11" s="1"/>
  <c r="E56" i="11"/>
  <c r="E67" i="9"/>
  <c r="E66" i="9" s="1"/>
  <c r="B12" i="15"/>
  <c r="G66" i="2"/>
  <c r="F4" i="12"/>
  <c r="F4" i="14"/>
  <c r="E3" i="15" s="1"/>
  <c r="D66" i="2"/>
  <c r="G70" i="2"/>
  <c r="C5" i="14"/>
  <c r="B4" i="15" s="1"/>
  <c r="A1" i="12"/>
  <c r="C5" i="12"/>
  <c r="D66" i="5"/>
  <c r="G70" i="5"/>
  <c r="E9" i="11"/>
  <c r="E14" i="9"/>
  <c r="F9" i="11"/>
  <c r="F14" i="9"/>
  <c r="F2" i="15"/>
  <c r="G40" i="11"/>
  <c r="G45" i="9"/>
  <c r="G45" i="11" s="1"/>
  <c r="G44" i="11" s="1"/>
  <c r="D7" i="12" l="1"/>
  <c r="E47" i="14"/>
  <c r="D6" i="15"/>
  <c r="E7" i="14"/>
  <c r="C60" i="11"/>
  <c r="E7" i="12"/>
  <c r="G7" i="12"/>
  <c r="F7" i="12"/>
  <c r="C47" i="14"/>
  <c r="C6" i="15"/>
  <c r="C7" i="12"/>
  <c r="D7" i="14"/>
  <c r="C21" i="14"/>
  <c r="E14" i="11"/>
  <c r="E13" i="11"/>
  <c r="F11" i="12"/>
  <c r="F39" i="11"/>
  <c r="F12" i="14"/>
  <c r="B6" i="15"/>
  <c r="C11" i="15"/>
  <c r="C18" i="15" s="1"/>
  <c r="D20" i="14"/>
  <c r="D47" i="14"/>
  <c r="E9" i="12"/>
  <c r="E10" i="14"/>
  <c r="E8" i="11"/>
  <c r="C11" i="14"/>
  <c r="C10" i="12"/>
  <c r="C24" i="11"/>
  <c r="C9" i="15"/>
  <c r="D18" i="14"/>
  <c r="E11" i="14"/>
  <c r="E10" i="12"/>
  <c r="E24" i="11"/>
  <c r="F13" i="14"/>
  <c r="F12" i="12"/>
  <c r="F55" i="11"/>
  <c r="F67" i="11"/>
  <c r="F66" i="11" s="1"/>
  <c r="C8" i="11"/>
  <c r="C10" i="14"/>
  <c r="C9" i="12"/>
  <c r="F6" i="15"/>
  <c r="E10" i="15"/>
  <c r="E17" i="15" s="1"/>
  <c r="F19" i="14"/>
  <c r="C14" i="11"/>
  <c r="C13" i="11"/>
  <c r="G11" i="12"/>
  <c r="G39" i="11"/>
  <c r="G12" i="14"/>
  <c r="G7" i="14"/>
  <c r="F9" i="15"/>
  <c r="G18" i="14"/>
  <c r="G55" i="11"/>
  <c r="G13" i="14"/>
  <c r="G12" i="12"/>
  <c r="G67" i="11"/>
  <c r="G66" i="11" s="1"/>
  <c r="F10" i="15"/>
  <c r="F17" i="15" s="1"/>
  <c r="G19" i="14"/>
  <c r="E6" i="15"/>
  <c r="E39" i="11"/>
  <c r="E12" i="14"/>
  <c r="E11" i="12"/>
  <c r="C39" i="11"/>
  <c r="C12" i="14"/>
  <c r="C11" i="12"/>
  <c r="C67" i="11"/>
  <c r="C66" i="11" s="1"/>
  <c r="G47" i="14"/>
  <c r="E13" i="14"/>
  <c r="E12" i="12"/>
  <c r="E67" i="11"/>
  <c r="E66" i="11" s="1"/>
  <c r="E55" i="11"/>
  <c r="D66" i="9"/>
  <c r="G70" i="9"/>
  <c r="D11" i="14"/>
  <c r="D10" i="12"/>
  <c r="D24" i="11"/>
  <c r="D13" i="14"/>
  <c r="D12" i="12"/>
  <c r="D67" i="11"/>
  <c r="D55" i="11"/>
  <c r="F47" i="14"/>
  <c r="F14" i="11"/>
  <c r="F13" i="11"/>
  <c r="F8" i="11"/>
  <c r="F9" i="12"/>
  <c r="F10" i="14"/>
  <c r="C7" i="14"/>
  <c r="F7" i="14"/>
  <c r="D13" i="12" l="1"/>
  <c r="G13" i="12"/>
  <c r="D48" i="14"/>
  <c r="G14" i="14"/>
  <c r="G22" i="14" s="1"/>
  <c r="C12" i="15"/>
  <c r="C19" i="15" s="1"/>
  <c r="D21" i="14"/>
  <c r="C14" i="14"/>
  <c r="C22" i="14" s="1"/>
  <c r="C48" i="14"/>
  <c r="C18" i="14"/>
  <c r="B9" i="15"/>
  <c r="D14" i="14"/>
  <c r="D22" i="14" s="1"/>
  <c r="E13" i="12"/>
  <c r="E9" i="15"/>
  <c r="F18" i="14"/>
  <c r="F48" i="14"/>
  <c r="F14" i="14"/>
  <c r="F22" i="14" s="1"/>
  <c r="F11" i="15"/>
  <c r="F18" i="15" s="1"/>
  <c r="G20" i="14"/>
  <c r="I21" i="14"/>
  <c r="C16" i="15"/>
  <c r="D11" i="15"/>
  <c r="D18" i="15" s="1"/>
  <c r="E20" i="14"/>
  <c r="F13" i="12"/>
  <c r="C10" i="15"/>
  <c r="C17" i="15" s="1"/>
  <c r="D19" i="14"/>
  <c r="C20" i="14"/>
  <c r="B11" i="15"/>
  <c r="B18" i="15" s="1"/>
  <c r="F12" i="15"/>
  <c r="F19" i="15" s="1"/>
  <c r="G21" i="14"/>
  <c r="E12" i="15"/>
  <c r="E19" i="15" s="1"/>
  <c r="F21" i="14"/>
  <c r="E11" i="15"/>
  <c r="E18" i="15" s="1"/>
  <c r="F20" i="14"/>
  <c r="B10" i="15"/>
  <c r="B17" i="15" s="1"/>
  <c r="C19" i="14"/>
  <c r="E71" i="11"/>
  <c r="D66" i="11"/>
  <c r="F16" i="15"/>
  <c r="D12" i="15"/>
  <c r="D19" i="15" s="1"/>
  <c r="E21" i="14"/>
  <c r="G48" i="14"/>
  <c r="C13" i="12"/>
  <c r="E19" i="14"/>
  <c r="D10" i="15"/>
  <c r="D17" i="15" s="1"/>
  <c r="D9" i="15"/>
  <c r="E18" i="14"/>
  <c r="E48" i="14"/>
  <c r="E14" i="14"/>
  <c r="E22" i="14" s="1"/>
  <c r="G17" i="12" l="1"/>
  <c r="I51" i="14"/>
  <c r="E13" i="15"/>
  <c r="E16" i="15"/>
  <c r="F13" i="15"/>
  <c r="C13" i="15"/>
  <c r="B16" i="15"/>
  <c r="B13" i="15"/>
  <c r="D13" i="15"/>
  <c r="D1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C00-000001000000}">
      <text>
        <r>
          <rPr>
            <sz val="10"/>
            <color rgb="FF000000"/>
            <rFont val="Arial"/>
            <family val="2"/>
            <scheme val="minor"/>
          </rPr>
          <t>Includes 400 samples from Q3
	-Marcus Hausch</t>
        </r>
      </text>
    </comment>
  </commentList>
</comments>
</file>

<file path=xl/sharedStrings.xml><?xml version="1.0" encoding="utf-8"?>
<sst xmlns="http://schemas.openxmlformats.org/spreadsheetml/2006/main" count="924" uniqueCount="136">
  <si>
    <t>forecast</t>
  </si>
  <si>
    <t>Q4 2023</t>
  </si>
  <si>
    <t>Q1 2024</t>
  </si>
  <si>
    <t>Q2 2024</t>
  </si>
  <si>
    <t>Q3 2024</t>
  </si>
  <si>
    <t>Q4 2024</t>
  </si>
  <si>
    <t>Country</t>
  </si>
  <si>
    <t>G360 CDx/74 genes sample volume forecast</t>
  </si>
  <si>
    <t xml:space="preserve">Average Revenue per Case - G360 CDx/74 </t>
  </si>
  <si>
    <t xml:space="preserve">Revenue per quarter - G360 CDx/74 </t>
  </si>
  <si>
    <t>IMT</t>
  </si>
  <si>
    <t>Difference</t>
  </si>
  <si>
    <t>G360  83/S3  genes sample volume forecast</t>
  </si>
  <si>
    <t xml:space="preserve">Average Revenue per Case - G360  84 genes </t>
  </si>
  <si>
    <t xml:space="preserve">Revenue per quarter - G360  84 genes </t>
  </si>
  <si>
    <t>Reveal/Reveal Infinity sample volume forecast</t>
  </si>
  <si>
    <t>Average Revenue per Case -  Reveal</t>
  </si>
  <si>
    <t xml:space="preserve"> Revenue per quarter Reveal</t>
  </si>
  <si>
    <t>Shield volume forecast</t>
  </si>
  <si>
    <t>Average Revenue per Case -Shield</t>
  </si>
  <si>
    <t xml:space="preserve">Revenue per quarter  Shield </t>
  </si>
  <si>
    <t>Total</t>
  </si>
  <si>
    <t xml:space="preserve"> Total volume</t>
  </si>
  <si>
    <t xml:space="preserve">Total arc </t>
  </si>
  <si>
    <t>Total revenue</t>
  </si>
  <si>
    <t>Total UK 2024</t>
  </si>
  <si>
    <t>GBP</t>
  </si>
  <si>
    <t>USD</t>
  </si>
  <si>
    <t>Q2 2022</t>
  </si>
  <si>
    <t>Q3 202</t>
  </si>
  <si>
    <t>2024 5QRF revenue</t>
  </si>
  <si>
    <t xml:space="preserve">2023 currency rates from finance </t>
  </si>
  <si>
    <t>GBP/USD</t>
  </si>
  <si>
    <t>EUR/USD</t>
  </si>
  <si>
    <t>Total of the IMT</t>
  </si>
  <si>
    <t xml:space="preserve">Total 2024 Commercial forecast </t>
  </si>
  <si>
    <t>Commercial</t>
  </si>
  <si>
    <t>G360 CDx/74 genes revenue</t>
  </si>
  <si>
    <t>G360  83/S3  genes revenue</t>
  </si>
  <si>
    <t>Reveal/Reveal Infinity revenue</t>
  </si>
  <si>
    <t>Shield revenue</t>
  </si>
  <si>
    <t>Total 2024 Commercial + ISTs</t>
  </si>
  <si>
    <t>Profit Partnership</t>
  </si>
  <si>
    <t>Revenue GH from profit share</t>
  </si>
  <si>
    <t>Total Revenue forecast - GBP</t>
  </si>
  <si>
    <t>Toral revenue forecast - USD</t>
  </si>
  <si>
    <t>RM 2024 - USD</t>
  </si>
  <si>
    <t>Inputs</t>
  </si>
  <si>
    <t>Assay fee</t>
  </si>
  <si>
    <t>Threshold for profit sharing</t>
  </si>
  <si>
    <t>Time periode to calculate the annual profit share</t>
  </si>
  <si>
    <t>Q3 - end of Q1</t>
  </si>
  <si>
    <t>Assumption Sample volume Q3 2023</t>
  </si>
  <si>
    <t>Percentahe of GH revenue based on ASP and volume</t>
  </si>
  <si>
    <t>Currency rate</t>
  </si>
  <si>
    <t>Total PPP reveneue</t>
  </si>
  <si>
    <t>Commercial Sample Volume</t>
  </si>
  <si>
    <t>Commercial/Clinical</t>
  </si>
  <si>
    <t>Commercial Revenue from RWC</t>
  </si>
  <si>
    <t>2024 Commercial</t>
  </si>
  <si>
    <t>Revenue comparison to the last 5 QRF</t>
  </si>
  <si>
    <t>Q4 2023E</t>
  </si>
  <si>
    <t>$ 922.139</t>
  </si>
  <si>
    <t>$ 809.642</t>
  </si>
  <si>
    <t>$ 916.016</t>
  </si>
  <si>
    <t>$ 977.965</t>
  </si>
  <si>
    <t>$ 185.067</t>
  </si>
  <si>
    <t>$ 194.268</t>
  </si>
  <si>
    <t>$ 232.426</t>
  </si>
  <si>
    <t>$ 277.568</t>
  </si>
  <si>
    <t>$ 110.904</t>
  </si>
  <si>
    <t>$ 141.046</t>
  </si>
  <si>
    <t>$ 183.502</t>
  </si>
  <si>
    <t>$ 227.758</t>
  </si>
  <si>
    <t>Commercial ASP</t>
  </si>
  <si>
    <t>G360 CDx/74 genes ASP</t>
  </si>
  <si>
    <t>G360  83/S3  genes ASP</t>
  </si>
  <si>
    <t>Reveal/Reveal Infinity ASP</t>
  </si>
  <si>
    <t>Shield volume ASP</t>
  </si>
  <si>
    <t>ASP across all product</t>
  </si>
  <si>
    <t>Sample Volume PPPs</t>
  </si>
  <si>
    <t>PPP</t>
  </si>
  <si>
    <t>VHIO PPP</t>
  </si>
  <si>
    <t>RM PPP</t>
  </si>
  <si>
    <t>Total Sample Volume PPP</t>
  </si>
  <si>
    <t>Revenue from PPPs</t>
  </si>
  <si>
    <t>Total PPP Revenue</t>
  </si>
  <si>
    <t>Sample Volume ISTs</t>
  </si>
  <si>
    <t>ISTS</t>
  </si>
  <si>
    <t>Paid ISTs</t>
  </si>
  <si>
    <t>Unpaid ISTs</t>
  </si>
  <si>
    <t>Total Sample Volume</t>
  </si>
  <si>
    <t>Revenue from ISTs</t>
  </si>
  <si>
    <t>Total Revenue</t>
  </si>
  <si>
    <t>2024 forecast</t>
  </si>
  <si>
    <t>Biopharma</t>
  </si>
  <si>
    <t>Uk</t>
  </si>
  <si>
    <t>Spain</t>
  </si>
  <si>
    <t>GER</t>
  </si>
  <si>
    <t>Italy</t>
  </si>
  <si>
    <t>F</t>
  </si>
  <si>
    <t>LATAM</t>
  </si>
  <si>
    <t>G360 CDx/74 genes revenue forecast</t>
  </si>
  <si>
    <t>G360  83/S3  genes revenue forecast</t>
  </si>
  <si>
    <t>Reveal/Reveal Infinity revenue forecast</t>
  </si>
  <si>
    <t>Shield revenue  forecast</t>
  </si>
  <si>
    <t>G360 CDx/74 ASP</t>
  </si>
  <si>
    <t>G360  83/S3  ASP</t>
  </si>
  <si>
    <t>Shield revenue  ASP</t>
  </si>
  <si>
    <t>RM PPP sample volume</t>
  </si>
  <si>
    <t>VHIO PPP sample volume</t>
  </si>
  <si>
    <t xml:space="preserve">RM PPP revenue </t>
  </si>
  <si>
    <t>VHIO PPP revenue</t>
  </si>
  <si>
    <t>Opportunities</t>
  </si>
  <si>
    <t>UK - Higher volumes from RM (currently 5650 samples in 2024)</t>
  </si>
  <si>
    <t>Additional 1,500 samples from RM if second lab is delayed or RM get awarded more than 50% of the expected 10.000 samples - Impact up to $1.25M. Additional $250K from the private market due to upsides for both volumes and ASP</t>
  </si>
  <si>
    <t>F - Higher ASP than €1,100</t>
  </si>
  <si>
    <t>ASP of €1,300 leading to incremental €100K</t>
  </si>
  <si>
    <t>SP - Reimbursement in Catalonia or other region in H2</t>
  </si>
  <si>
    <t>100 samples per quarter - Total upside of $250K</t>
  </si>
  <si>
    <t>IT - Gemelli PPP going live in Q4 2024</t>
  </si>
  <si>
    <t>300 samples x €550 = $175K</t>
  </si>
  <si>
    <t>Canada - Quebec hopsital deal</t>
  </si>
  <si>
    <t>100 samples per quarter across the portfolio with an ASP of $1,800 - $720K for the full year</t>
  </si>
  <si>
    <t>Risks</t>
  </si>
  <si>
    <t xml:space="preserve">NHS EOI awarded to other lab </t>
  </si>
  <si>
    <t>Impact - $4M</t>
  </si>
  <si>
    <t>NHS ctDNA NGTD incorporation delayed to end of Q3</t>
  </si>
  <si>
    <t>750 samples in Q2/Q3 - Potential impact $600K</t>
  </si>
  <si>
    <t>NHS NGTD pricing for NSCLC- Less favorable pricing due to Marsden 360 performing less well than in the pilot</t>
  </si>
  <si>
    <t>Pricing of GBP 1,200 vs GBP 1,400 in the base line plan- Potential impact $700K</t>
  </si>
  <si>
    <t>Ability to hire contry managers in Italy &amp; France before mid- 2024</t>
  </si>
  <si>
    <t>Impact - €300K</t>
  </si>
  <si>
    <t>Reveal Infinity sample volume forecast</t>
  </si>
  <si>
    <t>G360 CDx/ 74 genes sample volume forecast</t>
  </si>
  <si>
    <t>G360  84 /S3  genes sample volume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</si>
</sst>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[$$-409]* #,##0.00_);_([$$-409]* \(#,##0.00\);_([$$-409]* &quot;-&quot;??_);_(@_)"/>
    <numFmt numFmtId="165" formatCode="[$$]#,##0.00"/>
    <numFmt numFmtId="166" formatCode="_([$€-2]\ * #,##0.00_);_([$€-2]\ * \(#,##0.00\);_([$€-2]\ * &quot;-&quot;??_);_(@_)"/>
    <numFmt numFmtId="167" formatCode="_-[$£-809]* #,##0.00_-;\-[$£-809]* #,##0.00_-;_-[$£-809]* &quot;-&quot;??_-;_-@"/>
    <numFmt numFmtId="168" formatCode="#,##0.00\ [$€-1]"/>
    <numFmt numFmtId="169" formatCode="_-[$£-809]* #,##0_-;\-[$£-809]* #,##0_-;_-[$£-809]* &quot;-&quot;??_-;_-@"/>
    <numFmt numFmtId="170" formatCode="[$$]#,##0"/>
    <numFmt numFmtId="171" formatCode="#,##0\ [$€-1]"/>
    <numFmt numFmtId="172" formatCode="[$£]#,##0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9"/>
      <color rgb="FF1155CC"/>
      <name val="&quot;Google Sans Mono&quot;"/>
    </font>
    <font>
      <sz val="14"/>
      <color rgb="FF1155CC"/>
      <name val="Calibri"/>
      <family val="2"/>
    </font>
    <font>
      <sz val="10"/>
      <color rgb="FF000000"/>
      <name val="Arial"/>
      <family val="2"/>
    </font>
    <font>
      <sz val="9"/>
      <color rgb="FF000000"/>
      <name val="&quot;Google Sans Mono&quot;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5E5E5"/>
        <bgColor rgb="FFE5E5E5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2F5496"/>
        <bgColor rgb="FF2F5496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4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7" xfId="0" applyFont="1" applyBorder="1"/>
    <xf numFmtId="165" fontId="5" fillId="0" borderId="7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4" fillId="0" borderId="9" xfId="0" applyFont="1" applyBorder="1"/>
    <xf numFmtId="165" fontId="5" fillId="0" borderId="9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4" fillId="0" borderId="0" xfId="0" applyFont="1"/>
    <xf numFmtId="0" fontId="5" fillId="0" borderId="7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7" fillId="5" borderId="4" xfId="0" applyFont="1" applyFill="1" applyBorder="1" applyAlignment="1">
      <alignment horizontal="right"/>
    </xf>
    <xf numFmtId="166" fontId="2" fillId="0" borderId="0" xfId="0" applyNumberFormat="1" applyFont="1"/>
    <xf numFmtId="167" fontId="5" fillId="0" borderId="7" xfId="0" applyNumberFormat="1" applyFont="1" applyBorder="1" applyAlignment="1">
      <alignment horizontal="right"/>
    </xf>
    <xf numFmtId="167" fontId="5" fillId="0" borderId="1" xfId="0" applyNumberFormat="1" applyFont="1" applyBorder="1" applyAlignment="1">
      <alignment horizontal="right"/>
    </xf>
    <xf numFmtId="4" fontId="5" fillId="0" borderId="4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8" fillId="0" borderId="7" xfId="0" applyFont="1" applyBorder="1"/>
    <xf numFmtId="165" fontId="7" fillId="5" borderId="7" xfId="0" applyNumberFormat="1" applyFont="1" applyFill="1" applyBorder="1" applyAlignment="1">
      <alignment horizontal="right"/>
    </xf>
    <xf numFmtId="0" fontId="8" fillId="0" borderId="9" xfId="0" applyFont="1" applyBorder="1"/>
    <xf numFmtId="0" fontId="2" fillId="0" borderId="7" xfId="0" applyFont="1" applyBorder="1"/>
    <xf numFmtId="0" fontId="7" fillId="5" borderId="2" xfId="0" applyFont="1" applyFill="1" applyBorder="1" applyAlignment="1">
      <alignment horizontal="right"/>
    </xf>
    <xf numFmtId="165" fontId="7" fillId="5" borderId="1" xfId="0" applyNumberFormat="1" applyFont="1" applyFill="1" applyBorder="1" applyAlignment="1">
      <alignment horizontal="right"/>
    </xf>
    <xf numFmtId="165" fontId="7" fillId="5" borderId="9" xfId="0" applyNumberFormat="1" applyFont="1" applyFill="1" applyBorder="1" applyAlignment="1">
      <alignment horizontal="right"/>
    </xf>
    <xf numFmtId="165" fontId="7" fillId="5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5" fillId="0" borderId="7" xfId="0" applyNumberFormat="1" applyFont="1" applyBorder="1" applyAlignment="1">
      <alignment horizontal="right"/>
    </xf>
    <xf numFmtId="164" fontId="2" fillId="0" borderId="0" xfId="0" applyNumberFormat="1" applyFont="1"/>
    <xf numFmtId="164" fontId="5" fillId="0" borderId="7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167" fontId="2" fillId="0" borderId="0" xfId="0" applyNumberFormat="1" applyFont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7" fontId="4" fillId="0" borderId="0" xfId="0" applyNumberFormat="1" applyFont="1" applyAlignment="1">
      <alignment horizontal="right"/>
    </xf>
    <xf numFmtId="165" fontId="9" fillId="0" borderId="0" xfId="0" applyNumberFormat="1" applyFont="1"/>
    <xf numFmtId="4" fontId="2" fillId="0" borderId="0" xfId="0" applyNumberFormat="1" applyFont="1"/>
    <xf numFmtId="0" fontId="8" fillId="0" borderId="0" xfId="0" applyFont="1"/>
    <xf numFmtId="0" fontId="5" fillId="0" borderId="0" xfId="0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5" fillId="0" borderId="7" xfId="0" applyNumberFormat="1" applyFont="1" applyBorder="1" applyAlignment="1">
      <alignment horizontal="right"/>
    </xf>
    <xf numFmtId="168" fontId="5" fillId="0" borderId="1" xfId="0" applyNumberFormat="1" applyFont="1" applyBorder="1" applyAlignment="1">
      <alignment horizontal="right"/>
    </xf>
    <xf numFmtId="168" fontId="5" fillId="0" borderId="9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4" fontId="7" fillId="5" borderId="4" xfId="0" applyNumberFormat="1" applyFont="1" applyFill="1" applyBorder="1" applyAlignment="1">
      <alignment horizontal="right"/>
    </xf>
    <xf numFmtId="168" fontId="7" fillId="5" borderId="7" xfId="0" applyNumberFormat="1" applyFont="1" applyFill="1" applyBorder="1" applyAlignment="1">
      <alignment horizontal="right"/>
    </xf>
    <xf numFmtId="4" fontId="7" fillId="5" borderId="2" xfId="0" applyNumberFormat="1" applyFont="1" applyFill="1" applyBorder="1" applyAlignment="1">
      <alignment horizontal="right"/>
    </xf>
    <xf numFmtId="168" fontId="7" fillId="5" borderId="1" xfId="0" applyNumberFormat="1" applyFont="1" applyFill="1" applyBorder="1" applyAlignment="1">
      <alignment horizontal="right"/>
    </xf>
    <xf numFmtId="168" fontId="7" fillId="5" borderId="9" xfId="0" applyNumberFormat="1" applyFont="1" applyFill="1" applyBorder="1" applyAlignment="1">
      <alignment horizontal="right"/>
    </xf>
    <xf numFmtId="168" fontId="7" fillId="5" borderId="3" xfId="0" applyNumberFormat="1" applyFont="1" applyFill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168" fontId="4" fillId="0" borderId="7" xfId="0" applyNumberFormat="1" applyFont="1" applyBorder="1" applyAlignment="1">
      <alignment horizontal="right"/>
    </xf>
    <xf numFmtId="168" fontId="4" fillId="0" borderId="9" xfId="0" applyNumberFormat="1" applyFont="1" applyBorder="1" applyAlignment="1">
      <alignment horizontal="right"/>
    </xf>
    <xf numFmtId="168" fontId="2" fillId="0" borderId="0" xfId="0" applyNumberFormat="1" applyFont="1"/>
    <xf numFmtId="167" fontId="5" fillId="0" borderId="9" xfId="0" applyNumberFormat="1" applyFont="1" applyBorder="1" applyAlignment="1">
      <alignment horizontal="right"/>
    </xf>
    <xf numFmtId="167" fontId="5" fillId="0" borderId="3" xfId="0" applyNumberFormat="1" applyFont="1" applyBorder="1" applyAlignment="1">
      <alignment horizontal="right"/>
    </xf>
    <xf numFmtId="167" fontId="5" fillId="0" borderId="4" xfId="0" applyNumberFormat="1" applyFont="1" applyBorder="1" applyAlignment="1">
      <alignment horizontal="right"/>
    </xf>
    <xf numFmtId="167" fontId="5" fillId="0" borderId="2" xfId="0" applyNumberFormat="1" applyFont="1" applyBorder="1" applyAlignment="1">
      <alignment horizontal="right"/>
    </xf>
    <xf numFmtId="167" fontId="7" fillId="5" borderId="7" xfId="0" applyNumberFormat="1" applyFont="1" applyFill="1" applyBorder="1" applyAlignment="1">
      <alignment horizontal="right"/>
    </xf>
    <xf numFmtId="167" fontId="7" fillId="5" borderId="1" xfId="0" applyNumberFormat="1" applyFont="1" applyFill="1" applyBorder="1" applyAlignment="1">
      <alignment horizontal="right"/>
    </xf>
    <xf numFmtId="167" fontId="7" fillId="5" borderId="9" xfId="0" applyNumberFormat="1" applyFont="1" applyFill="1" applyBorder="1" applyAlignment="1">
      <alignment horizontal="right"/>
    </xf>
    <xf numFmtId="167" fontId="7" fillId="5" borderId="3" xfId="0" applyNumberFormat="1" applyFont="1" applyFill="1" applyBorder="1" applyAlignment="1">
      <alignment horizontal="right"/>
    </xf>
    <xf numFmtId="167" fontId="4" fillId="0" borderId="7" xfId="0" applyNumberFormat="1" applyFont="1" applyBorder="1" applyAlignment="1">
      <alignment horizontal="right"/>
    </xf>
    <xf numFmtId="167" fontId="4" fillId="0" borderId="9" xfId="0" applyNumberFormat="1" applyFont="1" applyBorder="1" applyAlignment="1">
      <alignment horizontal="right"/>
    </xf>
    <xf numFmtId="169" fontId="2" fillId="0" borderId="0" xfId="0" applyNumberFormat="1" applyFont="1"/>
    <xf numFmtId="170" fontId="2" fillId="0" borderId="0" xfId="0" applyNumberFormat="1" applyFont="1"/>
    <xf numFmtId="165" fontId="2" fillId="0" borderId="0" xfId="0" applyNumberFormat="1" applyFont="1"/>
    <xf numFmtId="49" fontId="5" fillId="0" borderId="4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right"/>
    </xf>
    <xf numFmtId="168" fontId="7" fillId="7" borderId="0" xfId="0" applyNumberFormat="1" applyFont="1" applyFill="1" applyAlignment="1">
      <alignment horizontal="right"/>
    </xf>
    <xf numFmtId="171" fontId="1" fillId="0" borderId="0" xfId="0" applyNumberFormat="1" applyFont="1"/>
    <xf numFmtId="168" fontId="1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0" fontId="11" fillId="5" borderId="0" xfId="0" applyFont="1" applyFill="1" applyAlignment="1">
      <alignment horizontal="left"/>
    </xf>
    <xf numFmtId="165" fontId="5" fillId="0" borderId="11" xfId="0" applyNumberFormat="1" applyFont="1" applyBorder="1" applyAlignment="1">
      <alignment horizontal="right"/>
    </xf>
    <xf numFmtId="0" fontId="4" fillId="0" borderId="6" xfId="0" applyFont="1" applyBorder="1"/>
    <xf numFmtId="165" fontId="7" fillId="5" borderId="11" xfId="0" applyNumberFormat="1" applyFont="1" applyFill="1" applyBorder="1" applyAlignment="1">
      <alignment horizontal="right"/>
    </xf>
    <xf numFmtId="0" fontId="12" fillId="5" borderId="0" xfId="0" applyFont="1" applyFill="1" applyAlignment="1">
      <alignment horizontal="right"/>
    </xf>
    <xf numFmtId="0" fontId="5" fillId="0" borderId="12" xfId="0" applyFont="1" applyBorder="1" applyAlignment="1">
      <alignment horizontal="right"/>
    </xf>
    <xf numFmtId="165" fontId="5" fillId="0" borderId="12" xfId="0" applyNumberFormat="1" applyFont="1" applyBorder="1" applyAlignment="1">
      <alignment horizontal="right"/>
    </xf>
    <xf numFmtId="4" fontId="5" fillId="0" borderId="12" xfId="0" applyNumberFormat="1" applyFont="1" applyBorder="1" applyAlignment="1">
      <alignment horizontal="right"/>
    </xf>
    <xf numFmtId="0" fontId="2" fillId="0" borderId="6" xfId="0" applyFont="1" applyBorder="1"/>
    <xf numFmtId="0" fontId="7" fillId="5" borderId="12" xfId="0" applyFont="1" applyFill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12" xfId="0" applyFont="1" applyBorder="1"/>
    <xf numFmtId="0" fontId="4" fillId="0" borderId="12" xfId="0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0" fontId="4" fillId="8" borderId="4" xfId="0" applyFont="1" applyFill="1" applyBorder="1"/>
    <xf numFmtId="165" fontId="1" fillId="0" borderId="0" xfId="0" applyNumberFormat="1" applyFont="1"/>
    <xf numFmtId="165" fontId="4" fillId="8" borderId="4" xfId="0" applyNumberFormat="1" applyFont="1" applyFill="1" applyBorder="1"/>
    <xf numFmtId="170" fontId="1" fillId="0" borderId="0" xfId="0" applyNumberFormat="1" applyFont="1"/>
    <xf numFmtId="0" fontId="8" fillId="0" borderId="1" xfId="0" applyFont="1" applyBorder="1"/>
    <xf numFmtId="0" fontId="8" fillId="0" borderId="0" xfId="0" applyFont="1" applyAlignment="1">
      <alignment horizontal="right"/>
    </xf>
    <xf numFmtId="172" fontId="8" fillId="0" borderId="0" xfId="0" applyNumberFormat="1" applyFont="1" applyAlignment="1">
      <alignment horizontal="right"/>
    </xf>
    <xf numFmtId="172" fontId="1" fillId="0" borderId="0" xfId="0" applyNumberFormat="1" applyFont="1"/>
    <xf numFmtId="0" fontId="1" fillId="9" borderId="0" xfId="0" applyFont="1" applyFill="1"/>
    <xf numFmtId="170" fontId="1" fillId="9" borderId="0" xfId="0" applyNumberFormat="1" applyFont="1" applyFill="1"/>
    <xf numFmtId="0" fontId="13" fillId="5" borderId="0" xfId="0" applyFont="1" applyFill="1" applyAlignment="1">
      <alignment horizontal="left"/>
    </xf>
    <xf numFmtId="9" fontId="1" fillId="0" borderId="0" xfId="0" applyNumberFormat="1" applyFont="1"/>
    <xf numFmtId="0" fontId="14" fillId="5" borderId="0" xfId="0" applyFont="1" applyFill="1"/>
    <xf numFmtId="171" fontId="1" fillId="9" borderId="0" xfId="0" applyNumberFormat="1" applyFont="1" applyFill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16" fillId="0" borderId="0" xfId="0" applyFont="1"/>
    <xf numFmtId="0" fontId="17" fillId="10" borderId="1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70" fontId="10" fillId="0" borderId="0" xfId="0" applyNumberFormat="1" applyFont="1"/>
    <xf numFmtId="170" fontId="1" fillId="0" borderId="0" xfId="0" applyNumberFormat="1" applyFont="1" applyAlignment="1">
      <alignment horizontal="center"/>
    </xf>
    <xf numFmtId="170" fontId="1" fillId="8" borderId="0" xfId="0" applyNumberFormat="1" applyFont="1" applyFill="1"/>
    <xf numFmtId="0" fontId="1" fillId="0" borderId="0" xfId="0" applyFont="1" applyAlignment="1">
      <alignment wrapText="1"/>
    </xf>
    <xf numFmtId="0" fontId="4" fillId="6" borderId="5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0" borderId="5" xfId="0" applyFont="1" applyBorder="1"/>
    <xf numFmtId="0" fontId="4" fillId="3" borderId="0" xfId="0" applyFont="1" applyFill="1"/>
    <xf numFmtId="1" fontId="5" fillId="0" borderId="4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69" fontId="5" fillId="0" borderId="7" xfId="0" applyNumberFormat="1" applyFont="1" applyBorder="1" applyAlignment="1">
      <alignment horizontal="right"/>
    </xf>
    <xf numFmtId="169" fontId="5" fillId="0" borderId="1" xfId="0" applyNumberFormat="1" applyFont="1" applyBorder="1" applyAlignment="1">
      <alignment horizontal="right"/>
    </xf>
    <xf numFmtId="169" fontId="5" fillId="0" borderId="9" xfId="0" applyNumberFormat="1" applyFont="1" applyBorder="1" applyAlignment="1">
      <alignment horizontal="right"/>
    </xf>
    <xf numFmtId="169" fontId="5" fillId="0" borderId="3" xfId="0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/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6" borderId="5" xfId="0" applyFont="1" applyFill="1" applyBorder="1"/>
    <xf numFmtId="0" fontId="6" fillId="0" borderId="6" xfId="0" applyFont="1" applyBorder="1"/>
    <xf numFmtId="0" fontId="6" fillId="0" borderId="8" xfId="0" applyFont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workbookViewId="0">
      <selection activeCell="F11" sqref="F11"/>
    </sheetView>
  </sheetViews>
  <sheetFormatPr baseColWidth="10" defaultColWidth="12.6640625" defaultRowHeight="15.75" customHeight="1"/>
  <cols>
    <col min="1" max="1" width="35.1640625" customWidth="1"/>
  </cols>
  <sheetData>
    <row r="1" spans="1:6" ht="15.75" customHeight="1">
      <c r="A1" s="1" t="str">
        <f ca="1">IFERROR(__xludf.DUMMYFUNCTION("IMPORTRANGE(""https://docs.google.com/spreadsheets/d/10UYU3y3IjPXZq55W8Vjx-Lk_NCQgyMrPR4v0_SDPsMk/edit#gid=57179977"",""FOC ISTs!A1:F21"")"),"")</f>
        <v/>
      </c>
      <c r="B1" s="1" t="str">
        <f ca="1">IFERROR(__xludf.DUMMYFUNCTION("""COMPUTED_VALUE"""),"forecast")</f>
        <v>forecast</v>
      </c>
      <c r="C1" s="1" t="str">
        <f ca="1">IFERROR(__xludf.DUMMYFUNCTION("""COMPUTED_VALUE"""),"forecast")</f>
        <v>forecast</v>
      </c>
      <c r="D1" s="1" t="str">
        <f ca="1">IFERROR(__xludf.DUMMYFUNCTION("""COMPUTED_VALUE"""),"forecast")</f>
        <v>forecast</v>
      </c>
      <c r="E1" s="1" t="str">
        <f ca="1">IFERROR(__xludf.DUMMYFUNCTION("""COMPUTED_VALUE"""),"forecast")</f>
        <v>forecast</v>
      </c>
      <c r="F1" s="1" t="str">
        <f ca="1">IFERROR(__xludf.DUMMYFUNCTION("""COMPUTED_VALUE"""),"forecast")</f>
        <v>forecast</v>
      </c>
    </row>
    <row r="2" spans="1:6" ht="15.75" customHeight="1">
      <c r="A2" s="1"/>
      <c r="B2" s="1" t="str">
        <f ca="1">IFERROR(__xludf.DUMMYFUNCTION("""COMPUTED_VALUE"""),"Q4 2023")</f>
        <v>Q4 2023</v>
      </c>
      <c r="C2" s="1" t="str">
        <f ca="1">IFERROR(__xludf.DUMMYFUNCTION("""COMPUTED_VALUE"""),"Q1 2024")</f>
        <v>Q1 2024</v>
      </c>
      <c r="D2" s="1" t="str">
        <f ca="1">IFERROR(__xludf.DUMMYFUNCTION("""COMPUTED_VALUE"""),"Q2 2022")</f>
        <v>Q2 2022</v>
      </c>
      <c r="E2" s="1" t="str">
        <f ca="1">IFERROR(__xludf.DUMMYFUNCTION("""COMPUTED_VALUE"""),"Q3 202")</f>
        <v>Q3 202</v>
      </c>
      <c r="F2" s="1" t="str">
        <f ca="1">IFERROR(__xludf.DUMMYFUNCTION("""COMPUTED_VALUE"""),"Q4 2024")</f>
        <v>Q4 2024</v>
      </c>
    </row>
    <row r="3" spans="1:6" ht="15.75" customHeight="1">
      <c r="A3" s="1" t="str">
        <f ca="1">IFERROR(__xludf.DUMMYFUNCTION("""COMPUTED_VALUE"""),"G360 CDx/74 genes sample volume forecast")</f>
        <v>G360 CDx/74 genes sample volume forecast</v>
      </c>
      <c r="B3" s="1">
        <f ca="1">IFERROR(__xludf.DUMMYFUNCTION("""COMPUTED_VALUE"""),105)</f>
        <v>105</v>
      </c>
      <c r="C3" s="1">
        <f ca="1">IFERROR(__xludf.DUMMYFUNCTION("""COMPUTED_VALUE"""),105)</f>
        <v>105</v>
      </c>
      <c r="D3" s="1">
        <f ca="1">IFERROR(__xludf.DUMMYFUNCTION("""COMPUTED_VALUE"""),105)</f>
        <v>105</v>
      </c>
      <c r="E3" s="1">
        <f ca="1">IFERROR(__xludf.DUMMYFUNCTION("""COMPUTED_VALUE"""),105)</f>
        <v>105</v>
      </c>
      <c r="F3" s="1">
        <f ca="1">IFERROR(__xludf.DUMMYFUNCTION("""COMPUTED_VALUE"""),105)</f>
        <v>105</v>
      </c>
    </row>
    <row r="4" spans="1:6" ht="15.75" customHeight="1">
      <c r="A4" s="1"/>
      <c r="B4" s="1"/>
      <c r="C4" s="1"/>
      <c r="D4" s="1"/>
      <c r="E4" s="1"/>
      <c r="F4" s="1"/>
    </row>
    <row r="5" spans="1:6" ht="15.75" customHeight="1">
      <c r="A5" s="1"/>
      <c r="B5" s="1"/>
      <c r="C5" s="1"/>
      <c r="D5" s="1"/>
      <c r="E5" s="1"/>
      <c r="F5" s="1"/>
    </row>
    <row r="6" spans="1:6" ht="15.75" customHeight="1">
      <c r="A6" s="1" t="str">
        <f ca="1">IFERROR(__xludf.DUMMYFUNCTION("""COMPUTED_VALUE"""),"G360  83/S3  genes sample volume forecast")</f>
        <v>G360  83/S3  genes sample volume forecast</v>
      </c>
      <c r="B6" s="1">
        <f ca="1">IFERROR(__xludf.DUMMYFUNCTION("""COMPUTED_VALUE"""),5)</f>
        <v>5</v>
      </c>
      <c r="C6" s="1">
        <f ca="1">IFERROR(__xludf.DUMMYFUNCTION("""COMPUTED_VALUE"""),0)</f>
        <v>0</v>
      </c>
      <c r="D6" s="1">
        <f ca="1">IFERROR(__xludf.DUMMYFUNCTION("""COMPUTED_VALUE"""),0)</f>
        <v>0</v>
      </c>
      <c r="E6" s="1">
        <f ca="1">IFERROR(__xludf.DUMMYFUNCTION("""COMPUTED_VALUE"""),0)</f>
        <v>0</v>
      </c>
      <c r="F6" s="1">
        <f ca="1">IFERROR(__xludf.DUMMYFUNCTION("""COMPUTED_VALUE"""),0)</f>
        <v>0</v>
      </c>
    </row>
    <row r="7" spans="1:6" ht="15.75" customHeight="1">
      <c r="A7" s="1"/>
      <c r="B7" s="1"/>
      <c r="C7" s="1"/>
      <c r="D7" s="1"/>
      <c r="E7" s="1"/>
      <c r="F7" s="1"/>
    </row>
    <row r="8" spans="1:6" ht="15.75" customHeight="1">
      <c r="A8" s="1"/>
      <c r="B8" s="1"/>
      <c r="C8" s="1"/>
      <c r="D8" s="1"/>
      <c r="E8" s="1"/>
      <c r="F8" s="1"/>
    </row>
    <row r="9" spans="1:6" ht="15.75" customHeight="1">
      <c r="A9" s="1" t="str">
        <f ca="1">IFERROR(__xludf.DUMMYFUNCTION("""COMPUTED_VALUE"""),"Reveal/Reveal Infinity sample volume forecast")</f>
        <v>Reveal/Reveal Infinity sample volume forecast</v>
      </c>
      <c r="B9" s="1">
        <f ca="1">IFERROR(__xludf.DUMMYFUNCTION("""COMPUTED_VALUE"""),70)</f>
        <v>70</v>
      </c>
      <c r="C9" s="1">
        <f ca="1">IFERROR(__xludf.DUMMYFUNCTION("""COMPUTED_VALUE"""),142)</f>
        <v>142</v>
      </c>
      <c r="D9" s="1">
        <f ca="1">IFERROR(__xludf.DUMMYFUNCTION("""COMPUTED_VALUE"""),70)</f>
        <v>70</v>
      </c>
      <c r="E9" s="1">
        <f ca="1">IFERROR(__xludf.DUMMYFUNCTION("""COMPUTED_VALUE"""),70)</f>
        <v>70</v>
      </c>
      <c r="F9" s="1">
        <f ca="1">IFERROR(__xludf.DUMMYFUNCTION("""COMPUTED_VALUE"""),70)</f>
        <v>70</v>
      </c>
    </row>
    <row r="10" spans="1:6" ht="15.75" customHeight="1">
      <c r="A10" s="1"/>
      <c r="B10" s="1"/>
      <c r="C10" s="1"/>
      <c r="D10" s="1"/>
      <c r="E10" s="1"/>
      <c r="F10" s="1"/>
    </row>
    <row r="11" spans="1:6" ht="15.75" customHeight="1">
      <c r="A11" s="1"/>
      <c r="B11" s="1"/>
      <c r="C11" s="1"/>
      <c r="D11" s="1"/>
      <c r="E11" s="1"/>
      <c r="F11" s="1"/>
    </row>
    <row r="12" spans="1:6" ht="15.75" customHeight="1">
      <c r="A12" s="1" t="str">
        <f ca="1">IFERROR(__xludf.DUMMYFUNCTION("""COMPUTED_VALUE"""),"Shield volume forecast")</f>
        <v>Shield volume forecast</v>
      </c>
      <c r="B12" s="1">
        <f ca="1">IFERROR(__xludf.DUMMYFUNCTION("""COMPUTED_VALUE"""),0)</f>
        <v>0</v>
      </c>
      <c r="C12" s="1">
        <f ca="1">IFERROR(__xludf.DUMMYFUNCTION("""COMPUTED_VALUE"""),0)</f>
        <v>0</v>
      </c>
      <c r="D12" s="1">
        <f ca="1">IFERROR(__xludf.DUMMYFUNCTION("""COMPUTED_VALUE"""),0)</f>
        <v>0</v>
      </c>
      <c r="E12" s="1">
        <f ca="1">IFERROR(__xludf.DUMMYFUNCTION("""COMPUTED_VALUE"""),0)</f>
        <v>0</v>
      </c>
      <c r="F12" s="1">
        <f ca="1">IFERROR(__xludf.DUMMYFUNCTION("""COMPUTED_VALUE"""),0)</f>
        <v>0</v>
      </c>
    </row>
    <row r="13" spans="1:6" ht="15.75" customHeight="1">
      <c r="A13" s="1"/>
      <c r="B13" s="1"/>
      <c r="C13" s="1"/>
      <c r="D13" s="1"/>
      <c r="E13" s="1"/>
      <c r="F13" s="1"/>
    </row>
    <row r="14" spans="1:6" ht="15.75" customHeight="1">
      <c r="A14" s="1"/>
      <c r="B14" s="1"/>
      <c r="C14" s="1"/>
      <c r="D14" s="1"/>
      <c r="E14" s="1"/>
      <c r="F14" s="1"/>
    </row>
    <row r="15" spans="1:6" ht="15.75" customHeight="1">
      <c r="A15" s="1"/>
      <c r="B15" s="1"/>
      <c r="C15" s="1"/>
      <c r="D15" s="1"/>
      <c r="E15" s="1"/>
      <c r="F15" s="1"/>
    </row>
    <row r="16" spans="1:6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"/>
      <c r="B18" s="1"/>
      <c r="C18" s="1"/>
      <c r="D18" s="1"/>
      <c r="E18" s="1"/>
      <c r="F18" s="1"/>
    </row>
    <row r="19" spans="1:6" ht="15.75" customHeight="1">
      <c r="A19" s="1"/>
      <c r="B19" s="1"/>
      <c r="C19" s="1"/>
      <c r="D19" s="1"/>
      <c r="E19" s="1"/>
      <c r="F19" s="1"/>
    </row>
    <row r="20" spans="1:6" ht="15.75" customHeight="1">
      <c r="A20" s="1"/>
      <c r="B20" s="1"/>
      <c r="C20" s="1"/>
      <c r="D20" s="1"/>
      <c r="E20" s="1"/>
      <c r="F20" s="1"/>
    </row>
    <row r="21" spans="1:6" ht="15.75" customHeight="1">
      <c r="A21" s="1" t="str">
        <f ca="1">IFERROR(__xludf.DUMMYFUNCTION("""COMPUTED_VALUE""")," Total volume")</f>
        <v xml:space="preserve"> Total volume</v>
      </c>
      <c r="B21" s="1">
        <f ca="1">IFERROR(__xludf.DUMMYFUNCTION("""COMPUTED_VALUE"""),180)</f>
        <v>180</v>
      </c>
      <c r="C21" s="1">
        <f ca="1">IFERROR(__xludf.DUMMYFUNCTION("""COMPUTED_VALUE"""),247)</f>
        <v>247</v>
      </c>
      <c r="D21" s="1">
        <f ca="1">IFERROR(__xludf.DUMMYFUNCTION("""COMPUTED_VALUE"""),175)</f>
        <v>175</v>
      </c>
      <c r="E21" s="1">
        <f ca="1">IFERROR(__xludf.DUMMYFUNCTION("""COMPUTED_VALUE"""),175)</f>
        <v>175</v>
      </c>
      <c r="F21" s="1">
        <f ca="1">IFERROR(__xludf.DUMMYFUNCTION("""COMPUTED_VALUE"""),175)</f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999"/>
  <sheetViews>
    <sheetView workbookViewId="0"/>
  </sheetViews>
  <sheetFormatPr baseColWidth="10" defaultColWidth="12.6640625" defaultRowHeight="15.75" customHeight="1"/>
  <cols>
    <col min="1" max="1" width="81.1640625" customWidth="1"/>
    <col min="2" max="2" width="103.1640625" customWidth="1"/>
    <col min="3" max="3" width="16.5" customWidth="1"/>
  </cols>
  <sheetData>
    <row r="1" spans="1:2" ht="15.75" customHeight="1">
      <c r="A1" s="83" t="s">
        <v>113</v>
      </c>
      <c r="B1" s="1"/>
    </row>
    <row r="2" spans="1:2" ht="15.75" customHeight="1">
      <c r="A2" s="1" t="s">
        <v>114</v>
      </c>
      <c r="B2" s="124" t="s">
        <v>115</v>
      </c>
    </row>
    <row r="3" spans="1:2" ht="15.75" customHeight="1">
      <c r="A3" s="1" t="s">
        <v>116</v>
      </c>
      <c r="B3" s="1" t="s">
        <v>117</v>
      </c>
    </row>
    <row r="4" spans="1:2" ht="15.75" customHeight="1">
      <c r="A4" s="1" t="s">
        <v>118</v>
      </c>
      <c r="B4" s="1" t="s">
        <v>119</v>
      </c>
    </row>
    <row r="5" spans="1:2" ht="15.75" customHeight="1">
      <c r="A5" s="1" t="s">
        <v>120</v>
      </c>
      <c r="B5" s="1" t="s">
        <v>121</v>
      </c>
    </row>
    <row r="6" spans="1:2" ht="15.75" customHeight="1">
      <c r="A6" s="1" t="s">
        <v>122</v>
      </c>
      <c r="B6" s="1" t="s">
        <v>123</v>
      </c>
    </row>
    <row r="7" spans="1:2" ht="15.75" customHeight="1">
      <c r="B7" s="1"/>
    </row>
    <row r="8" spans="1:2" ht="15.75" customHeight="1">
      <c r="B8" s="1"/>
    </row>
    <row r="9" spans="1:2" ht="15.75" customHeight="1">
      <c r="A9" s="83" t="s">
        <v>124</v>
      </c>
      <c r="B9" s="1"/>
    </row>
    <row r="10" spans="1:2" ht="15.75" customHeight="1">
      <c r="A10" s="1" t="s">
        <v>125</v>
      </c>
      <c r="B10" s="1" t="s">
        <v>126</v>
      </c>
    </row>
    <row r="11" spans="1:2" ht="15.75" customHeight="1">
      <c r="A11" s="124" t="s">
        <v>127</v>
      </c>
      <c r="B11" s="1" t="s">
        <v>128</v>
      </c>
    </row>
    <row r="12" spans="1:2" ht="15.75" customHeight="1">
      <c r="A12" s="124" t="s">
        <v>129</v>
      </c>
      <c r="B12" s="1" t="s">
        <v>130</v>
      </c>
    </row>
    <row r="13" spans="1:2" ht="15.75" customHeight="1">
      <c r="A13" s="1" t="s">
        <v>131</v>
      </c>
      <c r="B13" s="1" t="s">
        <v>132</v>
      </c>
    </row>
    <row r="14" spans="1:2" ht="15.75" customHeight="1">
      <c r="A14" s="1"/>
      <c r="B14" s="1"/>
    </row>
    <row r="15" spans="1:2" ht="15.75" customHeight="1">
      <c r="B15" s="1"/>
    </row>
    <row r="16" spans="1:2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3">
      <c r="B65" s="1"/>
    </row>
    <row r="66" spans="2:2" ht="13">
      <c r="B66" s="1"/>
    </row>
    <row r="67" spans="2:2" ht="13">
      <c r="B67" s="1"/>
    </row>
    <row r="68" spans="2:2" ht="13">
      <c r="B68" s="1"/>
    </row>
    <row r="69" spans="2:2" ht="13">
      <c r="B69" s="1"/>
    </row>
    <row r="70" spans="2:2" ht="13">
      <c r="B70" s="1"/>
    </row>
    <row r="71" spans="2:2" ht="13">
      <c r="B71" s="1"/>
    </row>
    <row r="72" spans="2:2" ht="13">
      <c r="B72" s="1"/>
    </row>
    <row r="73" spans="2:2" ht="13">
      <c r="B73" s="1"/>
    </row>
    <row r="74" spans="2:2" ht="13">
      <c r="B74" s="1"/>
    </row>
    <row r="75" spans="2:2" ht="13">
      <c r="B75" s="1"/>
    </row>
    <row r="76" spans="2:2" ht="13">
      <c r="B76" s="1"/>
    </row>
    <row r="77" spans="2:2" ht="13">
      <c r="B77" s="1"/>
    </row>
    <row r="78" spans="2:2" ht="13">
      <c r="B78" s="1"/>
    </row>
    <row r="79" spans="2:2" ht="13">
      <c r="B79" s="1"/>
    </row>
    <row r="80" spans="2:2" ht="13">
      <c r="B80" s="1"/>
    </row>
    <row r="81" spans="2:2" ht="13">
      <c r="B81" s="1"/>
    </row>
    <row r="82" spans="2:2" ht="13">
      <c r="B82" s="1"/>
    </row>
    <row r="83" spans="2:2" ht="13">
      <c r="B83" s="1"/>
    </row>
    <row r="84" spans="2:2" ht="13">
      <c r="B84" s="1"/>
    </row>
    <row r="85" spans="2:2" ht="13">
      <c r="B85" s="1"/>
    </row>
    <row r="86" spans="2:2" ht="13">
      <c r="B86" s="1"/>
    </row>
    <row r="87" spans="2:2" ht="13">
      <c r="B87" s="1"/>
    </row>
    <row r="88" spans="2:2" ht="13">
      <c r="B88" s="1"/>
    </row>
    <row r="89" spans="2:2" ht="13">
      <c r="B89" s="1"/>
    </row>
    <row r="90" spans="2:2" ht="13">
      <c r="B90" s="1"/>
    </row>
    <row r="91" spans="2:2" ht="13">
      <c r="B91" s="1"/>
    </row>
    <row r="92" spans="2:2" ht="13">
      <c r="B92" s="1"/>
    </row>
    <row r="93" spans="2:2" ht="13">
      <c r="B93" s="1"/>
    </row>
    <row r="94" spans="2:2" ht="13">
      <c r="B94" s="1"/>
    </row>
    <row r="95" spans="2:2" ht="13">
      <c r="B95" s="1"/>
    </row>
    <row r="96" spans="2:2" ht="13">
      <c r="B96" s="1"/>
    </row>
    <row r="97" spans="2:2" ht="13">
      <c r="B97" s="1"/>
    </row>
    <row r="98" spans="2:2" ht="13">
      <c r="B98" s="1"/>
    </row>
    <row r="99" spans="2:2" ht="13">
      <c r="B99" s="1"/>
    </row>
    <row r="100" spans="2:2" ht="13">
      <c r="B100" s="1"/>
    </row>
    <row r="101" spans="2:2" ht="13">
      <c r="B101" s="1"/>
    </row>
    <row r="102" spans="2:2" ht="13">
      <c r="B102" s="1"/>
    </row>
    <row r="103" spans="2:2" ht="13">
      <c r="B103" s="1"/>
    </row>
    <row r="104" spans="2:2" ht="13">
      <c r="B104" s="1"/>
    </row>
    <row r="105" spans="2:2" ht="13">
      <c r="B105" s="1"/>
    </row>
    <row r="106" spans="2:2" ht="13">
      <c r="B106" s="1"/>
    </row>
    <row r="107" spans="2:2" ht="13">
      <c r="B107" s="1"/>
    </row>
    <row r="108" spans="2:2" ht="13">
      <c r="B108" s="1"/>
    </row>
    <row r="109" spans="2:2" ht="13">
      <c r="B109" s="1"/>
    </row>
    <row r="110" spans="2:2" ht="13">
      <c r="B110" s="1"/>
    </row>
    <row r="111" spans="2:2" ht="13">
      <c r="B111" s="1"/>
    </row>
    <row r="112" spans="2:2" ht="13">
      <c r="B112" s="1"/>
    </row>
    <row r="113" spans="2:2" ht="13">
      <c r="B113" s="1"/>
    </row>
    <row r="114" spans="2:2" ht="13">
      <c r="B114" s="1"/>
    </row>
    <row r="115" spans="2:2" ht="13">
      <c r="B115" s="1"/>
    </row>
    <row r="116" spans="2:2" ht="13">
      <c r="B116" s="1"/>
    </row>
    <row r="117" spans="2:2" ht="13">
      <c r="B117" s="1"/>
    </row>
    <row r="118" spans="2:2" ht="13">
      <c r="B118" s="1"/>
    </row>
    <row r="119" spans="2:2" ht="13">
      <c r="B119" s="1"/>
    </row>
    <row r="120" spans="2:2" ht="13">
      <c r="B120" s="1"/>
    </row>
    <row r="121" spans="2:2" ht="13">
      <c r="B121" s="1"/>
    </row>
    <row r="122" spans="2:2" ht="13">
      <c r="B122" s="1"/>
    </row>
    <row r="123" spans="2:2" ht="13">
      <c r="B123" s="1"/>
    </row>
    <row r="124" spans="2:2" ht="13">
      <c r="B124" s="1"/>
    </row>
    <row r="125" spans="2:2" ht="13">
      <c r="B125" s="1"/>
    </row>
    <row r="126" spans="2:2" ht="13">
      <c r="B126" s="1"/>
    </row>
    <row r="127" spans="2:2" ht="13">
      <c r="B127" s="1"/>
    </row>
    <row r="128" spans="2:2" ht="13">
      <c r="B128" s="1"/>
    </row>
    <row r="129" spans="2:2" ht="13">
      <c r="B129" s="1"/>
    </row>
    <row r="130" spans="2:2" ht="13">
      <c r="B130" s="1"/>
    </row>
    <row r="131" spans="2:2" ht="13">
      <c r="B131" s="1"/>
    </row>
    <row r="132" spans="2:2" ht="13">
      <c r="B132" s="1"/>
    </row>
    <row r="133" spans="2:2" ht="13">
      <c r="B133" s="1"/>
    </row>
    <row r="134" spans="2:2" ht="13">
      <c r="B134" s="1"/>
    </row>
    <row r="135" spans="2:2" ht="13">
      <c r="B135" s="1"/>
    </row>
    <row r="136" spans="2:2" ht="13">
      <c r="B136" s="1"/>
    </row>
    <row r="137" spans="2:2" ht="13">
      <c r="B137" s="1"/>
    </row>
    <row r="138" spans="2:2" ht="13">
      <c r="B138" s="1"/>
    </row>
    <row r="139" spans="2:2" ht="13">
      <c r="B139" s="1"/>
    </row>
    <row r="140" spans="2:2" ht="13">
      <c r="B140" s="1"/>
    </row>
    <row r="141" spans="2:2" ht="13">
      <c r="B141" s="1"/>
    </row>
    <row r="142" spans="2:2" ht="13">
      <c r="B142" s="1"/>
    </row>
    <row r="143" spans="2:2" ht="13">
      <c r="B143" s="1"/>
    </row>
    <row r="144" spans="2:2" ht="13">
      <c r="B144" s="1"/>
    </row>
    <row r="145" spans="2:2" ht="13">
      <c r="B145" s="1"/>
    </row>
    <row r="146" spans="2:2" ht="13">
      <c r="B146" s="1"/>
    </row>
    <row r="147" spans="2:2" ht="13">
      <c r="B147" s="1"/>
    </row>
    <row r="148" spans="2:2" ht="13">
      <c r="B148" s="1"/>
    </row>
    <row r="149" spans="2:2" ht="13">
      <c r="B149" s="1"/>
    </row>
    <row r="150" spans="2:2" ht="13">
      <c r="B150" s="1"/>
    </row>
    <row r="151" spans="2:2" ht="13">
      <c r="B151" s="1"/>
    </row>
    <row r="152" spans="2:2" ht="13">
      <c r="B152" s="1"/>
    </row>
    <row r="153" spans="2:2" ht="13">
      <c r="B153" s="1"/>
    </row>
    <row r="154" spans="2:2" ht="13">
      <c r="B154" s="1"/>
    </row>
    <row r="155" spans="2:2" ht="13">
      <c r="B155" s="1"/>
    </row>
    <row r="156" spans="2:2" ht="13">
      <c r="B156" s="1"/>
    </row>
    <row r="157" spans="2:2" ht="13">
      <c r="B157" s="1"/>
    </row>
    <row r="158" spans="2:2" ht="13">
      <c r="B158" s="1"/>
    </row>
    <row r="159" spans="2:2" ht="13">
      <c r="B159" s="1"/>
    </row>
    <row r="160" spans="2:2" ht="13">
      <c r="B160" s="1"/>
    </row>
    <row r="161" spans="2:2" ht="13">
      <c r="B161" s="1"/>
    </row>
    <row r="162" spans="2:2" ht="13">
      <c r="B162" s="1"/>
    </row>
    <row r="163" spans="2:2" ht="13">
      <c r="B163" s="1"/>
    </row>
    <row r="164" spans="2:2" ht="13">
      <c r="B164" s="1"/>
    </row>
    <row r="165" spans="2:2" ht="13">
      <c r="B165" s="1"/>
    </row>
    <row r="166" spans="2:2" ht="13">
      <c r="B166" s="1"/>
    </row>
    <row r="167" spans="2:2" ht="13">
      <c r="B167" s="1"/>
    </row>
    <row r="168" spans="2:2" ht="13">
      <c r="B168" s="1"/>
    </row>
    <row r="169" spans="2:2" ht="13">
      <c r="B169" s="1"/>
    </row>
    <row r="170" spans="2:2" ht="13">
      <c r="B170" s="1"/>
    </row>
    <row r="171" spans="2:2" ht="13">
      <c r="B171" s="1"/>
    </row>
    <row r="172" spans="2:2" ht="13">
      <c r="B172" s="1"/>
    </row>
    <row r="173" spans="2:2" ht="13">
      <c r="B173" s="1"/>
    </row>
    <row r="174" spans="2:2" ht="13">
      <c r="B174" s="1"/>
    </row>
    <row r="175" spans="2:2" ht="13">
      <c r="B175" s="1"/>
    </row>
    <row r="176" spans="2:2" ht="13">
      <c r="B176" s="1"/>
    </row>
    <row r="177" spans="2:2" ht="13">
      <c r="B177" s="1"/>
    </row>
    <row r="178" spans="2:2" ht="13">
      <c r="B178" s="1"/>
    </row>
    <row r="179" spans="2:2" ht="13">
      <c r="B179" s="1"/>
    </row>
    <row r="180" spans="2:2" ht="13">
      <c r="B180" s="1"/>
    </row>
    <row r="181" spans="2:2" ht="13">
      <c r="B181" s="1"/>
    </row>
    <row r="182" spans="2:2" ht="13">
      <c r="B182" s="1"/>
    </row>
    <row r="183" spans="2:2" ht="13">
      <c r="B183" s="1"/>
    </row>
    <row r="184" spans="2:2" ht="13">
      <c r="B184" s="1"/>
    </row>
    <row r="185" spans="2:2" ht="13">
      <c r="B185" s="1"/>
    </row>
    <row r="186" spans="2:2" ht="13">
      <c r="B186" s="1"/>
    </row>
    <row r="187" spans="2:2" ht="13">
      <c r="B187" s="1"/>
    </row>
    <row r="188" spans="2:2" ht="13">
      <c r="B188" s="1"/>
    </row>
    <row r="189" spans="2:2" ht="13">
      <c r="B189" s="1"/>
    </row>
    <row r="190" spans="2:2" ht="13">
      <c r="B190" s="1"/>
    </row>
    <row r="191" spans="2:2" ht="13">
      <c r="B191" s="1"/>
    </row>
    <row r="192" spans="2:2" ht="13">
      <c r="B192" s="1"/>
    </row>
    <row r="193" spans="2:2" ht="13">
      <c r="B193" s="1"/>
    </row>
    <row r="194" spans="2:2" ht="13">
      <c r="B194" s="1"/>
    </row>
    <row r="195" spans="2:2" ht="13">
      <c r="B195" s="1"/>
    </row>
    <row r="196" spans="2:2" ht="13">
      <c r="B196" s="1"/>
    </row>
    <row r="197" spans="2:2" ht="13">
      <c r="B197" s="1"/>
    </row>
    <row r="198" spans="2:2" ht="13">
      <c r="B198" s="1"/>
    </row>
    <row r="199" spans="2:2" ht="13">
      <c r="B199" s="1"/>
    </row>
    <row r="200" spans="2:2" ht="13">
      <c r="B200" s="1"/>
    </row>
    <row r="201" spans="2:2" ht="13">
      <c r="B201" s="1"/>
    </row>
    <row r="202" spans="2:2" ht="13">
      <c r="B202" s="1"/>
    </row>
    <row r="203" spans="2:2" ht="13">
      <c r="B203" s="1"/>
    </row>
    <row r="204" spans="2:2" ht="13">
      <c r="B204" s="1"/>
    </row>
    <row r="205" spans="2:2" ht="13">
      <c r="B205" s="1"/>
    </row>
    <row r="206" spans="2:2" ht="13">
      <c r="B206" s="1"/>
    </row>
    <row r="207" spans="2:2" ht="13">
      <c r="B207" s="1"/>
    </row>
    <row r="208" spans="2:2" ht="13">
      <c r="B208" s="1"/>
    </row>
    <row r="209" spans="2:2" ht="13">
      <c r="B209" s="1"/>
    </row>
    <row r="210" spans="2:2" ht="13">
      <c r="B210" s="1"/>
    </row>
    <row r="211" spans="2:2" ht="13">
      <c r="B211" s="1"/>
    </row>
    <row r="212" spans="2:2" ht="13">
      <c r="B212" s="1"/>
    </row>
    <row r="213" spans="2:2" ht="13">
      <c r="B213" s="1"/>
    </row>
    <row r="214" spans="2:2" ht="13">
      <c r="B214" s="1"/>
    </row>
    <row r="215" spans="2:2" ht="13">
      <c r="B215" s="1"/>
    </row>
    <row r="216" spans="2:2" ht="13">
      <c r="B216" s="1"/>
    </row>
    <row r="217" spans="2:2" ht="13">
      <c r="B217" s="1"/>
    </row>
    <row r="218" spans="2:2" ht="13">
      <c r="B218" s="1"/>
    </row>
    <row r="219" spans="2:2" ht="13">
      <c r="B219" s="1"/>
    </row>
    <row r="220" spans="2:2" ht="13">
      <c r="B220" s="1"/>
    </row>
    <row r="221" spans="2:2" ht="13">
      <c r="B221" s="1"/>
    </row>
    <row r="222" spans="2:2" ht="13">
      <c r="B222" s="1"/>
    </row>
    <row r="223" spans="2:2" ht="13">
      <c r="B223" s="1"/>
    </row>
    <row r="224" spans="2:2" ht="13">
      <c r="B224" s="1"/>
    </row>
    <row r="225" spans="2:2" ht="13">
      <c r="B225" s="1"/>
    </row>
    <row r="226" spans="2:2" ht="13">
      <c r="B226" s="1"/>
    </row>
    <row r="227" spans="2:2" ht="13">
      <c r="B227" s="1"/>
    </row>
    <row r="228" spans="2:2" ht="13">
      <c r="B228" s="1"/>
    </row>
    <row r="229" spans="2:2" ht="13">
      <c r="B229" s="1"/>
    </row>
    <row r="230" spans="2:2" ht="13">
      <c r="B230" s="1"/>
    </row>
    <row r="231" spans="2:2" ht="13">
      <c r="B231" s="1"/>
    </row>
    <row r="232" spans="2:2" ht="13">
      <c r="B232" s="1"/>
    </row>
    <row r="233" spans="2:2" ht="13">
      <c r="B233" s="1"/>
    </row>
    <row r="234" spans="2:2" ht="13">
      <c r="B234" s="1"/>
    </row>
    <row r="235" spans="2:2" ht="13">
      <c r="B235" s="1"/>
    </row>
    <row r="236" spans="2:2" ht="13">
      <c r="B236" s="1"/>
    </row>
    <row r="237" spans="2:2" ht="13">
      <c r="B237" s="1"/>
    </row>
    <row r="238" spans="2:2" ht="13">
      <c r="B238" s="1"/>
    </row>
    <row r="239" spans="2:2" ht="13">
      <c r="B239" s="1"/>
    </row>
    <row r="240" spans="2:2" ht="13">
      <c r="B240" s="1"/>
    </row>
    <row r="241" spans="2:2" ht="13">
      <c r="B241" s="1"/>
    </row>
    <row r="242" spans="2:2" ht="13">
      <c r="B242" s="1"/>
    </row>
    <row r="243" spans="2:2" ht="13">
      <c r="B243" s="1"/>
    </row>
    <row r="244" spans="2:2" ht="13">
      <c r="B244" s="1"/>
    </row>
    <row r="245" spans="2:2" ht="13">
      <c r="B245" s="1"/>
    </row>
    <row r="246" spans="2:2" ht="13">
      <c r="B246" s="1"/>
    </row>
    <row r="247" spans="2:2" ht="13">
      <c r="B247" s="1"/>
    </row>
    <row r="248" spans="2:2" ht="13">
      <c r="B248" s="1"/>
    </row>
    <row r="249" spans="2:2" ht="13">
      <c r="B249" s="1"/>
    </row>
    <row r="250" spans="2:2" ht="13">
      <c r="B250" s="1"/>
    </row>
    <row r="251" spans="2:2" ht="13">
      <c r="B251" s="1"/>
    </row>
    <row r="252" spans="2:2" ht="13">
      <c r="B252" s="1"/>
    </row>
    <row r="253" spans="2:2" ht="13">
      <c r="B253" s="1"/>
    </row>
    <row r="254" spans="2:2" ht="13">
      <c r="B254" s="1"/>
    </row>
    <row r="255" spans="2:2" ht="13">
      <c r="B255" s="1"/>
    </row>
    <row r="256" spans="2:2" ht="13">
      <c r="B256" s="1"/>
    </row>
    <row r="257" spans="2:2" ht="13">
      <c r="B257" s="1"/>
    </row>
    <row r="258" spans="2:2" ht="13">
      <c r="B258" s="1"/>
    </row>
    <row r="259" spans="2:2" ht="13">
      <c r="B259" s="1"/>
    </row>
    <row r="260" spans="2:2" ht="13">
      <c r="B260" s="1"/>
    </row>
    <row r="261" spans="2:2" ht="13">
      <c r="B261" s="1"/>
    </row>
    <row r="262" spans="2:2" ht="13">
      <c r="B262" s="1"/>
    </row>
    <row r="263" spans="2:2" ht="13">
      <c r="B263" s="1"/>
    </row>
    <row r="264" spans="2:2" ht="13">
      <c r="B264" s="1"/>
    </row>
    <row r="265" spans="2:2" ht="13">
      <c r="B265" s="1"/>
    </row>
    <row r="266" spans="2:2" ht="13">
      <c r="B266" s="1"/>
    </row>
    <row r="267" spans="2:2" ht="13">
      <c r="B267" s="1"/>
    </row>
    <row r="268" spans="2:2" ht="13">
      <c r="B268" s="1"/>
    </row>
    <row r="269" spans="2:2" ht="13">
      <c r="B269" s="1"/>
    </row>
    <row r="270" spans="2:2" ht="13">
      <c r="B270" s="1"/>
    </row>
    <row r="271" spans="2:2" ht="13">
      <c r="B271" s="1"/>
    </row>
    <row r="272" spans="2:2" ht="13">
      <c r="B272" s="1"/>
    </row>
    <row r="273" spans="2:2" ht="13">
      <c r="B273" s="1"/>
    </row>
    <row r="274" spans="2:2" ht="13">
      <c r="B274" s="1"/>
    </row>
    <row r="275" spans="2:2" ht="13">
      <c r="B275" s="1"/>
    </row>
    <row r="276" spans="2:2" ht="13">
      <c r="B276" s="1"/>
    </row>
    <row r="277" spans="2:2" ht="13">
      <c r="B277" s="1"/>
    </row>
    <row r="278" spans="2:2" ht="13">
      <c r="B278" s="1"/>
    </row>
    <row r="279" spans="2:2" ht="13">
      <c r="B279" s="1"/>
    </row>
    <row r="280" spans="2:2" ht="13">
      <c r="B280" s="1"/>
    </row>
    <row r="281" spans="2:2" ht="13">
      <c r="B281" s="1"/>
    </row>
    <row r="282" spans="2:2" ht="13">
      <c r="B282" s="1"/>
    </row>
    <row r="283" spans="2:2" ht="13">
      <c r="B283" s="1"/>
    </row>
    <row r="284" spans="2:2" ht="13">
      <c r="B284" s="1"/>
    </row>
    <row r="285" spans="2:2" ht="13">
      <c r="B285" s="1"/>
    </row>
    <row r="286" spans="2:2" ht="13">
      <c r="B286" s="1"/>
    </row>
    <row r="287" spans="2:2" ht="13">
      <c r="B287" s="1"/>
    </row>
    <row r="288" spans="2:2" ht="13">
      <c r="B288" s="1"/>
    </row>
    <row r="289" spans="2:2" ht="13">
      <c r="B289" s="1"/>
    </row>
    <row r="290" spans="2:2" ht="13">
      <c r="B290" s="1"/>
    </row>
    <row r="291" spans="2:2" ht="13">
      <c r="B291" s="1"/>
    </row>
    <row r="292" spans="2:2" ht="13">
      <c r="B292" s="1"/>
    </row>
    <row r="293" spans="2:2" ht="13">
      <c r="B293" s="1"/>
    </row>
    <row r="294" spans="2:2" ht="13">
      <c r="B294" s="1"/>
    </row>
    <row r="295" spans="2:2" ht="13">
      <c r="B295" s="1"/>
    </row>
    <row r="296" spans="2:2" ht="13">
      <c r="B296" s="1"/>
    </row>
    <row r="297" spans="2:2" ht="13">
      <c r="B297" s="1"/>
    </row>
    <row r="298" spans="2:2" ht="13">
      <c r="B298" s="1"/>
    </row>
    <row r="299" spans="2:2" ht="13">
      <c r="B299" s="1"/>
    </row>
    <row r="300" spans="2:2" ht="13">
      <c r="B300" s="1"/>
    </row>
    <row r="301" spans="2:2" ht="13">
      <c r="B301" s="1"/>
    </row>
    <row r="302" spans="2:2" ht="13">
      <c r="B302" s="1"/>
    </row>
    <row r="303" spans="2:2" ht="13">
      <c r="B303" s="1"/>
    </row>
    <row r="304" spans="2:2" ht="13">
      <c r="B304" s="1"/>
    </row>
    <row r="305" spans="2:2" ht="13">
      <c r="B305" s="1"/>
    </row>
    <row r="306" spans="2:2" ht="13">
      <c r="B306" s="1"/>
    </row>
    <row r="307" spans="2:2" ht="13">
      <c r="B307" s="1"/>
    </row>
    <row r="308" spans="2:2" ht="13">
      <c r="B308" s="1"/>
    </row>
    <row r="309" spans="2:2" ht="13">
      <c r="B309" s="1"/>
    </row>
    <row r="310" spans="2:2" ht="13">
      <c r="B310" s="1"/>
    </row>
    <row r="311" spans="2:2" ht="13">
      <c r="B311" s="1"/>
    </row>
    <row r="312" spans="2:2" ht="13">
      <c r="B312" s="1"/>
    </row>
    <row r="313" spans="2:2" ht="13">
      <c r="B313" s="1"/>
    </row>
    <row r="314" spans="2:2" ht="13">
      <c r="B314" s="1"/>
    </row>
    <row r="315" spans="2:2" ht="13">
      <c r="B315" s="1"/>
    </row>
    <row r="316" spans="2:2" ht="13">
      <c r="B316" s="1"/>
    </row>
    <row r="317" spans="2:2" ht="13">
      <c r="B317" s="1"/>
    </row>
    <row r="318" spans="2:2" ht="13">
      <c r="B318" s="1"/>
    </row>
    <row r="319" spans="2:2" ht="13">
      <c r="B319" s="1"/>
    </row>
    <row r="320" spans="2:2" ht="13">
      <c r="B320" s="1"/>
    </row>
    <row r="321" spans="2:2" ht="13">
      <c r="B321" s="1"/>
    </row>
    <row r="322" spans="2:2" ht="13">
      <c r="B322" s="1"/>
    </row>
    <row r="323" spans="2:2" ht="13">
      <c r="B323" s="1"/>
    </row>
    <row r="324" spans="2:2" ht="13">
      <c r="B324" s="1"/>
    </row>
    <row r="325" spans="2:2" ht="13">
      <c r="B325" s="1"/>
    </row>
    <row r="326" spans="2:2" ht="13">
      <c r="B326" s="1"/>
    </row>
    <row r="327" spans="2:2" ht="13">
      <c r="B327" s="1"/>
    </row>
    <row r="328" spans="2:2" ht="13">
      <c r="B328" s="1"/>
    </row>
    <row r="329" spans="2:2" ht="13">
      <c r="B329" s="1"/>
    </row>
    <row r="330" spans="2:2" ht="13">
      <c r="B330" s="1"/>
    </row>
    <row r="331" spans="2:2" ht="13">
      <c r="B331" s="1"/>
    </row>
    <row r="332" spans="2:2" ht="13">
      <c r="B332" s="1"/>
    </row>
    <row r="333" spans="2:2" ht="13">
      <c r="B333" s="1"/>
    </row>
    <row r="334" spans="2:2" ht="13">
      <c r="B334" s="1"/>
    </row>
    <row r="335" spans="2:2" ht="13">
      <c r="B335" s="1"/>
    </row>
    <row r="336" spans="2:2" ht="13">
      <c r="B336" s="1"/>
    </row>
    <row r="337" spans="2:2" ht="13">
      <c r="B337" s="1"/>
    </row>
    <row r="338" spans="2:2" ht="13">
      <c r="B338" s="1"/>
    </row>
    <row r="339" spans="2:2" ht="13">
      <c r="B339" s="1"/>
    </row>
    <row r="340" spans="2:2" ht="13">
      <c r="B340" s="1"/>
    </row>
    <row r="341" spans="2:2" ht="13">
      <c r="B341" s="1"/>
    </row>
    <row r="342" spans="2:2" ht="13">
      <c r="B342" s="1"/>
    </row>
    <row r="343" spans="2:2" ht="13">
      <c r="B343" s="1"/>
    </row>
    <row r="344" spans="2:2" ht="13">
      <c r="B344" s="1"/>
    </row>
    <row r="345" spans="2:2" ht="13">
      <c r="B345" s="1"/>
    </row>
    <row r="346" spans="2:2" ht="13">
      <c r="B346" s="1"/>
    </row>
    <row r="347" spans="2:2" ht="13">
      <c r="B347" s="1"/>
    </row>
    <row r="348" spans="2:2" ht="13">
      <c r="B348" s="1"/>
    </row>
    <row r="349" spans="2:2" ht="13">
      <c r="B349" s="1"/>
    </row>
    <row r="350" spans="2:2" ht="13">
      <c r="B350" s="1"/>
    </row>
    <row r="351" spans="2:2" ht="13">
      <c r="B351" s="1"/>
    </row>
    <row r="352" spans="2:2" ht="13">
      <c r="B352" s="1"/>
    </row>
    <row r="353" spans="2:2" ht="13">
      <c r="B353" s="1"/>
    </row>
    <row r="354" spans="2:2" ht="13">
      <c r="B354" s="1"/>
    </row>
    <row r="355" spans="2:2" ht="13">
      <c r="B355" s="1"/>
    </row>
    <row r="356" spans="2:2" ht="13">
      <c r="B356" s="1"/>
    </row>
    <row r="357" spans="2:2" ht="13">
      <c r="B357" s="1"/>
    </row>
    <row r="358" spans="2:2" ht="13">
      <c r="B358" s="1"/>
    </row>
    <row r="359" spans="2:2" ht="13">
      <c r="B359" s="1"/>
    </row>
    <row r="360" spans="2:2" ht="13">
      <c r="B360" s="1"/>
    </row>
    <row r="361" spans="2:2" ht="13">
      <c r="B361" s="1"/>
    </row>
    <row r="362" spans="2:2" ht="13">
      <c r="B362" s="1"/>
    </row>
    <row r="363" spans="2:2" ht="13">
      <c r="B363" s="1"/>
    </row>
    <row r="364" spans="2:2" ht="13">
      <c r="B364" s="1"/>
    </row>
    <row r="365" spans="2:2" ht="13">
      <c r="B365" s="1"/>
    </row>
    <row r="366" spans="2:2" ht="13">
      <c r="B366" s="1"/>
    </row>
    <row r="367" spans="2:2" ht="13">
      <c r="B367" s="1"/>
    </row>
    <row r="368" spans="2:2" ht="13">
      <c r="B368" s="1"/>
    </row>
    <row r="369" spans="2:2" ht="13">
      <c r="B369" s="1"/>
    </row>
    <row r="370" spans="2:2" ht="13">
      <c r="B370" s="1"/>
    </row>
    <row r="371" spans="2:2" ht="13">
      <c r="B371" s="1"/>
    </row>
    <row r="372" spans="2:2" ht="13">
      <c r="B372" s="1"/>
    </row>
    <row r="373" spans="2:2" ht="13">
      <c r="B373" s="1"/>
    </row>
    <row r="374" spans="2:2" ht="13">
      <c r="B374" s="1"/>
    </row>
    <row r="375" spans="2:2" ht="13">
      <c r="B375" s="1"/>
    </row>
    <row r="376" spans="2:2" ht="13">
      <c r="B376" s="1"/>
    </row>
    <row r="377" spans="2:2" ht="13">
      <c r="B377" s="1"/>
    </row>
    <row r="378" spans="2:2" ht="13">
      <c r="B378" s="1"/>
    </row>
    <row r="379" spans="2:2" ht="13">
      <c r="B379" s="1"/>
    </row>
    <row r="380" spans="2:2" ht="13">
      <c r="B380" s="1"/>
    </row>
    <row r="381" spans="2:2" ht="13">
      <c r="B381" s="1"/>
    </row>
    <row r="382" spans="2:2" ht="13">
      <c r="B382" s="1"/>
    </row>
    <row r="383" spans="2:2" ht="13">
      <c r="B383" s="1"/>
    </row>
    <row r="384" spans="2:2" ht="13">
      <c r="B384" s="1"/>
    </row>
    <row r="385" spans="2:2" ht="13">
      <c r="B385" s="1"/>
    </row>
    <row r="386" spans="2:2" ht="13">
      <c r="B386" s="1"/>
    </row>
    <row r="387" spans="2:2" ht="13">
      <c r="B387" s="1"/>
    </row>
    <row r="388" spans="2:2" ht="13">
      <c r="B388" s="1"/>
    </row>
    <row r="389" spans="2:2" ht="13">
      <c r="B389" s="1"/>
    </row>
    <row r="390" spans="2:2" ht="13">
      <c r="B390" s="1"/>
    </row>
    <row r="391" spans="2:2" ht="13">
      <c r="B391" s="1"/>
    </row>
    <row r="392" spans="2:2" ht="13">
      <c r="B392" s="1"/>
    </row>
    <row r="393" spans="2:2" ht="13">
      <c r="B393" s="1"/>
    </row>
    <row r="394" spans="2:2" ht="13">
      <c r="B394" s="1"/>
    </row>
    <row r="395" spans="2:2" ht="13">
      <c r="B395" s="1"/>
    </row>
    <row r="396" spans="2:2" ht="13">
      <c r="B396" s="1"/>
    </row>
    <row r="397" spans="2:2" ht="13">
      <c r="B397" s="1"/>
    </row>
    <row r="398" spans="2:2" ht="13">
      <c r="B398" s="1"/>
    </row>
    <row r="399" spans="2:2" ht="13">
      <c r="B399" s="1"/>
    </row>
    <row r="400" spans="2:2" ht="13">
      <c r="B400" s="1"/>
    </row>
    <row r="401" spans="2:2" ht="13">
      <c r="B401" s="1"/>
    </row>
    <row r="402" spans="2:2" ht="13">
      <c r="B402" s="1"/>
    </row>
    <row r="403" spans="2:2" ht="13">
      <c r="B403" s="1"/>
    </row>
    <row r="404" spans="2:2" ht="13">
      <c r="B404" s="1"/>
    </row>
    <row r="405" spans="2:2" ht="13">
      <c r="B405" s="1"/>
    </row>
    <row r="406" spans="2:2" ht="13">
      <c r="B406" s="1"/>
    </row>
    <row r="407" spans="2:2" ht="13">
      <c r="B407" s="1"/>
    </row>
    <row r="408" spans="2:2" ht="13">
      <c r="B408" s="1"/>
    </row>
    <row r="409" spans="2:2" ht="13">
      <c r="B409" s="1"/>
    </row>
    <row r="410" spans="2:2" ht="13">
      <c r="B410" s="1"/>
    </row>
    <row r="411" spans="2:2" ht="13">
      <c r="B411" s="1"/>
    </row>
    <row r="412" spans="2:2" ht="13">
      <c r="B412" s="1"/>
    </row>
    <row r="413" spans="2:2" ht="13">
      <c r="B413" s="1"/>
    </row>
    <row r="414" spans="2:2" ht="13">
      <c r="B414" s="1"/>
    </row>
    <row r="415" spans="2:2" ht="13">
      <c r="B415" s="1"/>
    </row>
    <row r="416" spans="2:2" ht="13">
      <c r="B416" s="1"/>
    </row>
    <row r="417" spans="2:2" ht="13">
      <c r="B417" s="1"/>
    </row>
    <row r="418" spans="2:2" ht="13">
      <c r="B418" s="1"/>
    </row>
    <row r="419" spans="2:2" ht="13">
      <c r="B419" s="1"/>
    </row>
    <row r="420" spans="2:2" ht="13">
      <c r="B420" s="1"/>
    </row>
    <row r="421" spans="2:2" ht="13">
      <c r="B421" s="1"/>
    </row>
    <row r="422" spans="2:2" ht="13">
      <c r="B422" s="1"/>
    </row>
    <row r="423" spans="2:2" ht="13">
      <c r="B423" s="1"/>
    </row>
    <row r="424" spans="2:2" ht="13">
      <c r="B424" s="1"/>
    </row>
    <row r="425" spans="2:2" ht="13">
      <c r="B425" s="1"/>
    </row>
    <row r="426" spans="2:2" ht="13">
      <c r="B426" s="1"/>
    </row>
    <row r="427" spans="2:2" ht="13">
      <c r="B427" s="1"/>
    </row>
    <row r="428" spans="2:2" ht="13">
      <c r="B428" s="1"/>
    </row>
    <row r="429" spans="2:2" ht="13">
      <c r="B429" s="1"/>
    </row>
    <row r="430" spans="2:2" ht="13">
      <c r="B430" s="1"/>
    </row>
    <row r="431" spans="2:2" ht="13">
      <c r="B431" s="1"/>
    </row>
    <row r="432" spans="2:2" ht="13">
      <c r="B432" s="1"/>
    </row>
    <row r="433" spans="2:2" ht="13">
      <c r="B433" s="1"/>
    </row>
    <row r="434" spans="2:2" ht="13">
      <c r="B434" s="1"/>
    </row>
    <row r="435" spans="2:2" ht="13">
      <c r="B435" s="1"/>
    </row>
    <row r="436" spans="2:2" ht="13">
      <c r="B436" s="1"/>
    </row>
    <row r="437" spans="2:2" ht="13">
      <c r="B437" s="1"/>
    </row>
    <row r="438" spans="2:2" ht="13">
      <c r="B438" s="1"/>
    </row>
    <row r="439" spans="2:2" ht="13">
      <c r="B439" s="1"/>
    </row>
    <row r="440" spans="2:2" ht="13">
      <c r="B440" s="1"/>
    </row>
    <row r="441" spans="2:2" ht="13">
      <c r="B441" s="1"/>
    </row>
    <row r="442" spans="2:2" ht="13">
      <c r="B442" s="1"/>
    </row>
    <row r="443" spans="2:2" ht="13">
      <c r="B443" s="1"/>
    </row>
    <row r="444" spans="2:2" ht="13">
      <c r="B444" s="1"/>
    </row>
    <row r="445" spans="2:2" ht="13">
      <c r="B445" s="1"/>
    </row>
    <row r="446" spans="2:2" ht="13">
      <c r="B446" s="1"/>
    </row>
    <row r="447" spans="2:2" ht="13">
      <c r="B447" s="1"/>
    </row>
    <row r="448" spans="2:2" ht="13">
      <c r="B448" s="1"/>
    </row>
    <row r="449" spans="2:2" ht="13">
      <c r="B449" s="1"/>
    </row>
    <row r="450" spans="2:2" ht="13">
      <c r="B450" s="1"/>
    </row>
    <row r="451" spans="2:2" ht="13">
      <c r="B451" s="1"/>
    </row>
    <row r="452" spans="2:2" ht="13">
      <c r="B452" s="1"/>
    </row>
    <row r="453" spans="2:2" ht="13">
      <c r="B453" s="1"/>
    </row>
    <row r="454" spans="2:2" ht="13">
      <c r="B454" s="1"/>
    </row>
    <row r="455" spans="2:2" ht="13">
      <c r="B455" s="1"/>
    </row>
    <row r="456" spans="2:2" ht="13">
      <c r="B456" s="1"/>
    </row>
    <row r="457" spans="2:2" ht="13">
      <c r="B457" s="1"/>
    </row>
    <row r="458" spans="2:2" ht="13">
      <c r="B458" s="1"/>
    </row>
    <row r="459" spans="2:2" ht="13">
      <c r="B459" s="1"/>
    </row>
    <row r="460" spans="2:2" ht="13">
      <c r="B460" s="1"/>
    </row>
    <row r="461" spans="2:2" ht="13">
      <c r="B461" s="1"/>
    </row>
    <row r="462" spans="2:2" ht="13">
      <c r="B462" s="1"/>
    </row>
    <row r="463" spans="2:2" ht="13">
      <c r="B463" s="1"/>
    </row>
    <row r="464" spans="2:2" ht="13">
      <c r="B464" s="1"/>
    </row>
    <row r="465" spans="2:2" ht="13">
      <c r="B465" s="1"/>
    </row>
    <row r="466" spans="2:2" ht="13">
      <c r="B466" s="1"/>
    </row>
    <row r="467" spans="2:2" ht="13">
      <c r="B467" s="1"/>
    </row>
    <row r="468" spans="2:2" ht="13">
      <c r="B468" s="1"/>
    </row>
    <row r="469" spans="2:2" ht="13">
      <c r="B469" s="1"/>
    </row>
    <row r="470" spans="2:2" ht="13">
      <c r="B470" s="1"/>
    </row>
    <row r="471" spans="2:2" ht="13">
      <c r="B471" s="1"/>
    </row>
    <row r="472" spans="2:2" ht="13">
      <c r="B472" s="1"/>
    </row>
    <row r="473" spans="2:2" ht="13">
      <c r="B473" s="1"/>
    </row>
    <row r="474" spans="2:2" ht="13">
      <c r="B474" s="1"/>
    </row>
    <row r="475" spans="2:2" ht="13">
      <c r="B475" s="1"/>
    </row>
    <row r="476" spans="2:2" ht="13">
      <c r="B476" s="1"/>
    </row>
    <row r="477" spans="2:2" ht="13">
      <c r="B477" s="1"/>
    </row>
    <row r="478" spans="2:2" ht="13">
      <c r="B478" s="1"/>
    </row>
    <row r="479" spans="2:2" ht="13">
      <c r="B479" s="1"/>
    </row>
    <row r="480" spans="2:2" ht="13">
      <c r="B480" s="1"/>
    </row>
    <row r="481" spans="2:2" ht="13">
      <c r="B481" s="1"/>
    </row>
    <row r="482" spans="2:2" ht="13">
      <c r="B482" s="1"/>
    </row>
    <row r="483" spans="2:2" ht="13">
      <c r="B483" s="1"/>
    </row>
    <row r="484" spans="2:2" ht="13">
      <c r="B484" s="1"/>
    </row>
    <row r="485" spans="2:2" ht="13">
      <c r="B485" s="1"/>
    </row>
    <row r="486" spans="2:2" ht="13">
      <c r="B486" s="1"/>
    </row>
    <row r="487" spans="2:2" ht="13">
      <c r="B487" s="1"/>
    </row>
    <row r="488" spans="2:2" ht="13">
      <c r="B488" s="1"/>
    </row>
    <row r="489" spans="2:2" ht="13">
      <c r="B489" s="1"/>
    </row>
    <row r="490" spans="2:2" ht="13">
      <c r="B490" s="1"/>
    </row>
    <row r="491" spans="2:2" ht="13">
      <c r="B491" s="1"/>
    </row>
    <row r="492" spans="2:2" ht="13">
      <c r="B492" s="1"/>
    </row>
    <row r="493" spans="2:2" ht="13">
      <c r="B493" s="1"/>
    </row>
    <row r="494" spans="2:2" ht="13">
      <c r="B494" s="1"/>
    </row>
    <row r="495" spans="2:2" ht="13">
      <c r="B495" s="1"/>
    </row>
    <row r="496" spans="2:2" ht="13">
      <c r="B496" s="1"/>
    </row>
    <row r="497" spans="2:2" ht="13">
      <c r="B497" s="1"/>
    </row>
    <row r="498" spans="2:2" ht="13">
      <c r="B498" s="1"/>
    </row>
    <row r="499" spans="2:2" ht="13">
      <c r="B499" s="1"/>
    </row>
    <row r="500" spans="2:2" ht="13">
      <c r="B500" s="1"/>
    </row>
    <row r="501" spans="2:2" ht="13">
      <c r="B501" s="1"/>
    </row>
    <row r="502" spans="2:2" ht="13">
      <c r="B502" s="1"/>
    </row>
    <row r="503" spans="2:2" ht="13">
      <c r="B503" s="1"/>
    </row>
    <row r="504" spans="2:2" ht="13">
      <c r="B504" s="1"/>
    </row>
    <row r="505" spans="2:2" ht="13">
      <c r="B505" s="1"/>
    </row>
    <row r="506" spans="2:2" ht="13">
      <c r="B506" s="1"/>
    </row>
    <row r="507" spans="2:2" ht="13">
      <c r="B507" s="1"/>
    </row>
    <row r="508" spans="2:2" ht="13">
      <c r="B508" s="1"/>
    </row>
    <row r="509" spans="2:2" ht="13">
      <c r="B509" s="1"/>
    </row>
    <row r="510" spans="2:2" ht="13">
      <c r="B510" s="1"/>
    </row>
    <row r="511" spans="2:2" ht="13">
      <c r="B511" s="1"/>
    </row>
    <row r="512" spans="2:2" ht="13">
      <c r="B512" s="1"/>
    </row>
    <row r="513" spans="2:2" ht="13">
      <c r="B513" s="1"/>
    </row>
    <row r="514" spans="2:2" ht="13">
      <c r="B514" s="1"/>
    </row>
    <row r="515" spans="2:2" ht="13">
      <c r="B515" s="1"/>
    </row>
    <row r="516" spans="2:2" ht="13">
      <c r="B516" s="1"/>
    </row>
    <row r="517" spans="2:2" ht="13">
      <c r="B517" s="1"/>
    </row>
    <row r="518" spans="2:2" ht="13">
      <c r="B518" s="1"/>
    </row>
    <row r="519" spans="2:2" ht="13">
      <c r="B519" s="1"/>
    </row>
    <row r="520" spans="2:2" ht="13">
      <c r="B520" s="1"/>
    </row>
    <row r="521" spans="2:2" ht="13">
      <c r="B521" s="1"/>
    </row>
    <row r="522" spans="2:2" ht="13">
      <c r="B522" s="1"/>
    </row>
    <row r="523" spans="2:2" ht="13">
      <c r="B523" s="1"/>
    </row>
    <row r="524" spans="2:2" ht="13">
      <c r="B524" s="1"/>
    </row>
    <row r="525" spans="2:2" ht="13">
      <c r="B525" s="1"/>
    </row>
    <row r="526" spans="2:2" ht="13">
      <c r="B526" s="1"/>
    </row>
    <row r="527" spans="2:2" ht="13">
      <c r="B527" s="1"/>
    </row>
    <row r="528" spans="2:2" ht="13">
      <c r="B528" s="1"/>
    </row>
    <row r="529" spans="2:2" ht="13">
      <c r="B529" s="1"/>
    </row>
    <row r="530" spans="2:2" ht="13">
      <c r="B530" s="1"/>
    </row>
    <row r="531" spans="2:2" ht="13">
      <c r="B531" s="1"/>
    </row>
    <row r="532" spans="2:2" ht="13">
      <c r="B532" s="1"/>
    </row>
    <row r="533" spans="2:2" ht="13">
      <c r="B533" s="1"/>
    </row>
    <row r="534" spans="2:2" ht="13">
      <c r="B534" s="1"/>
    </row>
    <row r="535" spans="2:2" ht="13">
      <c r="B535" s="1"/>
    </row>
    <row r="536" spans="2:2" ht="13">
      <c r="B536" s="1"/>
    </row>
    <row r="537" spans="2:2" ht="13">
      <c r="B537" s="1"/>
    </row>
    <row r="538" spans="2:2" ht="13">
      <c r="B538" s="1"/>
    </row>
    <row r="539" spans="2:2" ht="13">
      <c r="B539" s="1"/>
    </row>
    <row r="540" spans="2:2" ht="13">
      <c r="B540" s="1"/>
    </row>
    <row r="541" spans="2:2" ht="13">
      <c r="B541" s="1"/>
    </row>
    <row r="542" spans="2:2" ht="13">
      <c r="B542" s="1"/>
    </row>
    <row r="543" spans="2:2" ht="13">
      <c r="B543" s="1"/>
    </row>
    <row r="544" spans="2:2" ht="13">
      <c r="B544" s="1"/>
    </row>
    <row r="545" spans="2:2" ht="13">
      <c r="B545" s="1"/>
    </row>
    <row r="546" spans="2:2" ht="13">
      <c r="B546" s="1"/>
    </row>
    <row r="547" spans="2:2" ht="13">
      <c r="B547" s="1"/>
    </row>
    <row r="548" spans="2:2" ht="13">
      <c r="B548" s="1"/>
    </row>
    <row r="549" spans="2:2" ht="13">
      <c r="B549" s="1"/>
    </row>
    <row r="550" spans="2:2" ht="13">
      <c r="B550" s="1"/>
    </row>
    <row r="551" spans="2:2" ht="13">
      <c r="B551" s="1"/>
    </row>
    <row r="552" spans="2:2" ht="13">
      <c r="B552" s="1"/>
    </row>
    <row r="553" spans="2:2" ht="13">
      <c r="B553" s="1"/>
    </row>
    <row r="554" spans="2:2" ht="13">
      <c r="B554" s="1"/>
    </row>
    <row r="555" spans="2:2" ht="13">
      <c r="B555" s="1"/>
    </row>
    <row r="556" spans="2:2" ht="13">
      <c r="B556" s="1"/>
    </row>
    <row r="557" spans="2:2" ht="13">
      <c r="B557" s="1"/>
    </row>
    <row r="558" spans="2:2" ht="13">
      <c r="B558" s="1"/>
    </row>
    <row r="559" spans="2:2" ht="13">
      <c r="B559" s="1"/>
    </row>
    <row r="560" spans="2:2" ht="13">
      <c r="B560" s="1"/>
    </row>
    <row r="561" spans="2:2" ht="13">
      <c r="B561" s="1"/>
    </row>
    <row r="562" spans="2:2" ht="13">
      <c r="B562" s="1"/>
    </row>
    <row r="563" spans="2:2" ht="13">
      <c r="B563" s="1"/>
    </row>
    <row r="564" spans="2:2" ht="13">
      <c r="B564" s="1"/>
    </row>
    <row r="565" spans="2:2" ht="13">
      <c r="B565" s="1"/>
    </row>
    <row r="566" spans="2:2" ht="13">
      <c r="B566" s="1"/>
    </row>
    <row r="567" spans="2:2" ht="13">
      <c r="B567" s="1"/>
    </row>
    <row r="568" spans="2:2" ht="13">
      <c r="B568" s="1"/>
    </row>
    <row r="569" spans="2:2" ht="13">
      <c r="B569" s="1"/>
    </row>
    <row r="570" spans="2:2" ht="13">
      <c r="B570" s="1"/>
    </row>
    <row r="571" spans="2:2" ht="13">
      <c r="B571" s="1"/>
    </row>
    <row r="572" spans="2:2" ht="13">
      <c r="B572" s="1"/>
    </row>
    <row r="573" spans="2:2" ht="13">
      <c r="B573" s="1"/>
    </row>
    <row r="574" spans="2:2" ht="13">
      <c r="B574" s="1"/>
    </row>
    <row r="575" spans="2:2" ht="13">
      <c r="B575" s="1"/>
    </row>
    <row r="576" spans="2:2" ht="13">
      <c r="B576" s="1"/>
    </row>
    <row r="577" spans="2:2" ht="13">
      <c r="B577" s="1"/>
    </row>
    <row r="578" spans="2:2" ht="13">
      <c r="B578" s="1"/>
    </row>
    <row r="579" spans="2:2" ht="13">
      <c r="B579" s="1"/>
    </row>
    <row r="580" spans="2:2" ht="13">
      <c r="B580" s="1"/>
    </row>
    <row r="581" spans="2:2" ht="13">
      <c r="B581" s="1"/>
    </row>
    <row r="582" spans="2:2" ht="13">
      <c r="B582" s="1"/>
    </row>
    <row r="583" spans="2:2" ht="13">
      <c r="B583" s="1"/>
    </row>
    <row r="584" spans="2:2" ht="13">
      <c r="B584" s="1"/>
    </row>
    <row r="585" spans="2:2" ht="13">
      <c r="B585" s="1"/>
    </row>
    <row r="586" spans="2:2" ht="13">
      <c r="B586" s="1"/>
    </row>
    <row r="587" spans="2:2" ht="13">
      <c r="B587" s="1"/>
    </row>
    <row r="588" spans="2:2" ht="13">
      <c r="B588" s="1"/>
    </row>
    <row r="589" spans="2:2" ht="13">
      <c r="B589" s="1"/>
    </row>
    <row r="590" spans="2:2" ht="13">
      <c r="B590" s="1"/>
    </row>
    <row r="591" spans="2:2" ht="13">
      <c r="B591" s="1"/>
    </row>
    <row r="592" spans="2:2" ht="13">
      <c r="B592" s="1"/>
    </row>
    <row r="593" spans="2:2" ht="13">
      <c r="B593" s="1"/>
    </row>
    <row r="594" spans="2:2" ht="13">
      <c r="B594" s="1"/>
    </row>
    <row r="595" spans="2:2" ht="13">
      <c r="B595" s="1"/>
    </row>
    <row r="596" spans="2:2" ht="13">
      <c r="B596" s="1"/>
    </row>
    <row r="597" spans="2:2" ht="13">
      <c r="B597" s="1"/>
    </row>
    <row r="598" spans="2:2" ht="13">
      <c r="B598" s="1"/>
    </row>
    <row r="599" spans="2:2" ht="13">
      <c r="B599" s="1"/>
    </row>
    <row r="600" spans="2:2" ht="13">
      <c r="B600" s="1"/>
    </row>
    <row r="601" spans="2:2" ht="13">
      <c r="B601" s="1"/>
    </row>
    <row r="602" spans="2:2" ht="13">
      <c r="B602" s="1"/>
    </row>
    <row r="603" spans="2:2" ht="13">
      <c r="B603" s="1"/>
    </row>
    <row r="604" spans="2:2" ht="13">
      <c r="B604" s="1"/>
    </row>
    <row r="605" spans="2:2" ht="13">
      <c r="B605" s="1"/>
    </row>
    <row r="606" spans="2:2" ht="13">
      <c r="B606" s="1"/>
    </row>
    <row r="607" spans="2:2" ht="13">
      <c r="B607" s="1"/>
    </row>
    <row r="608" spans="2:2" ht="13">
      <c r="B608" s="1"/>
    </row>
    <row r="609" spans="2:2" ht="13">
      <c r="B609" s="1"/>
    </row>
    <row r="610" spans="2:2" ht="13">
      <c r="B610" s="1"/>
    </row>
    <row r="611" spans="2:2" ht="13">
      <c r="B611" s="1"/>
    </row>
    <row r="612" spans="2:2" ht="13">
      <c r="B612" s="1"/>
    </row>
    <row r="613" spans="2:2" ht="13">
      <c r="B613" s="1"/>
    </row>
    <row r="614" spans="2:2" ht="13">
      <c r="B614" s="1"/>
    </row>
    <row r="615" spans="2:2" ht="13">
      <c r="B615" s="1"/>
    </row>
    <row r="616" spans="2:2" ht="13">
      <c r="B616" s="1"/>
    </row>
    <row r="617" spans="2:2" ht="13">
      <c r="B617" s="1"/>
    </row>
    <row r="618" spans="2:2" ht="13">
      <c r="B618" s="1"/>
    </row>
    <row r="619" spans="2:2" ht="13">
      <c r="B619" s="1"/>
    </row>
    <row r="620" spans="2:2" ht="13">
      <c r="B620" s="1"/>
    </row>
    <row r="621" spans="2:2" ht="13">
      <c r="B621" s="1"/>
    </row>
    <row r="622" spans="2:2" ht="13">
      <c r="B622" s="1"/>
    </row>
    <row r="623" spans="2:2" ht="13">
      <c r="B623" s="1"/>
    </row>
    <row r="624" spans="2:2" ht="13">
      <c r="B624" s="1"/>
    </row>
    <row r="625" spans="2:2" ht="13">
      <c r="B625" s="1"/>
    </row>
    <row r="626" spans="2:2" ht="13">
      <c r="B626" s="1"/>
    </row>
    <row r="627" spans="2:2" ht="13">
      <c r="B627" s="1"/>
    </row>
    <row r="628" spans="2:2" ht="13">
      <c r="B628" s="1"/>
    </row>
    <row r="629" spans="2:2" ht="13">
      <c r="B629" s="1"/>
    </row>
    <row r="630" spans="2:2" ht="13">
      <c r="B630" s="1"/>
    </row>
    <row r="631" spans="2:2" ht="13">
      <c r="B631" s="1"/>
    </row>
    <row r="632" spans="2:2" ht="13">
      <c r="B632" s="1"/>
    </row>
    <row r="633" spans="2:2" ht="13">
      <c r="B633" s="1"/>
    </row>
    <row r="634" spans="2:2" ht="13">
      <c r="B634" s="1"/>
    </row>
    <row r="635" spans="2:2" ht="13">
      <c r="B635" s="1"/>
    </row>
    <row r="636" spans="2:2" ht="13">
      <c r="B636" s="1"/>
    </row>
    <row r="637" spans="2:2" ht="13">
      <c r="B637" s="1"/>
    </row>
    <row r="638" spans="2:2" ht="13">
      <c r="B638" s="1"/>
    </row>
    <row r="639" spans="2:2" ht="13">
      <c r="B639" s="1"/>
    </row>
    <row r="640" spans="2:2" ht="13">
      <c r="B640" s="1"/>
    </row>
    <row r="641" spans="2:2" ht="13">
      <c r="B641" s="1"/>
    </row>
    <row r="642" spans="2:2" ht="13">
      <c r="B642" s="1"/>
    </row>
    <row r="643" spans="2:2" ht="13">
      <c r="B643" s="1"/>
    </row>
    <row r="644" spans="2:2" ht="13">
      <c r="B644" s="1"/>
    </row>
    <row r="645" spans="2:2" ht="13">
      <c r="B645" s="1"/>
    </row>
    <row r="646" spans="2:2" ht="13">
      <c r="B646" s="1"/>
    </row>
    <row r="647" spans="2:2" ht="13">
      <c r="B647" s="1"/>
    </row>
    <row r="648" spans="2:2" ht="13">
      <c r="B648" s="1"/>
    </row>
    <row r="649" spans="2:2" ht="13">
      <c r="B649" s="1"/>
    </row>
    <row r="650" spans="2:2" ht="13">
      <c r="B650" s="1"/>
    </row>
    <row r="651" spans="2:2" ht="13">
      <c r="B651" s="1"/>
    </row>
    <row r="652" spans="2:2" ht="13">
      <c r="B652" s="1"/>
    </row>
    <row r="653" spans="2:2" ht="13">
      <c r="B653" s="1"/>
    </row>
    <row r="654" spans="2:2" ht="13">
      <c r="B654" s="1"/>
    </row>
    <row r="655" spans="2:2" ht="13">
      <c r="B655" s="1"/>
    </row>
    <row r="656" spans="2:2" ht="13">
      <c r="B656" s="1"/>
    </row>
    <row r="657" spans="2:2" ht="13">
      <c r="B657" s="1"/>
    </row>
    <row r="658" spans="2:2" ht="13">
      <c r="B658" s="1"/>
    </row>
    <row r="659" spans="2:2" ht="13">
      <c r="B659" s="1"/>
    </row>
    <row r="660" spans="2:2" ht="13">
      <c r="B660" s="1"/>
    </row>
    <row r="661" spans="2:2" ht="13">
      <c r="B661" s="1"/>
    </row>
    <row r="662" spans="2:2" ht="13">
      <c r="B662" s="1"/>
    </row>
    <row r="663" spans="2:2" ht="13">
      <c r="B663" s="1"/>
    </row>
    <row r="664" spans="2:2" ht="13">
      <c r="B664" s="1"/>
    </row>
    <row r="665" spans="2:2" ht="13">
      <c r="B665" s="1"/>
    </row>
    <row r="666" spans="2:2" ht="13">
      <c r="B666" s="1"/>
    </row>
    <row r="667" spans="2:2" ht="13">
      <c r="B667" s="1"/>
    </row>
    <row r="668" spans="2:2" ht="13">
      <c r="B668" s="1"/>
    </row>
    <row r="669" spans="2:2" ht="13">
      <c r="B669" s="1"/>
    </row>
    <row r="670" spans="2:2" ht="13">
      <c r="B670" s="1"/>
    </row>
    <row r="671" spans="2:2" ht="13">
      <c r="B671" s="1"/>
    </row>
    <row r="672" spans="2:2" ht="13">
      <c r="B672" s="1"/>
    </row>
    <row r="673" spans="2:2" ht="13">
      <c r="B673" s="1"/>
    </row>
    <row r="674" spans="2:2" ht="13">
      <c r="B674" s="1"/>
    </row>
    <row r="675" spans="2:2" ht="13">
      <c r="B675" s="1"/>
    </row>
    <row r="676" spans="2:2" ht="13">
      <c r="B676" s="1"/>
    </row>
    <row r="677" spans="2:2" ht="13">
      <c r="B677" s="1"/>
    </row>
    <row r="678" spans="2:2" ht="13">
      <c r="B678" s="1"/>
    </row>
    <row r="679" spans="2:2" ht="13">
      <c r="B679" s="1"/>
    </row>
    <row r="680" spans="2:2" ht="13">
      <c r="B680" s="1"/>
    </row>
    <row r="681" spans="2:2" ht="13">
      <c r="B681" s="1"/>
    </row>
    <row r="682" spans="2:2" ht="13">
      <c r="B682" s="1"/>
    </row>
    <row r="683" spans="2:2" ht="13">
      <c r="B683" s="1"/>
    </row>
    <row r="684" spans="2:2" ht="13">
      <c r="B684" s="1"/>
    </row>
    <row r="685" spans="2:2" ht="13">
      <c r="B685" s="1"/>
    </row>
    <row r="686" spans="2:2" ht="13">
      <c r="B686" s="1"/>
    </row>
    <row r="687" spans="2:2" ht="13">
      <c r="B687" s="1"/>
    </row>
    <row r="688" spans="2:2" ht="13">
      <c r="B688" s="1"/>
    </row>
    <row r="689" spans="2:2" ht="13">
      <c r="B689" s="1"/>
    </row>
    <row r="690" spans="2:2" ht="13">
      <c r="B690" s="1"/>
    </row>
    <row r="691" spans="2:2" ht="13">
      <c r="B691" s="1"/>
    </row>
    <row r="692" spans="2:2" ht="13">
      <c r="B692" s="1"/>
    </row>
    <row r="693" spans="2:2" ht="13">
      <c r="B693" s="1"/>
    </row>
    <row r="694" spans="2:2" ht="13">
      <c r="B694" s="1"/>
    </row>
    <row r="695" spans="2:2" ht="13">
      <c r="B695" s="1"/>
    </row>
    <row r="696" spans="2:2" ht="13">
      <c r="B696" s="1"/>
    </row>
    <row r="697" spans="2:2" ht="13">
      <c r="B697" s="1"/>
    </row>
    <row r="698" spans="2:2" ht="13">
      <c r="B698" s="1"/>
    </row>
    <row r="699" spans="2:2" ht="13">
      <c r="B699" s="1"/>
    </row>
    <row r="700" spans="2:2" ht="13">
      <c r="B700" s="1"/>
    </row>
    <row r="701" spans="2:2" ht="13">
      <c r="B701" s="1"/>
    </row>
    <row r="702" spans="2:2" ht="13">
      <c r="B702" s="1"/>
    </row>
    <row r="703" spans="2:2" ht="13">
      <c r="B703" s="1"/>
    </row>
    <row r="704" spans="2:2" ht="13">
      <c r="B704" s="1"/>
    </row>
    <row r="705" spans="2:2" ht="13">
      <c r="B705" s="1"/>
    </row>
    <row r="706" spans="2:2" ht="13">
      <c r="B706" s="1"/>
    </row>
    <row r="707" spans="2:2" ht="13">
      <c r="B707" s="1"/>
    </row>
    <row r="708" spans="2:2" ht="13">
      <c r="B708" s="1"/>
    </row>
    <row r="709" spans="2:2" ht="13">
      <c r="B709" s="1"/>
    </row>
    <row r="710" spans="2:2" ht="13">
      <c r="B710" s="1"/>
    </row>
    <row r="711" spans="2:2" ht="13">
      <c r="B711" s="1"/>
    </row>
    <row r="712" spans="2:2" ht="13">
      <c r="B712" s="1"/>
    </row>
    <row r="713" spans="2:2" ht="13">
      <c r="B713" s="1"/>
    </row>
    <row r="714" spans="2:2" ht="13">
      <c r="B714" s="1"/>
    </row>
    <row r="715" spans="2:2" ht="13">
      <c r="B715" s="1"/>
    </row>
    <row r="716" spans="2:2" ht="13">
      <c r="B716" s="1"/>
    </row>
    <row r="717" spans="2:2" ht="13">
      <c r="B717" s="1"/>
    </row>
    <row r="718" spans="2:2" ht="13">
      <c r="B718" s="1"/>
    </row>
    <row r="719" spans="2:2" ht="13">
      <c r="B719" s="1"/>
    </row>
    <row r="720" spans="2:2" ht="13">
      <c r="B720" s="1"/>
    </row>
    <row r="721" spans="2:2" ht="13">
      <c r="B721" s="1"/>
    </row>
    <row r="722" spans="2:2" ht="13">
      <c r="B722" s="1"/>
    </row>
    <row r="723" spans="2:2" ht="13">
      <c r="B723" s="1"/>
    </row>
    <row r="724" spans="2:2" ht="13">
      <c r="B724" s="1"/>
    </row>
    <row r="725" spans="2:2" ht="13">
      <c r="B725" s="1"/>
    </row>
    <row r="726" spans="2:2" ht="13">
      <c r="B726" s="1"/>
    </row>
    <row r="727" spans="2:2" ht="13">
      <c r="B727" s="1"/>
    </row>
    <row r="728" spans="2:2" ht="13">
      <c r="B728" s="1"/>
    </row>
    <row r="729" spans="2:2" ht="13">
      <c r="B729" s="1"/>
    </row>
    <row r="730" spans="2:2" ht="13">
      <c r="B730" s="1"/>
    </row>
    <row r="731" spans="2:2" ht="13">
      <c r="B731" s="1"/>
    </row>
    <row r="732" spans="2:2" ht="13">
      <c r="B732" s="1"/>
    </row>
    <row r="733" spans="2:2" ht="13">
      <c r="B733" s="1"/>
    </row>
    <row r="734" spans="2:2" ht="13">
      <c r="B734" s="1"/>
    </row>
    <row r="735" spans="2:2" ht="13">
      <c r="B735" s="1"/>
    </row>
    <row r="736" spans="2:2" ht="13">
      <c r="B736" s="1"/>
    </row>
    <row r="737" spans="2:2" ht="13">
      <c r="B737" s="1"/>
    </row>
    <row r="738" spans="2:2" ht="13">
      <c r="B738" s="1"/>
    </row>
    <row r="739" spans="2:2" ht="13">
      <c r="B739" s="1"/>
    </row>
    <row r="740" spans="2:2" ht="13">
      <c r="B740" s="1"/>
    </row>
    <row r="741" spans="2:2" ht="13">
      <c r="B741" s="1"/>
    </row>
    <row r="742" spans="2:2" ht="13">
      <c r="B742" s="1"/>
    </row>
    <row r="743" spans="2:2" ht="13">
      <c r="B743" s="1"/>
    </row>
    <row r="744" spans="2:2" ht="13">
      <c r="B744" s="1"/>
    </row>
    <row r="745" spans="2:2" ht="13">
      <c r="B745" s="1"/>
    </row>
    <row r="746" spans="2:2" ht="13">
      <c r="B746" s="1"/>
    </row>
    <row r="747" spans="2:2" ht="13">
      <c r="B747" s="1"/>
    </row>
    <row r="748" spans="2:2" ht="13">
      <c r="B748" s="1"/>
    </row>
    <row r="749" spans="2:2" ht="13">
      <c r="B749" s="1"/>
    </row>
    <row r="750" spans="2:2" ht="13">
      <c r="B750" s="1"/>
    </row>
    <row r="751" spans="2:2" ht="13">
      <c r="B751" s="1"/>
    </row>
    <row r="752" spans="2:2" ht="13">
      <c r="B752" s="1"/>
    </row>
    <row r="753" spans="2:2" ht="13">
      <c r="B753" s="1"/>
    </row>
    <row r="754" spans="2:2" ht="13">
      <c r="B754" s="1"/>
    </row>
    <row r="755" spans="2:2" ht="13">
      <c r="B755" s="1"/>
    </row>
    <row r="756" spans="2:2" ht="13">
      <c r="B756" s="1"/>
    </row>
    <row r="757" spans="2:2" ht="13">
      <c r="B757" s="1"/>
    </row>
    <row r="758" spans="2:2" ht="13">
      <c r="B758" s="1"/>
    </row>
    <row r="759" spans="2:2" ht="13">
      <c r="B759" s="1"/>
    </row>
    <row r="760" spans="2:2" ht="13">
      <c r="B760" s="1"/>
    </row>
    <row r="761" spans="2:2" ht="13">
      <c r="B761" s="1"/>
    </row>
    <row r="762" spans="2:2" ht="13">
      <c r="B762" s="1"/>
    </row>
    <row r="763" spans="2:2" ht="13">
      <c r="B763" s="1"/>
    </row>
    <row r="764" spans="2:2" ht="13">
      <c r="B764" s="1"/>
    </row>
    <row r="765" spans="2:2" ht="13">
      <c r="B765" s="1"/>
    </row>
    <row r="766" spans="2:2" ht="13">
      <c r="B766" s="1"/>
    </row>
    <row r="767" spans="2:2" ht="13">
      <c r="B767" s="1"/>
    </row>
    <row r="768" spans="2:2" ht="13">
      <c r="B768" s="1"/>
    </row>
    <row r="769" spans="2:2" ht="13">
      <c r="B769" s="1"/>
    </row>
    <row r="770" spans="2:2" ht="13">
      <c r="B770" s="1"/>
    </row>
    <row r="771" spans="2:2" ht="13">
      <c r="B771" s="1"/>
    </row>
    <row r="772" spans="2:2" ht="13">
      <c r="B772" s="1"/>
    </row>
    <row r="773" spans="2:2" ht="13">
      <c r="B773" s="1"/>
    </row>
    <row r="774" spans="2:2" ht="13">
      <c r="B774" s="1"/>
    </row>
    <row r="775" spans="2:2" ht="13">
      <c r="B775" s="1"/>
    </row>
    <row r="776" spans="2:2" ht="13">
      <c r="B776" s="1"/>
    </row>
    <row r="777" spans="2:2" ht="13">
      <c r="B777" s="1"/>
    </row>
    <row r="778" spans="2:2" ht="13">
      <c r="B778" s="1"/>
    </row>
    <row r="779" spans="2:2" ht="13">
      <c r="B779" s="1"/>
    </row>
    <row r="780" spans="2:2" ht="13">
      <c r="B780" s="1"/>
    </row>
    <row r="781" spans="2:2" ht="13">
      <c r="B781" s="1"/>
    </row>
    <row r="782" spans="2:2" ht="13">
      <c r="B782" s="1"/>
    </row>
    <row r="783" spans="2:2" ht="13">
      <c r="B783" s="1"/>
    </row>
    <row r="784" spans="2:2" ht="13">
      <c r="B784" s="1"/>
    </row>
    <row r="785" spans="2:2" ht="13">
      <c r="B785" s="1"/>
    </row>
    <row r="786" spans="2:2" ht="13">
      <c r="B786" s="1"/>
    </row>
    <row r="787" spans="2:2" ht="13">
      <c r="B787" s="1"/>
    </row>
    <row r="788" spans="2:2" ht="13">
      <c r="B788" s="1"/>
    </row>
    <row r="789" spans="2:2" ht="13">
      <c r="B789" s="1"/>
    </row>
    <row r="790" spans="2:2" ht="13">
      <c r="B790" s="1"/>
    </row>
    <row r="791" spans="2:2" ht="13">
      <c r="B791" s="1"/>
    </row>
    <row r="792" spans="2:2" ht="13">
      <c r="B792" s="1"/>
    </row>
    <row r="793" spans="2:2" ht="13">
      <c r="B793" s="1"/>
    </row>
    <row r="794" spans="2:2" ht="13">
      <c r="B794" s="1"/>
    </row>
    <row r="795" spans="2:2" ht="13">
      <c r="B795" s="1"/>
    </row>
    <row r="796" spans="2:2" ht="13">
      <c r="B796" s="1"/>
    </row>
    <row r="797" spans="2:2" ht="13">
      <c r="B797" s="1"/>
    </row>
    <row r="798" spans="2:2" ht="13">
      <c r="B798" s="1"/>
    </row>
    <row r="799" spans="2:2" ht="13">
      <c r="B799" s="1"/>
    </row>
    <row r="800" spans="2:2" ht="13">
      <c r="B800" s="1"/>
    </row>
    <row r="801" spans="2:2" ht="13">
      <c r="B801" s="1"/>
    </row>
    <row r="802" spans="2:2" ht="13">
      <c r="B802" s="1"/>
    </row>
    <row r="803" spans="2:2" ht="13">
      <c r="B803" s="1"/>
    </row>
    <row r="804" spans="2:2" ht="13">
      <c r="B804" s="1"/>
    </row>
    <row r="805" spans="2:2" ht="13">
      <c r="B805" s="1"/>
    </row>
    <row r="806" spans="2:2" ht="13">
      <c r="B806" s="1"/>
    </row>
    <row r="807" spans="2:2" ht="13">
      <c r="B807" s="1"/>
    </row>
    <row r="808" spans="2:2" ht="13">
      <c r="B808" s="1"/>
    </row>
    <row r="809" spans="2:2" ht="13">
      <c r="B809" s="1"/>
    </row>
    <row r="810" spans="2:2" ht="13">
      <c r="B810" s="1"/>
    </row>
    <row r="811" spans="2:2" ht="13">
      <c r="B811" s="1"/>
    </row>
    <row r="812" spans="2:2" ht="13">
      <c r="B812" s="1"/>
    </row>
    <row r="813" spans="2:2" ht="13">
      <c r="B813" s="1"/>
    </row>
    <row r="814" spans="2:2" ht="13">
      <c r="B814" s="1"/>
    </row>
    <row r="815" spans="2:2" ht="13">
      <c r="B815" s="1"/>
    </row>
    <row r="816" spans="2:2" ht="13">
      <c r="B816" s="1"/>
    </row>
    <row r="817" spans="2:2" ht="13">
      <c r="B817" s="1"/>
    </row>
    <row r="818" spans="2:2" ht="13">
      <c r="B818" s="1"/>
    </row>
    <row r="819" spans="2:2" ht="13">
      <c r="B819" s="1"/>
    </row>
    <row r="820" spans="2:2" ht="13">
      <c r="B820" s="1"/>
    </row>
    <row r="821" spans="2:2" ht="13">
      <c r="B821" s="1"/>
    </row>
    <row r="822" spans="2:2" ht="13">
      <c r="B822" s="1"/>
    </row>
    <row r="823" spans="2:2" ht="13">
      <c r="B823" s="1"/>
    </row>
    <row r="824" spans="2:2" ht="13">
      <c r="B824" s="1"/>
    </row>
    <row r="825" spans="2:2" ht="13">
      <c r="B825" s="1"/>
    </row>
    <row r="826" spans="2:2" ht="13">
      <c r="B826" s="1"/>
    </row>
    <row r="827" spans="2:2" ht="13">
      <c r="B827" s="1"/>
    </row>
    <row r="828" spans="2:2" ht="13">
      <c r="B828" s="1"/>
    </row>
    <row r="829" spans="2:2" ht="13">
      <c r="B829" s="1"/>
    </row>
    <row r="830" spans="2:2" ht="13">
      <c r="B830" s="1"/>
    </row>
    <row r="831" spans="2:2" ht="13">
      <c r="B831" s="1"/>
    </row>
    <row r="832" spans="2:2" ht="13">
      <c r="B832" s="1"/>
    </row>
    <row r="833" spans="2:2" ht="13">
      <c r="B833" s="1"/>
    </row>
    <row r="834" spans="2:2" ht="13">
      <c r="B834" s="1"/>
    </row>
    <row r="835" spans="2:2" ht="13">
      <c r="B835" s="1"/>
    </row>
    <row r="836" spans="2:2" ht="13">
      <c r="B836" s="1"/>
    </row>
    <row r="837" spans="2:2" ht="13">
      <c r="B837" s="1"/>
    </row>
    <row r="838" spans="2:2" ht="13">
      <c r="B838" s="1"/>
    </row>
    <row r="839" spans="2:2" ht="13">
      <c r="B839" s="1"/>
    </row>
    <row r="840" spans="2:2" ht="13">
      <c r="B840" s="1"/>
    </row>
    <row r="841" spans="2:2" ht="13">
      <c r="B841" s="1"/>
    </row>
    <row r="842" spans="2:2" ht="13">
      <c r="B842" s="1"/>
    </row>
    <row r="843" spans="2:2" ht="13">
      <c r="B843" s="1"/>
    </row>
    <row r="844" spans="2:2" ht="13">
      <c r="B844" s="1"/>
    </row>
    <row r="845" spans="2:2" ht="13">
      <c r="B845" s="1"/>
    </row>
    <row r="846" spans="2:2" ht="13">
      <c r="B846" s="1"/>
    </row>
    <row r="847" spans="2:2" ht="13">
      <c r="B847" s="1"/>
    </row>
    <row r="848" spans="2:2" ht="13">
      <c r="B848" s="1"/>
    </row>
    <row r="849" spans="2:2" ht="13">
      <c r="B849" s="1"/>
    </row>
    <row r="850" spans="2:2" ht="13">
      <c r="B850" s="1"/>
    </row>
    <row r="851" spans="2:2" ht="13">
      <c r="B851" s="1"/>
    </row>
    <row r="852" spans="2:2" ht="13">
      <c r="B852" s="1"/>
    </row>
    <row r="853" spans="2:2" ht="13">
      <c r="B853" s="1"/>
    </row>
    <row r="854" spans="2:2" ht="13">
      <c r="B854" s="1"/>
    </row>
    <row r="855" spans="2:2" ht="13">
      <c r="B855" s="1"/>
    </row>
    <row r="856" spans="2:2" ht="13">
      <c r="B856" s="1"/>
    </row>
    <row r="857" spans="2:2" ht="13">
      <c r="B857" s="1"/>
    </row>
    <row r="858" spans="2:2" ht="13">
      <c r="B858" s="1"/>
    </row>
    <row r="859" spans="2:2" ht="13">
      <c r="B859" s="1"/>
    </row>
    <row r="860" spans="2:2" ht="13">
      <c r="B860" s="1"/>
    </row>
    <row r="861" spans="2:2" ht="13">
      <c r="B861" s="1"/>
    </row>
    <row r="862" spans="2:2" ht="13">
      <c r="B862" s="1"/>
    </row>
    <row r="863" spans="2:2" ht="13">
      <c r="B863" s="1"/>
    </row>
    <row r="864" spans="2:2" ht="13">
      <c r="B864" s="1"/>
    </row>
    <row r="865" spans="2:2" ht="13">
      <c r="B865" s="1"/>
    </row>
    <row r="866" spans="2:2" ht="13">
      <c r="B866" s="1"/>
    </row>
    <row r="867" spans="2:2" ht="13">
      <c r="B867" s="1"/>
    </row>
    <row r="868" spans="2:2" ht="13">
      <c r="B868" s="1"/>
    </row>
    <row r="869" spans="2:2" ht="13">
      <c r="B869" s="1"/>
    </row>
    <row r="870" spans="2:2" ht="13">
      <c r="B870" s="1"/>
    </row>
    <row r="871" spans="2:2" ht="13">
      <c r="B871" s="1"/>
    </row>
    <row r="872" spans="2:2" ht="13">
      <c r="B872" s="1"/>
    </row>
    <row r="873" spans="2:2" ht="13">
      <c r="B873" s="1"/>
    </row>
    <row r="874" spans="2:2" ht="13">
      <c r="B874" s="1"/>
    </row>
    <row r="875" spans="2:2" ht="13">
      <c r="B875" s="1"/>
    </row>
    <row r="876" spans="2:2" ht="13">
      <c r="B876" s="1"/>
    </row>
    <row r="877" spans="2:2" ht="13">
      <c r="B877" s="1"/>
    </row>
    <row r="878" spans="2:2" ht="13">
      <c r="B878" s="1"/>
    </row>
    <row r="879" spans="2:2" ht="13">
      <c r="B879" s="1"/>
    </row>
    <row r="880" spans="2:2" ht="13">
      <c r="B880" s="1"/>
    </row>
    <row r="881" spans="2:2" ht="13">
      <c r="B881" s="1"/>
    </row>
    <row r="882" spans="2:2" ht="13">
      <c r="B882" s="1"/>
    </row>
    <row r="883" spans="2:2" ht="13">
      <c r="B883" s="1"/>
    </row>
    <row r="884" spans="2:2" ht="13">
      <c r="B884" s="1"/>
    </row>
    <row r="885" spans="2:2" ht="13">
      <c r="B885" s="1"/>
    </row>
    <row r="886" spans="2:2" ht="13">
      <c r="B886" s="1"/>
    </row>
    <row r="887" spans="2:2" ht="13">
      <c r="B887" s="1"/>
    </row>
    <row r="888" spans="2:2" ht="13">
      <c r="B888" s="1"/>
    </row>
    <row r="889" spans="2:2" ht="13">
      <c r="B889" s="1"/>
    </row>
    <row r="890" spans="2:2" ht="13">
      <c r="B890" s="1"/>
    </row>
    <row r="891" spans="2:2" ht="13">
      <c r="B891" s="1"/>
    </row>
    <row r="892" spans="2:2" ht="13">
      <c r="B892" s="1"/>
    </row>
    <row r="893" spans="2:2" ht="13">
      <c r="B893" s="1"/>
    </row>
    <row r="894" spans="2:2" ht="13">
      <c r="B894" s="1"/>
    </row>
    <row r="895" spans="2:2" ht="13">
      <c r="B895" s="1"/>
    </row>
    <row r="896" spans="2:2" ht="13">
      <c r="B896" s="1"/>
    </row>
    <row r="897" spans="2:2" ht="13">
      <c r="B897" s="1"/>
    </row>
    <row r="898" spans="2:2" ht="13">
      <c r="B898" s="1"/>
    </row>
    <row r="899" spans="2:2" ht="13">
      <c r="B899" s="1"/>
    </row>
    <row r="900" spans="2:2" ht="13">
      <c r="B900" s="1"/>
    </row>
    <row r="901" spans="2:2" ht="13">
      <c r="B901" s="1"/>
    </row>
    <row r="902" spans="2:2" ht="13">
      <c r="B902" s="1"/>
    </row>
    <row r="903" spans="2:2" ht="13">
      <c r="B903" s="1"/>
    </row>
    <row r="904" spans="2:2" ht="13">
      <c r="B904" s="1"/>
    </row>
    <row r="905" spans="2:2" ht="13">
      <c r="B905" s="1"/>
    </row>
    <row r="906" spans="2:2" ht="13">
      <c r="B906" s="1"/>
    </row>
    <row r="907" spans="2:2" ht="13">
      <c r="B907" s="1"/>
    </row>
    <row r="908" spans="2:2" ht="13">
      <c r="B908" s="1"/>
    </row>
    <row r="909" spans="2:2" ht="13">
      <c r="B909" s="1"/>
    </row>
    <row r="910" spans="2:2" ht="13">
      <c r="B910" s="1"/>
    </row>
    <row r="911" spans="2:2" ht="13">
      <c r="B911" s="1"/>
    </row>
    <row r="912" spans="2:2" ht="13">
      <c r="B912" s="1"/>
    </row>
    <row r="913" spans="2:2" ht="13">
      <c r="B913" s="1"/>
    </row>
    <row r="914" spans="2:2" ht="13">
      <c r="B914" s="1"/>
    </row>
    <row r="915" spans="2:2" ht="13">
      <c r="B915" s="1"/>
    </row>
    <row r="916" spans="2:2" ht="13">
      <c r="B916" s="1"/>
    </row>
    <row r="917" spans="2:2" ht="13">
      <c r="B917" s="1"/>
    </row>
    <row r="918" spans="2:2" ht="13">
      <c r="B918" s="1"/>
    </row>
    <row r="919" spans="2:2" ht="13">
      <c r="B919" s="1"/>
    </row>
    <row r="920" spans="2:2" ht="13">
      <c r="B920" s="1"/>
    </row>
    <row r="921" spans="2:2" ht="13">
      <c r="B921" s="1"/>
    </row>
    <row r="922" spans="2:2" ht="13">
      <c r="B922" s="1"/>
    </row>
    <row r="923" spans="2:2" ht="13">
      <c r="B923" s="1"/>
    </row>
    <row r="924" spans="2:2" ht="13">
      <c r="B924" s="1"/>
    </row>
    <row r="925" spans="2:2" ht="13">
      <c r="B925" s="1"/>
    </row>
    <row r="926" spans="2:2" ht="13">
      <c r="B926" s="1"/>
    </row>
    <row r="927" spans="2:2" ht="13">
      <c r="B927" s="1"/>
    </row>
    <row r="928" spans="2:2" ht="13">
      <c r="B928" s="1"/>
    </row>
    <row r="929" spans="2:2" ht="13">
      <c r="B929" s="1"/>
    </row>
    <row r="930" spans="2:2" ht="13">
      <c r="B930" s="1"/>
    </row>
    <row r="931" spans="2:2" ht="13">
      <c r="B931" s="1"/>
    </row>
    <row r="932" spans="2:2" ht="13">
      <c r="B932" s="1"/>
    </row>
    <row r="933" spans="2:2" ht="13">
      <c r="B933" s="1"/>
    </row>
    <row r="934" spans="2:2" ht="13">
      <c r="B934" s="1"/>
    </row>
    <row r="935" spans="2:2" ht="13">
      <c r="B935" s="1"/>
    </row>
    <row r="936" spans="2:2" ht="13">
      <c r="B936" s="1"/>
    </row>
    <row r="937" spans="2:2" ht="13">
      <c r="B937" s="1"/>
    </row>
    <row r="938" spans="2:2" ht="13">
      <c r="B938" s="1"/>
    </row>
    <row r="939" spans="2:2" ht="13">
      <c r="B939" s="1"/>
    </row>
    <row r="940" spans="2:2" ht="13">
      <c r="B940" s="1"/>
    </row>
    <row r="941" spans="2:2" ht="13">
      <c r="B941" s="1"/>
    </row>
    <row r="942" spans="2:2" ht="13">
      <c r="B942" s="1"/>
    </row>
    <row r="943" spans="2:2" ht="13">
      <c r="B943" s="1"/>
    </row>
    <row r="944" spans="2:2" ht="13">
      <c r="B944" s="1"/>
    </row>
    <row r="945" spans="2:2" ht="13">
      <c r="B945" s="1"/>
    </row>
    <row r="946" spans="2:2" ht="13">
      <c r="B946" s="1"/>
    </row>
    <row r="947" spans="2:2" ht="13">
      <c r="B947" s="1"/>
    </row>
    <row r="948" spans="2:2" ht="13">
      <c r="B948" s="1"/>
    </row>
    <row r="949" spans="2:2" ht="13">
      <c r="B949" s="1"/>
    </row>
    <row r="950" spans="2:2" ht="13">
      <c r="B950" s="1"/>
    </row>
    <row r="951" spans="2:2" ht="13">
      <c r="B951" s="1"/>
    </row>
    <row r="952" spans="2:2" ht="13">
      <c r="B952" s="1"/>
    </row>
    <row r="953" spans="2:2" ht="13">
      <c r="B953" s="1"/>
    </row>
    <row r="954" spans="2:2" ht="13">
      <c r="B954" s="1"/>
    </row>
    <row r="955" spans="2:2" ht="13">
      <c r="B955" s="1"/>
    </row>
    <row r="956" spans="2:2" ht="13">
      <c r="B956" s="1"/>
    </row>
    <row r="957" spans="2:2" ht="13">
      <c r="B957" s="1"/>
    </row>
    <row r="958" spans="2:2" ht="13">
      <c r="B958" s="1"/>
    </row>
    <row r="959" spans="2:2" ht="13">
      <c r="B959" s="1"/>
    </row>
    <row r="960" spans="2:2" ht="13">
      <c r="B960" s="1"/>
    </row>
    <row r="961" spans="2:2" ht="13">
      <c r="B961" s="1"/>
    </row>
    <row r="962" spans="2:2" ht="13">
      <c r="B962" s="1"/>
    </row>
    <row r="963" spans="2:2" ht="13">
      <c r="B963" s="1"/>
    </row>
    <row r="964" spans="2:2" ht="13">
      <c r="B964" s="1"/>
    </row>
    <row r="965" spans="2:2" ht="13">
      <c r="B965" s="1"/>
    </row>
    <row r="966" spans="2:2" ht="13">
      <c r="B966" s="1"/>
    </row>
    <row r="967" spans="2:2" ht="13">
      <c r="B967" s="1"/>
    </row>
    <row r="968" spans="2:2" ht="13">
      <c r="B968" s="1"/>
    </row>
    <row r="969" spans="2:2" ht="13">
      <c r="B969" s="1"/>
    </row>
    <row r="970" spans="2:2" ht="13">
      <c r="B970" s="1"/>
    </row>
    <row r="971" spans="2:2" ht="13">
      <c r="B971" s="1"/>
    </row>
    <row r="972" spans="2:2" ht="13">
      <c r="B972" s="1"/>
    </row>
    <row r="973" spans="2:2" ht="13">
      <c r="B973" s="1"/>
    </row>
    <row r="974" spans="2:2" ht="13">
      <c r="B974" s="1"/>
    </row>
    <row r="975" spans="2:2" ht="13">
      <c r="B975" s="1"/>
    </row>
    <row r="976" spans="2:2" ht="13">
      <c r="B976" s="1"/>
    </row>
    <row r="977" spans="2:2" ht="13">
      <c r="B977" s="1"/>
    </row>
    <row r="978" spans="2:2" ht="13">
      <c r="B978" s="1"/>
    </row>
    <row r="979" spans="2:2" ht="13">
      <c r="B979" s="1"/>
    </row>
    <row r="980" spans="2:2" ht="13">
      <c r="B980" s="1"/>
    </row>
    <row r="981" spans="2:2" ht="13">
      <c r="B981" s="1"/>
    </row>
    <row r="982" spans="2:2" ht="13">
      <c r="B982" s="1"/>
    </row>
    <row r="983" spans="2:2" ht="13">
      <c r="B983" s="1"/>
    </row>
    <row r="984" spans="2:2" ht="13">
      <c r="B984" s="1"/>
    </row>
    <row r="985" spans="2:2" ht="13">
      <c r="B985" s="1"/>
    </row>
    <row r="986" spans="2:2" ht="13">
      <c r="B986" s="1"/>
    </row>
    <row r="987" spans="2:2" ht="13">
      <c r="B987" s="1"/>
    </row>
    <row r="988" spans="2:2" ht="13">
      <c r="B988" s="1"/>
    </row>
    <row r="989" spans="2:2" ht="13">
      <c r="B989" s="1"/>
    </row>
    <row r="990" spans="2:2" ht="13">
      <c r="B990" s="1"/>
    </row>
    <row r="991" spans="2:2" ht="13">
      <c r="B991" s="1"/>
    </row>
    <row r="992" spans="2:2" ht="13">
      <c r="B992" s="1"/>
    </row>
    <row r="993" spans="2:2" ht="13">
      <c r="B993" s="1"/>
    </row>
    <row r="994" spans="2:2" ht="13">
      <c r="B994" s="1"/>
    </row>
    <row r="995" spans="2:2" ht="13">
      <c r="B995" s="1"/>
    </row>
    <row r="996" spans="2:2" ht="13">
      <c r="B996" s="1"/>
    </row>
    <row r="997" spans="2:2" ht="13">
      <c r="B997" s="1"/>
    </row>
    <row r="998" spans="2:2" ht="13">
      <c r="B998" s="1"/>
    </row>
    <row r="999" spans="2:2" ht="13">
      <c r="B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6"/>
  <sheetViews>
    <sheetView workbookViewId="0"/>
  </sheetViews>
  <sheetFormatPr baseColWidth="10" defaultColWidth="12.6640625" defaultRowHeight="15.75" customHeight="1"/>
  <cols>
    <col min="1" max="1" width="38.33203125" customWidth="1"/>
    <col min="2" max="2" width="29" customWidth="1"/>
    <col min="3" max="3" width="18.83203125" customWidth="1"/>
    <col min="4" max="4" width="22" customWidth="1"/>
    <col min="5" max="5" width="25.1640625" customWidth="1"/>
    <col min="6" max="6" width="21.33203125" customWidth="1"/>
  </cols>
  <sheetData>
    <row r="1" spans="1:6" ht="15.75" customHeight="1">
      <c r="B1" s="6" t="s">
        <v>1</v>
      </c>
      <c r="C1" s="6" t="s">
        <v>2</v>
      </c>
      <c r="D1" s="6" t="s">
        <v>28</v>
      </c>
      <c r="E1" s="7" t="s">
        <v>29</v>
      </c>
      <c r="F1" s="6" t="s">
        <v>5</v>
      </c>
    </row>
    <row r="2" spans="1:6" ht="16">
      <c r="A2" s="116" t="s">
        <v>7</v>
      </c>
      <c r="B2" s="1">
        <f ca="1">'5 QRF forecast by segment'!C3+'Paid ISTs'!B3</f>
        <v>498</v>
      </c>
      <c r="C2" s="1">
        <f ca="1">'5 QRF forecast by segment'!D3+'Paid ISTs'!C3</f>
        <v>566</v>
      </c>
      <c r="D2" s="1">
        <f ca="1">'5 QRF forecast by segment'!E3+'Paid ISTs'!D3</f>
        <v>667</v>
      </c>
      <c r="E2" s="1">
        <f ca="1">'5 QRF forecast by segment'!F3+'Paid ISTs'!E3</f>
        <v>777</v>
      </c>
      <c r="F2" s="1">
        <f ca="1">'5 QRF forecast by segment'!G3+'Paid ISTs'!F3</f>
        <v>924</v>
      </c>
    </row>
    <row r="3" spans="1:6" ht="16">
      <c r="A3" s="116" t="s">
        <v>12</v>
      </c>
      <c r="B3" s="1">
        <f ca="1">'5 QRF forecast by segment'!C4+'Paid ISTs'!B8</f>
        <v>87</v>
      </c>
      <c r="C3" s="1">
        <f ca="1">'5 QRF forecast by segment'!D4+'Paid ISTs'!C8</f>
        <v>99</v>
      </c>
      <c r="D3" s="1">
        <f ca="1">'5 QRF forecast by segment'!E4+'Paid ISTs'!D8</f>
        <v>115</v>
      </c>
      <c r="E3" s="1">
        <f ca="1">'5 QRF forecast by segment'!F4+'Paid ISTs'!E8</f>
        <v>127</v>
      </c>
      <c r="F3" s="1">
        <f ca="1">'5 QRF forecast by segment'!G4+'Paid ISTs'!F8</f>
        <v>136</v>
      </c>
    </row>
    <row r="4" spans="1:6" ht="16">
      <c r="A4" s="116" t="s">
        <v>15</v>
      </c>
      <c r="B4" s="1">
        <f ca="1">'5 QRF forecast by segment'!C5+'Paid ISTs'!B13</f>
        <v>114</v>
      </c>
      <c r="C4" s="1">
        <f ca="1">'5 QRF forecast by segment'!D5+'Paid ISTs'!C13</f>
        <v>40</v>
      </c>
      <c r="D4" s="1">
        <f ca="1">'5 QRF forecast by segment'!E5+'Paid ISTs'!D13</f>
        <v>55</v>
      </c>
      <c r="E4" s="1">
        <f ca="1">'5 QRF forecast by segment'!F5+'Paid ISTs'!E13</f>
        <v>75</v>
      </c>
      <c r="F4" s="1">
        <f ca="1">'5 QRF forecast by segment'!G5+'Paid ISTs'!F13</f>
        <v>95</v>
      </c>
    </row>
    <row r="5" spans="1:6" ht="16">
      <c r="A5" s="116" t="s">
        <v>18</v>
      </c>
      <c r="B5" s="1">
        <f ca="1">'5 QRF forecast by segment'!C6+'Paid ISTs'!B18</f>
        <v>0</v>
      </c>
      <c r="C5" s="1">
        <f ca="1">'5 QRF forecast by segment'!D6+'Paid ISTs'!C18</f>
        <v>5</v>
      </c>
      <c r="D5" s="1">
        <f ca="1">'5 QRF forecast by segment'!E6+'Paid ISTs'!D18</f>
        <v>10</v>
      </c>
      <c r="E5" s="1">
        <f ca="1">'5 QRF forecast by segment'!F6+'Paid ISTs'!E18</f>
        <v>15</v>
      </c>
      <c r="F5" s="1">
        <f ca="1">'5 QRF forecast by segment'!G6+'Paid ISTs'!F18</f>
        <v>20</v>
      </c>
    </row>
    <row r="6" spans="1:6" ht="15.75" customHeight="1">
      <c r="A6" s="1" t="s">
        <v>21</v>
      </c>
      <c r="B6" s="1">
        <f t="shared" ref="B6:F6" ca="1" si="0">SUM(B2:B5)</f>
        <v>699</v>
      </c>
      <c r="C6" s="1">
        <f t="shared" ca="1" si="0"/>
        <v>710</v>
      </c>
      <c r="D6" s="1">
        <f t="shared" ca="1" si="0"/>
        <v>847</v>
      </c>
      <c r="E6" s="1">
        <f t="shared" ca="1" si="0"/>
        <v>994</v>
      </c>
      <c r="F6" s="1">
        <f t="shared" ca="1" si="0"/>
        <v>1175</v>
      </c>
    </row>
    <row r="9" spans="1:6" ht="16">
      <c r="A9" s="116" t="s">
        <v>102</v>
      </c>
      <c r="B9" s="104">
        <f ca="1">'5 QRF forecast by segment'!C10+'Paid ISTs'!B5</f>
        <v>723209.2</v>
      </c>
      <c r="C9" s="104">
        <f ca="1">'5 QRF forecast by segment'!D10+'Paid ISTs'!C5</f>
        <v>884469.2</v>
      </c>
      <c r="D9" s="104">
        <f ca="1">'5 QRF forecast by segment'!E10+'Paid ISTs'!D5</f>
        <v>1046078.64</v>
      </c>
      <c r="E9" s="104">
        <f ca="1">'5 QRF forecast by segment'!F10+'Paid ISTs'!E5</f>
        <v>1214838.56</v>
      </c>
      <c r="F9" s="104">
        <f ca="1">'5 QRF forecast by segment'!G10+'Paid ISTs'!F5</f>
        <v>1442068.08</v>
      </c>
    </row>
    <row r="10" spans="1:6" ht="16">
      <c r="A10" s="116" t="s">
        <v>103</v>
      </c>
      <c r="B10" s="104">
        <f ca="1">'5 QRF forecast by segment'!C11+'Paid ISTs'!B10</f>
        <v>147465</v>
      </c>
      <c r="C10" s="104">
        <f ca="1">'5 QRF forecast by segment'!D11+'Paid ISTs'!C10</f>
        <v>182860</v>
      </c>
      <c r="D10" s="104">
        <f ca="1">'5 QRF forecast by segment'!E11+'Paid ISTs'!D10</f>
        <v>219850</v>
      </c>
      <c r="E10" s="104">
        <f ca="1">'5 QRF forecast by segment'!F11+'Paid ISTs'!E10</f>
        <v>248145</v>
      </c>
      <c r="F10" s="104">
        <f ca="1">'5 QRF forecast by segment'!G11+'Paid ISTs'!F10</f>
        <v>267740</v>
      </c>
    </row>
    <row r="11" spans="1:6" ht="16">
      <c r="A11" s="116" t="s">
        <v>104</v>
      </c>
      <c r="B11" s="104">
        <f ca="1">'5 QRF forecast by segment'!C12+'Paid ISTs'!B15</f>
        <v>210000</v>
      </c>
      <c r="C11" s="104">
        <f ca="1">'5 QRF forecast by segment'!D12+'Paid ISTs'!C15</f>
        <v>92525</v>
      </c>
      <c r="D11" s="104">
        <f ca="1">'5 QRF forecast by segment'!E12+'Paid ISTs'!D15</f>
        <v>125090</v>
      </c>
      <c r="E11" s="104">
        <f ca="1">'5 QRF forecast by segment'!F12+'Paid ISTs'!E15</f>
        <v>170155</v>
      </c>
      <c r="F11" s="104">
        <f ca="1">'5 QRF forecast by segment'!G12+'Paid ISTs'!F15</f>
        <v>213950</v>
      </c>
    </row>
    <row r="12" spans="1:6" ht="16">
      <c r="A12" s="116" t="s">
        <v>105</v>
      </c>
      <c r="B12" s="104">
        <f ca="1">'5 QRF forecast by segment'!C13+'Paid ISTs'!B20</f>
        <v>0</v>
      </c>
      <c r="C12" s="104">
        <f ca="1">'5 QRF forecast by segment'!D13+'Paid ISTs'!C20</f>
        <v>4475</v>
      </c>
      <c r="D12" s="104">
        <f ca="1">'5 QRF forecast by segment'!E13+'Paid ISTs'!D20</f>
        <v>8950</v>
      </c>
      <c r="E12" s="104">
        <f ca="1">'5 QRF forecast by segment'!F13+'Paid ISTs'!E20</f>
        <v>13425</v>
      </c>
      <c r="F12" s="104">
        <f ca="1">'5 QRF forecast by segment'!G13+'Paid ISTs'!F20</f>
        <v>17900</v>
      </c>
    </row>
    <row r="13" spans="1:6" ht="15.75" customHeight="1">
      <c r="A13" s="1" t="s">
        <v>21</v>
      </c>
      <c r="B13" s="104">
        <f t="shared" ref="B13:F13" ca="1" si="1">SUM(B9:B12)</f>
        <v>1080674.2</v>
      </c>
      <c r="C13" s="104">
        <f t="shared" ca="1" si="1"/>
        <v>1164329.2</v>
      </c>
      <c r="D13" s="104">
        <f t="shared" ca="1" si="1"/>
        <v>1399968.6400000001</v>
      </c>
      <c r="E13" s="104">
        <f t="shared" ca="1" si="1"/>
        <v>1646563.56</v>
      </c>
      <c r="F13" s="104">
        <f t="shared" ca="1" si="1"/>
        <v>1941658.08</v>
      </c>
    </row>
    <row r="16" spans="1:6" ht="16">
      <c r="A16" s="116" t="s">
        <v>106</v>
      </c>
      <c r="B16" s="104">
        <f t="shared" ref="B16:F16" ca="1" si="2">B9/B2</f>
        <v>1452.2273092369478</v>
      </c>
      <c r="C16" s="104">
        <f t="shared" ca="1" si="2"/>
        <v>1562.6664310954063</v>
      </c>
      <c r="D16" s="104">
        <f t="shared" ca="1" si="2"/>
        <v>1568.3337931034482</v>
      </c>
      <c r="E16" s="104">
        <f t="shared" ca="1" si="2"/>
        <v>1563.4987902187902</v>
      </c>
      <c r="F16" s="104">
        <f t="shared" ca="1" si="2"/>
        <v>1560.6797402597404</v>
      </c>
    </row>
    <row r="17" spans="1:6" ht="16">
      <c r="A17" s="116" t="s">
        <v>107</v>
      </c>
      <c r="B17" s="104">
        <f t="shared" ref="B17:F17" ca="1" si="3">B10/B3</f>
        <v>1695</v>
      </c>
      <c r="C17" s="104">
        <f t="shared" ca="1" si="3"/>
        <v>1847.0707070707072</v>
      </c>
      <c r="D17" s="104">
        <f t="shared" ca="1" si="3"/>
        <v>1911.7391304347825</v>
      </c>
      <c r="E17" s="104">
        <f t="shared" ca="1" si="3"/>
        <v>1953.8976377952756</v>
      </c>
      <c r="F17" s="104">
        <f t="shared" ca="1" si="3"/>
        <v>1968.6764705882354</v>
      </c>
    </row>
    <row r="18" spans="1:6" ht="16">
      <c r="A18" s="116" t="s">
        <v>77</v>
      </c>
      <c r="B18" s="104">
        <f t="shared" ref="B18:F18" ca="1" si="4">B11/B4</f>
        <v>1842.1052631578948</v>
      </c>
      <c r="C18" s="104">
        <f t="shared" ca="1" si="4"/>
        <v>2313.125</v>
      </c>
      <c r="D18" s="104">
        <f t="shared" ca="1" si="4"/>
        <v>2274.3636363636365</v>
      </c>
      <c r="E18" s="104">
        <f t="shared" ca="1" si="4"/>
        <v>2268.7333333333331</v>
      </c>
      <c r="F18" s="104">
        <f t="shared" ca="1" si="4"/>
        <v>2252.1052631578946</v>
      </c>
    </row>
    <row r="19" spans="1:6" ht="16">
      <c r="A19" s="116" t="s">
        <v>108</v>
      </c>
      <c r="C19" s="104">
        <f t="shared" ref="C19:F19" ca="1" si="5">C12/C5</f>
        <v>895</v>
      </c>
      <c r="D19" s="104">
        <f t="shared" ca="1" si="5"/>
        <v>895</v>
      </c>
      <c r="E19" s="104">
        <f t="shared" ca="1" si="5"/>
        <v>895</v>
      </c>
      <c r="F19" s="104">
        <f t="shared" ca="1" si="5"/>
        <v>895</v>
      </c>
    </row>
    <row r="23" spans="1:6" ht="15.75" customHeight="1">
      <c r="A23" s="1" t="s">
        <v>109</v>
      </c>
      <c r="B23" s="1">
        <f ca="1">PPPs!C3</f>
        <v>700</v>
      </c>
      <c r="C23" s="1">
        <f ca="1">PPPs!D3</f>
        <v>900</v>
      </c>
      <c r="D23" s="1">
        <f ca="1">PPPs!E3</f>
        <v>1050</v>
      </c>
      <c r="E23" s="1">
        <f ca="1">PPPs!F3</f>
        <v>1700</v>
      </c>
      <c r="F23" s="1">
        <f ca="1">PPPs!G3</f>
        <v>2000</v>
      </c>
    </row>
    <row r="24" spans="1:6" ht="15.75" customHeight="1">
      <c r="A24" s="1" t="s">
        <v>110</v>
      </c>
      <c r="B24" s="1">
        <f ca="1">PPPs!C36</f>
        <v>280</v>
      </c>
      <c r="C24" s="1">
        <f ca="1">PPPs!D36</f>
        <v>315</v>
      </c>
      <c r="D24" s="1">
        <f ca="1">PPPs!E36</f>
        <v>345</v>
      </c>
      <c r="E24" s="1">
        <f ca="1">PPPs!F36</f>
        <v>350</v>
      </c>
      <c r="F24" s="1">
        <f ca="1">PPPs!G36</f>
        <v>355</v>
      </c>
    </row>
    <row r="25" spans="1:6" ht="15.75" customHeight="1">
      <c r="A25" s="1" t="s">
        <v>111</v>
      </c>
      <c r="B25" s="104">
        <f ca="1">PPPs!C9</f>
        <v>985418</v>
      </c>
      <c r="C25" s="104">
        <f ca="1">PPPs!D9</f>
        <v>969606</v>
      </c>
      <c r="D25" s="104">
        <f ca="1">PPPs!E9</f>
        <v>871017</v>
      </c>
      <c r="E25" s="104">
        <f ca="1">PPPs!F9</f>
        <v>1410218</v>
      </c>
      <c r="F25" s="104">
        <f ca="1">PPPs!G9</f>
        <v>1659080</v>
      </c>
    </row>
    <row r="26" spans="1:6" ht="15.75" customHeight="1">
      <c r="A26" s="1" t="s">
        <v>112</v>
      </c>
      <c r="B26" s="81">
        <f ca="1">PPPs!C39</f>
        <v>190125</v>
      </c>
      <c r="C26" s="81">
        <f ca="1">PPPs!D39</f>
        <v>204125</v>
      </c>
      <c r="D26" s="81">
        <f ca="1">PPPs!E39</f>
        <v>216125</v>
      </c>
      <c r="E26" s="81">
        <f ca="1">PPPs!F39</f>
        <v>218125</v>
      </c>
      <c r="F26" s="81">
        <f ca="1">PPPs!G39</f>
        <v>220125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99"/>
  <sheetViews>
    <sheetView workbookViewId="0"/>
  </sheetViews>
  <sheetFormatPr baseColWidth="10" defaultColWidth="12.6640625" defaultRowHeight="15.75" customHeight="1"/>
  <cols>
    <col min="1" max="2" width="46" customWidth="1"/>
    <col min="9" max="9" width="13.6640625" customWidth="1"/>
  </cols>
  <sheetData>
    <row r="1" spans="1:14" ht="15.75" customHeight="1">
      <c r="C1" s="6" t="s">
        <v>1</v>
      </c>
      <c r="D1" s="6" t="s">
        <v>2</v>
      </c>
      <c r="E1" s="6" t="s">
        <v>28</v>
      </c>
      <c r="F1" s="7" t="s">
        <v>29</v>
      </c>
      <c r="G1" s="6" t="s">
        <v>5</v>
      </c>
    </row>
    <row r="2" spans="1:14" ht="16">
      <c r="A2" s="115"/>
      <c r="B2" s="116"/>
      <c r="C2" s="136" t="s">
        <v>56</v>
      </c>
      <c r="D2" s="137"/>
      <c r="E2" s="137"/>
      <c r="F2" s="137"/>
      <c r="G2" s="137"/>
    </row>
    <row r="3" spans="1:14" ht="16">
      <c r="A3" s="138" t="s">
        <v>57</v>
      </c>
      <c r="B3" s="116" t="s">
        <v>7</v>
      </c>
      <c r="C3" s="1">
        <f ca="1">' Euaa commercial'!C7</f>
        <v>316</v>
      </c>
      <c r="D3" s="1">
        <f ca="1">' Euaa commercial'!D7</f>
        <v>438</v>
      </c>
      <c r="E3" s="1">
        <f ca="1">' Euaa commercial'!E7</f>
        <v>569</v>
      </c>
      <c r="F3" s="1">
        <f ca="1">' Euaa commercial'!F7</f>
        <v>679</v>
      </c>
      <c r="G3" s="1">
        <f ca="1">' Euaa commercial'!G7</f>
        <v>826</v>
      </c>
    </row>
    <row r="4" spans="1:14" ht="16">
      <c r="A4" s="137"/>
      <c r="B4" s="116" t="s">
        <v>12</v>
      </c>
      <c r="C4" s="1">
        <f ca="1">' Euaa commercial'!C23</f>
        <v>57</v>
      </c>
      <c r="D4" s="1">
        <f ca="1">' Euaa commercial'!D23</f>
        <v>69</v>
      </c>
      <c r="E4" s="1">
        <f ca="1">' Euaa commercial'!E23</f>
        <v>85</v>
      </c>
      <c r="F4" s="1">
        <f ca="1">' Euaa commercial'!F23</f>
        <v>97</v>
      </c>
      <c r="G4" s="1">
        <f ca="1">' Euaa commercial'!G23</f>
        <v>106</v>
      </c>
    </row>
    <row r="5" spans="1:14" ht="16">
      <c r="A5" s="137"/>
      <c r="B5" s="116" t="s">
        <v>15</v>
      </c>
      <c r="C5" s="1">
        <f ca="1">' Euaa commercial'!C38</f>
        <v>30</v>
      </c>
      <c r="D5" s="1">
        <f ca="1">' Euaa commercial'!D38</f>
        <v>40</v>
      </c>
      <c r="E5" s="1">
        <f ca="1">' Euaa commercial'!E38</f>
        <v>55</v>
      </c>
      <c r="F5" s="1">
        <f ca="1">' Euaa commercial'!F38</f>
        <v>75</v>
      </c>
      <c r="G5" s="1">
        <f ca="1">' Euaa commercial'!G38</f>
        <v>95</v>
      </c>
    </row>
    <row r="6" spans="1:14" ht="16">
      <c r="A6" s="137"/>
      <c r="B6" s="116" t="s">
        <v>18</v>
      </c>
      <c r="C6" s="1">
        <f ca="1">' Euaa commercial'!C54</f>
        <v>0</v>
      </c>
      <c r="D6" s="1">
        <f ca="1">' Euaa commercial'!D54</f>
        <v>5</v>
      </c>
      <c r="E6" s="1">
        <f ca="1">' Euaa commercial'!E54</f>
        <v>10</v>
      </c>
      <c r="F6" s="1">
        <f ca="1">' Euaa commercial'!F54</f>
        <v>15</v>
      </c>
      <c r="G6" s="1">
        <f ca="1">' Euaa commercial'!G54</f>
        <v>20</v>
      </c>
    </row>
    <row r="7" spans="1:14" ht="16">
      <c r="A7" s="137"/>
      <c r="B7" s="118" t="s">
        <v>21</v>
      </c>
      <c r="C7" s="83">
        <f t="shared" ref="C7:G7" ca="1" si="0">SUM(C3:C6)</f>
        <v>403</v>
      </c>
      <c r="D7" s="83">
        <f t="shared" ca="1" si="0"/>
        <v>552</v>
      </c>
      <c r="E7" s="83">
        <f t="shared" ca="1" si="0"/>
        <v>719</v>
      </c>
      <c r="F7" s="83">
        <f t="shared" ca="1" si="0"/>
        <v>866</v>
      </c>
      <c r="G7" s="83">
        <f t="shared" ca="1" si="0"/>
        <v>1047</v>
      </c>
    </row>
    <row r="8" spans="1:14" ht="16">
      <c r="A8" s="137"/>
      <c r="B8" s="118"/>
    </row>
    <row r="9" spans="1:14" ht="16">
      <c r="A9" s="137"/>
      <c r="B9" s="118"/>
      <c r="C9" s="136" t="s">
        <v>58</v>
      </c>
      <c r="D9" s="137"/>
      <c r="E9" s="137"/>
      <c r="F9" s="137"/>
      <c r="G9" s="137"/>
      <c r="I9" s="1" t="s">
        <v>59</v>
      </c>
      <c r="K9" s="1" t="s">
        <v>60</v>
      </c>
    </row>
    <row r="10" spans="1:14" ht="16">
      <c r="A10" s="137"/>
      <c r="B10" s="116" t="s">
        <v>7</v>
      </c>
      <c r="C10" s="104">
        <f ca="1">' Euaa commercial'!C9</f>
        <v>548509.19999999995</v>
      </c>
      <c r="D10" s="104">
        <f ca="1">' Euaa commercial'!D9</f>
        <v>741689.2</v>
      </c>
      <c r="E10" s="104">
        <f ca="1">' Euaa commercial'!E9</f>
        <v>940648.64</v>
      </c>
      <c r="F10" s="104">
        <f ca="1">' Euaa commercial'!F9</f>
        <v>1109408.56</v>
      </c>
      <c r="G10" s="104">
        <f ca="1">' Euaa commercial'!G9</f>
        <v>1336638.08</v>
      </c>
      <c r="K10" s="119" t="s">
        <v>61</v>
      </c>
      <c r="L10" s="119" t="s">
        <v>2</v>
      </c>
      <c r="M10" s="119" t="s">
        <v>3</v>
      </c>
      <c r="N10" s="119" t="s">
        <v>4</v>
      </c>
    </row>
    <row r="11" spans="1:14" ht="16">
      <c r="A11" s="137"/>
      <c r="B11" s="116" t="s">
        <v>12</v>
      </c>
      <c r="C11" s="104">
        <f ca="1">' Euaa commercial'!C25</f>
        <v>133865</v>
      </c>
      <c r="D11" s="104">
        <f ca="1">' Euaa commercial'!D25</f>
        <v>169260</v>
      </c>
      <c r="E11" s="104">
        <f ca="1">' Euaa commercial'!E25</f>
        <v>206250</v>
      </c>
      <c r="F11" s="104">
        <f ca="1">' Euaa commercial'!F25</f>
        <v>234545</v>
      </c>
      <c r="G11" s="104">
        <f ca="1">' Euaa commercial'!G25</f>
        <v>254140</v>
      </c>
      <c r="K11" s="120" t="s">
        <v>62</v>
      </c>
      <c r="L11" s="120" t="s">
        <v>63</v>
      </c>
      <c r="M11" s="120" t="s">
        <v>64</v>
      </c>
      <c r="N11" s="120" t="s">
        <v>65</v>
      </c>
    </row>
    <row r="12" spans="1:14" ht="16">
      <c r="A12" s="137"/>
      <c r="B12" s="116" t="s">
        <v>15</v>
      </c>
      <c r="C12" s="104">
        <f ca="1">' Euaa commercial'!C40</f>
        <v>67200</v>
      </c>
      <c r="D12" s="104">
        <f ca="1">' Euaa commercial'!D40</f>
        <v>92525</v>
      </c>
      <c r="E12" s="104">
        <f ca="1">' Euaa commercial'!E40</f>
        <v>125090</v>
      </c>
      <c r="F12" s="104">
        <f ca="1">' Euaa commercial'!F40</f>
        <v>170155</v>
      </c>
      <c r="G12" s="104">
        <f ca="1">' Euaa commercial'!G40</f>
        <v>213950</v>
      </c>
      <c r="K12" s="120" t="s">
        <v>66</v>
      </c>
      <c r="L12" s="120" t="s">
        <v>67</v>
      </c>
      <c r="M12" s="120" t="s">
        <v>68</v>
      </c>
      <c r="N12" s="120" t="s">
        <v>69</v>
      </c>
    </row>
    <row r="13" spans="1:14" ht="16">
      <c r="A13" s="137"/>
      <c r="B13" s="116" t="s">
        <v>18</v>
      </c>
      <c r="C13" s="104">
        <f ca="1">' Euaa commercial'!C56</f>
        <v>0</v>
      </c>
      <c r="D13" s="104">
        <f ca="1">' Euaa commercial'!D56</f>
        <v>4475</v>
      </c>
      <c r="E13" s="104">
        <f ca="1">' Euaa commercial'!E56</f>
        <v>8950</v>
      </c>
      <c r="F13" s="104">
        <f ca="1">' Euaa commercial'!F56</f>
        <v>13425</v>
      </c>
      <c r="G13" s="104">
        <f ca="1">' Euaa commercial'!G56</f>
        <v>17900</v>
      </c>
      <c r="K13" s="120" t="s">
        <v>70</v>
      </c>
      <c r="L13" s="120" t="s">
        <v>71</v>
      </c>
      <c r="M13" s="120" t="s">
        <v>72</v>
      </c>
      <c r="N13" s="120" t="s">
        <v>73</v>
      </c>
    </row>
    <row r="14" spans="1:14" ht="15.75" customHeight="1">
      <c r="A14" s="137"/>
      <c r="B14" s="1" t="s">
        <v>21</v>
      </c>
      <c r="C14" s="121">
        <f t="shared" ref="C14:G14" ca="1" si="1">SUM(C10:C13)</f>
        <v>749574.2</v>
      </c>
      <c r="D14" s="121">
        <f t="shared" ca="1" si="1"/>
        <v>1007949.2</v>
      </c>
      <c r="E14" s="121">
        <f t="shared" ca="1" si="1"/>
        <v>1280938.6400000001</v>
      </c>
      <c r="F14" s="121">
        <f t="shared" ca="1" si="1"/>
        <v>1527533.56</v>
      </c>
      <c r="G14" s="121">
        <f t="shared" ca="1" si="1"/>
        <v>1822628.08</v>
      </c>
    </row>
    <row r="15" spans="1:14" ht="15.75" customHeight="1">
      <c r="A15" s="137"/>
      <c r="C15" s="104"/>
      <c r="D15" s="104"/>
      <c r="E15" s="104"/>
      <c r="F15" s="104"/>
      <c r="G15" s="104"/>
    </row>
    <row r="16" spans="1:14" ht="15.75" customHeight="1">
      <c r="A16" s="137"/>
      <c r="C16" s="104"/>
      <c r="D16" s="104"/>
      <c r="E16" s="104"/>
      <c r="F16" s="104"/>
      <c r="G16" s="104"/>
    </row>
    <row r="17" spans="1:9" ht="15.75" customHeight="1">
      <c r="A17" s="137"/>
      <c r="C17" s="136" t="s">
        <v>74</v>
      </c>
      <c r="D17" s="137"/>
      <c r="E17" s="137"/>
      <c r="F17" s="137"/>
      <c r="G17" s="137"/>
    </row>
    <row r="18" spans="1:9" ht="16">
      <c r="A18" s="137"/>
      <c r="B18" s="116" t="s">
        <v>75</v>
      </c>
      <c r="C18" s="104">
        <f t="shared" ref="C18:G18" ca="1" si="2">C10/C3</f>
        <v>1735.7886075949366</v>
      </c>
      <c r="D18" s="104">
        <f t="shared" ca="1" si="2"/>
        <v>1693.3543378995432</v>
      </c>
      <c r="E18" s="104">
        <f t="shared" ca="1" si="2"/>
        <v>1653.1610544815467</v>
      </c>
      <c r="F18" s="104">
        <f t="shared" ca="1" si="2"/>
        <v>1633.8859499263624</v>
      </c>
      <c r="G18" s="104">
        <f t="shared" ca="1" si="2"/>
        <v>1618.2059079903149</v>
      </c>
    </row>
    <row r="19" spans="1:9" ht="16">
      <c r="A19" s="137"/>
      <c r="B19" s="116" t="s">
        <v>76</v>
      </c>
      <c r="C19" s="104">
        <f t="shared" ref="C19:G19" ca="1" si="3">C11/C4</f>
        <v>2348.5087719298244</v>
      </c>
      <c r="D19" s="104">
        <f t="shared" ca="1" si="3"/>
        <v>2453.0434782608695</v>
      </c>
      <c r="E19" s="104">
        <f t="shared" ca="1" si="3"/>
        <v>2426.4705882352941</v>
      </c>
      <c r="F19" s="104">
        <f t="shared" ca="1" si="3"/>
        <v>2417.9896907216494</v>
      </c>
      <c r="G19" s="104">
        <f t="shared" ca="1" si="3"/>
        <v>2397.5471698113206</v>
      </c>
    </row>
    <row r="20" spans="1:9" ht="16">
      <c r="A20" s="137"/>
      <c r="B20" s="116" t="s">
        <v>77</v>
      </c>
      <c r="C20" s="104">
        <f t="shared" ref="C20:G20" ca="1" si="4">C12/C5</f>
        <v>2240</v>
      </c>
      <c r="D20" s="104">
        <f t="shared" ca="1" si="4"/>
        <v>2313.125</v>
      </c>
      <c r="E20" s="104">
        <f t="shared" ca="1" si="4"/>
        <v>2274.3636363636365</v>
      </c>
      <c r="F20" s="104">
        <f t="shared" ca="1" si="4"/>
        <v>2268.7333333333331</v>
      </c>
      <c r="G20" s="104">
        <f t="shared" ca="1" si="4"/>
        <v>2252.1052631578946</v>
      </c>
    </row>
    <row r="21" spans="1:9" ht="16">
      <c r="A21" s="137"/>
      <c r="B21" s="116" t="s">
        <v>78</v>
      </c>
      <c r="C21" s="104" t="e">
        <f t="shared" ref="C21:G21" ca="1" si="5">C13/C6</f>
        <v>#DIV/0!</v>
      </c>
      <c r="D21" s="104">
        <f t="shared" ca="1" si="5"/>
        <v>895</v>
      </c>
      <c r="E21" s="104">
        <f t="shared" ca="1" si="5"/>
        <v>895</v>
      </c>
      <c r="F21" s="104">
        <f t="shared" ca="1" si="5"/>
        <v>895</v>
      </c>
      <c r="G21" s="104">
        <f t="shared" ca="1" si="5"/>
        <v>895</v>
      </c>
      <c r="I21" s="104">
        <f ca="1">SUM(D10:G13)</f>
        <v>5639049.4800000004</v>
      </c>
    </row>
    <row r="22" spans="1:9" ht="15.75" customHeight="1">
      <c r="A22" s="137"/>
      <c r="B22" s="1" t="s">
        <v>79</v>
      </c>
      <c r="C22" s="121">
        <f t="shared" ref="C22:G22" ca="1" si="6">C14/C7</f>
        <v>1859.9856079404465</v>
      </c>
      <c r="D22" s="121">
        <f t="shared" ca="1" si="6"/>
        <v>1825.9949275362319</v>
      </c>
      <c r="E22" s="121">
        <f t="shared" ca="1" si="6"/>
        <v>1781.5558275382477</v>
      </c>
      <c r="F22" s="121">
        <f t="shared" ca="1" si="6"/>
        <v>1763.8955658198615</v>
      </c>
      <c r="G22" s="121">
        <f t="shared" ca="1" si="6"/>
        <v>1740.8100095510983</v>
      </c>
    </row>
    <row r="24" spans="1:9" ht="15.75" customHeight="1">
      <c r="C24" s="117"/>
      <c r="D24" s="117"/>
      <c r="E24" s="117"/>
      <c r="F24" s="117"/>
      <c r="G24" s="117"/>
    </row>
    <row r="25" spans="1:9" ht="15.75" customHeight="1">
      <c r="C25" s="136" t="s">
        <v>80</v>
      </c>
      <c r="D25" s="137"/>
      <c r="E25" s="137"/>
      <c r="F25" s="137"/>
      <c r="G25" s="137"/>
    </row>
    <row r="26" spans="1:9" ht="15.75" customHeight="1">
      <c r="A26" s="139" t="s">
        <v>81</v>
      </c>
      <c r="B26" s="1" t="s">
        <v>82</v>
      </c>
      <c r="C26" s="1">
        <f ca="1">PPPs!C36</f>
        <v>280</v>
      </c>
      <c r="D26" s="1">
        <f ca="1">PPPs!D36</f>
        <v>315</v>
      </c>
      <c r="E26" s="1">
        <f ca="1">PPPs!E36</f>
        <v>345</v>
      </c>
      <c r="F26" s="1">
        <f ca="1">PPPs!F36</f>
        <v>350</v>
      </c>
      <c r="G26" s="1">
        <f ca="1">PPPs!G36</f>
        <v>355</v>
      </c>
    </row>
    <row r="27" spans="1:9" ht="15.75" customHeight="1">
      <c r="A27" s="137"/>
      <c r="B27" s="1" t="s">
        <v>83</v>
      </c>
      <c r="C27" s="1">
        <f ca="1">PPPs!C3</f>
        <v>700</v>
      </c>
      <c r="D27" s="1">
        <f ca="1">PPPs!D3</f>
        <v>900</v>
      </c>
      <c r="E27" s="1">
        <f ca="1">PPPs!E3</f>
        <v>1050</v>
      </c>
      <c r="F27" s="1">
        <f ca="1">PPPs!F3</f>
        <v>1700</v>
      </c>
      <c r="G27" s="1">
        <f ca="1">PPPs!G3</f>
        <v>2000</v>
      </c>
    </row>
    <row r="28" spans="1:9" ht="15.75" customHeight="1">
      <c r="A28" s="137"/>
      <c r="B28" s="1" t="s">
        <v>84</v>
      </c>
      <c r="C28" s="83">
        <f t="shared" ref="C28:G28" ca="1" si="7">SUM(C26:C27)</f>
        <v>980</v>
      </c>
      <c r="D28" s="83">
        <f t="shared" ca="1" si="7"/>
        <v>1215</v>
      </c>
      <c r="E28" s="83">
        <f t="shared" ca="1" si="7"/>
        <v>1395</v>
      </c>
      <c r="F28" s="83">
        <f t="shared" ca="1" si="7"/>
        <v>2050</v>
      </c>
      <c r="G28" s="83">
        <f t="shared" ca="1" si="7"/>
        <v>2355</v>
      </c>
    </row>
    <row r="29" spans="1:9" ht="15.75" customHeight="1">
      <c r="A29" s="137"/>
      <c r="C29" s="122"/>
      <c r="D29" s="122"/>
      <c r="E29" s="122"/>
      <c r="F29" s="122"/>
      <c r="G29" s="122"/>
    </row>
    <row r="30" spans="1:9" ht="15.75" customHeight="1">
      <c r="A30" s="137"/>
      <c r="C30" s="122"/>
      <c r="D30" s="122"/>
      <c r="E30" s="122"/>
      <c r="F30" s="122"/>
      <c r="G30" s="122"/>
    </row>
    <row r="31" spans="1:9" ht="15.75" customHeight="1">
      <c r="A31" s="137"/>
      <c r="C31" s="136" t="s">
        <v>85</v>
      </c>
      <c r="D31" s="137"/>
      <c r="E31" s="137"/>
      <c r="F31" s="137"/>
      <c r="G31" s="137"/>
    </row>
    <row r="32" spans="1:9" ht="15.75" customHeight="1">
      <c r="A32" s="137"/>
      <c r="B32" s="1" t="s">
        <v>82</v>
      </c>
      <c r="C32" s="104">
        <f ca="1">PPPs!C39</f>
        <v>190125</v>
      </c>
      <c r="D32" s="104">
        <f ca="1">PPPs!D39</f>
        <v>204125</v>
      </c>
      <c r="E32" s="104">
        <f ca="1">PPPs!E39</f>
        <v>216125</v>
      </c>
      <c r="F32" s="104">
        <f ca="1">PPPs!F39</f>
        <v>218125</v>
      </c>
      <c r="G32" s="104">
        <f ca="1">PPPs!G39</f>
        <v>220125</v>
      </c>
    </row>
    <row r="33" spans="1:9" ht="15.75" customHeight="1">
      <c r="A33" s="137"/>
      <c r="B33" s="1" t="s">
        <v>83</v>
      </c>
      <c r="C33" s="104">
        <f ca="1">PPPs!C9</f>
        <v>985418</v>
      </c>
      <c r="D33" s="104">
        <f ca="1">PPPs!D9</f>
        <v>969606</v>
      </c>
      <c r="E33" s="104">
        <f ca="1">PPPs!E9</f>
        <v>871017</v>
      </c>
      <c r="F33" s="104">
        <f ca="1">PPPs!F9</f>
        <v>1410218</v>
      </c>
      <c r="G33" s="104">
        <f ca="1">PPPs!G9</f>
        <v>1659080</v>
      </c>
      <c r="I33" s="104">
        <f ca="1">SUM(D32:G33)</f>
        <v>5768421</v>
      </c>
    </row>
    <row r="34" spans="1:9" ht="15.75" customHeight="1">
      <c r="B34" s="1" t="s">
        <v>86</v>
      </c>
      <c r="C34" s="121">
        <f t="shared" ref="C34:G34" ca="1" si="8">SUM(C32:C33)</f>
        <v>1175543</v>
      </c>
      <c r="D34" s="121">
        <f t="shared" ca="1" si="8"/>
        <v>1173731</v>
      </c>
      <c r="E34" s="121">
        <f t="shared" ca="1" si="8"/>
        <v>1087142</v>
      </c>
      <c r="F34" s="121">
        <f t="shared" ca="1" si="8"/>
        <v>1628343</v>
      </c>
      <c r="G34" s="121">
        <f t="shared" ca="1" si="8"/>
        <v>1879205</v>
      </c>
      <c r="H34" s="104"/>
    </row>
    <row r="35" spans="1:9" ht="15.75" customHeight="1">
      <c r="C35" s="104"/>
      <c r="D35" s="104"/>
      <c r="E35" s="104"/>
      <c r="F35" s="104"/>
      <c r="G35" s="104"/>
    </row>
    <row r="36" spans="1:9" ht="15.75" customHeight="1">
      <c r="C36" s="104"/>
      <c r="D36" s="104"/>
      <c r="E36" s="104"/>
      <c r="F36" s="104"/>
      <c r="G36" s="104"/>
    </row>
    <row r="37" spans="1:9" ht="15.75" customHeight="1">
      <c r="C37" s="136" t="s">
        <v>87</v>
      </c>
      <c r="D37" s="137"/>
      <c r="E37" s="137"/>
      <c r="F37" s="137"/>
      <c r="G37" s="137"/>
    </row>
    <row r="38" spans="1:9" ht="15.75" customHeight="1">
      <c r="A38" s="139" t="s">
        <v>88</v>
      </c>
      <c r="B38" s="1" t="s">
        <v>89</v>
      </c>
      <c r="C38" s="1">
        <f ca="1">'Paid ISTs'!B29</f>
        <v>296</v>
      </c>
      <c r="D38" s="1">
        <f ca="1">'Paid ISTs'!C29</f>
        <v>158</v>
      </c>
      <c r="E38" s="1">
        <f ca="1">'Paid ISTs'!D29</f>
        <v>128</v>
      </c>
      <c r="F38" s="1">
        <f ca="1">'Paid ISTs'!E29</f>
        <v>128</v>
      </c>
      <c r="G38" s="1">
        <f ca="1">'Paid ISTs'!F29</f>
        <v>128</v>
      </c>
    </row>
    <row r="39" spans="1:9" ht="15.75" customHeight="1">
      <c r="A39" s="137"/>
      <c r="B39" s="1" t="s">
        <v>90</v>
      </c>
      <c r="C39" s="1">
        <f ca="1">'Free ISTs'!B21:F21</f>
        <v>247</v>
      </c>
      <c r="D39" s="1">
        <v>0</v>
      </c>
      <c r="E39" s="1">
        <v>0</v>
      </c>
      <c r="F39" s="1">
        <v>0</v>
      </c>
      <c r="G39" s="1">
        <v>0</v>
      </c>
    </row>
    <row r="40" spans="1:9" ht="15.75" customHeight="1">
      <c r="A40" s="137"/>
      <c r="B40" s="1" t="s">
        <v>91</v>
      </c>
      <c r="C40" s="83">
        <f t="shared" ref="C40:G40" ca="1" si="9">SUM(C38:C39)</f>
        <v>543</v>
      </c>
      <c r="D40" s="83">
        <f t="shared" ca="1" si="9"/>
        <v>158</v>
      </c>
      <c r="E40" s="83">
        <f t="shared" ca="1" si="9"/>
        <v>128</v>
      </c>
      <c r="F40" s="83">
        <f t="shared" ca="1" si="9"/>
        <v>128</v>
      </c>
      <c r="G40" s="83">
        <f t="shared" ca="1" si="9"/>
        <v>128</v>
      </c>
    </row>
    <row r="41" spans="1:9" ht="15.75" customHeight="1">
      <c r="A41" s="137"/>
      <c r="C41" s="117"/>
      <c r="D41" s="117"/>
      <c r="E41" s="117"/>
      <c r="F41" s="117"/>
      <c r="G41" s="117"/>
    </row>
    <row r="42" spans="1:9" ht="15.75" customHeight="1">
      <c r="A42" s="137"/>
      <c r="C42" s="136" t="s">
        <v>92</v>
      </c>
      <c r="D42" s="137"/>
      <c r="E42" s="137"/>
      <c r="F42" s="137"/>
      <c r="G42" s="137"/>
    </row>
    <row r="43" spans="1:9" ht="15.75" customHeight="1">
      <c r="A43" s="137"/>
      <c r="B43" s="1" t="s">
        <v>89</v>
      </c>
      <c r="C43" s="104">
        <f ca="1">'Paid ISTs'!B31</f>
        <v>331100</v>
      </c>
      <c r="D43" s="104">
        <f ca="1">'Paid ISTs'!C31</f>
        <v>156380</v>
      </c>
      <c r="E43" s="104">
        <f ca="1">'Paid ISTs'!D31</f>
        <v>119030</v>
      </c>
      <c r="F43" s="104">
        <f ca="1">'Paid ISTs'!E31</f>
        <v>119030</v>
      </c>
      <c r="G43" s="104">
        <f ca="1">'Paid ISTs'!F31</f>
        <v>119030</v>
      </c>
      <c r="I43" s="104">
        <f ca="1">D43+E43+F43+G43</f>
        <v>513470</v>
      </c>
    </row>
    <row r="44" spans="1:9" ht="15.75" customHeight="1">
      <c r="A44" s="137"/>
      <c r="B44" s="1" t="s">
        <v>90</v>
      </c>
      <c r="C44" s="104">
        <v>0</v>
      </c>
      <c r="D44" s="104">
        <v>0</v>
      </c>
      <c r="E44" s="104">
        <v>0</v>
      </c>
      <c r="F44" s="104">
        <v>0</v>
      </c>
      <c r="G44" s="104">
        <v>0</v>
      </c>
    </row>
    <row r="45" spans="1:9" ht="15.75" customHeight="1">
      <c r="C45" s="104"/>
      <c r="D45" s="104"/>
      <c r="E45" s="104"/>
      <c r="F45" s="104"/>
      <c r="G45" s="104"/>
    </row>
    <row r="46" spans="1:9" ht="15.75" customHeight="1">
      <c r="C46" s="136" t="s">
        <v>21</v>
      </c>
      <c r="D46" s="137"/>
      <c r="E46" s="137"/>
      <c r="F46" s="137"/>
      <c r="G46" s="137"/>
    </row>
    <row r="47" spans="1:9" ht="15.75" customHeight="1">
      <c r="A47" s="1"/>
      <c r="B47" s="1" t="s">
        <v>91</v>
      </c>
      <c r="C47" s="1">
        <f t="shared" ref="C47:G47" ca="1" si="10">C3+C4+C5+C6+C26+C27+C38+C39</f>
        <v>1926</v>
      </c>
      <c r="D47" s="1">
        <f t="shared" ca="1" si="10"/>
        <v>1925</v>
      </c>
      <c r="E47" s="1">
        <f t="shared" ca="1" si="10"/>
        <v>2242</v>
      </c>
      <c r="F47" s="1">
        <f t="shared" ca="1" si="10"/>
        <v>3044</v>
      </c>
      <c r="G47" s="1">
        <f t="shared" ca="1" si="10"/>
        <v>3530</v>
      </c>
    </row>
    <row r="48" spans="1:9" ht="15.75" customHeight="1">
      <c r="A48" s="1"/>
      <c r="B48" s="1" t="s">
        <v>93</v>
      </c>
      <c r="C48" s="104">
        <f t="shared" ref="C48:G48" ca="1" si="11">C10+C11+C12+C13+C32+C33+C43</f>
        <v>2256217.2000000002</v>
      </c>
      <c r="D48" s="104">
        <f t="shared" ca="1" si="11"/>
        <v>2338060.2000000002</v>
      </c>
      <c r="E48" s="104">
        <f t="shared" ca="1" si="11"/>
        <v>2487110.64</v>
      </c>
      <c r="F48" s="104">
        <f t="shared" ca="1" si="11"/>
        <v>3274906.56</v>
      </c>
      <c r="G48" s="104">
        <f t="shared" ca="1" si="11"/>
        <v>3820863.08</v>
      </c>
    </row>
    <row r="49" spans="3:9" ht="15.75" customHeight="1">
      <c r="C49" s="104"/>
      <c r="D49" s="104"/>
      <c r="E49" s="104"/>
      <c r="F49" s="104"/>
      <c r="G49" s="104"/>
    </row>
    <row r="50" spans="3:9" ht="15.75" customHeight="1">
      <c r="C50" s="104"/>
      <c r="D50" s="104"/>
      <c r="E50" s="104"/>
      <c r="F50" s="104"/>
      <c r="I50" s="121" t="s">
        <v>94</v>
      </c>
    </row>
    <row r="51" spans="3:9" ht="15.75" customHeight="1">
      <c r="C51" s="104"/>
      <c r="D51" s="104"/>
      <c r="E51" s="104"/>
      <c r="F51" s="104"/>
      <c r="I51" s="123">
        <f ca="1">D48+E48+F48+G48</f>
        <v>11920940.48</v>
      </c>
    </row>
    <row r="93" spans="7:8" ht="13">
      <c r="G93" s="1" t="s">
        <v>95</v>
      </c>
    </row>
    <row r="94" spans="7:8" ht="13">
      <c r="G94" s="1" t="s">
        <v>96</v>
      </c>
      <c r="H94" s="1">
        <v>200000</v>
      </c>
    </row>
    <row r="95" spans="7:8" ht="13">
      <c r="G95" s="1" t="s">
        <v>97</v>
      </c>
      <c r="H95" s="1">
        <v>300000</v>
      </c>
    </row>
    <row r="96" spans="7:8" ht="13">
      <c r="G96" s="1" t="s">
        <v>98</v>
      </c>
      <c r="H96" s="1">
        <v>0</v>
      </c>
    </row>
    <row r="97" spans="7:8" ht="13">
      <c r="G97" s="1" t="s">
        <v>99</v>
      </c>
      <c r="H97" s="1">
        <v>200000</v>
      </c>
    </row>
    <row r="98" spans="7:8" ht="13">
      <c r="G98" s="1" t="s">
        <v>100</v>
      </c>
      <c r="H98" s="1">
        <v>200000</v>
      </c>
    </row>
    <row r="99" spans="7:8" ht="13">
      <c r="G99" s="1" t="s">
        <v>101</v>
      </c>
      <c r="H99" s="1">
        <v>100000</v>
      </c>
    </row>
  </sheetData>
  <mergeCells count="11">
    <mergeCell ref="A3:A22"/>
    <mergeCell ref="C17:G17"/>
    <mergeCell ref="A26:A33"/>
    <mergeCell ref="A38:A44"/>
    <mergeCell ref="C42:G42"/>
    <mergeCell ref="C46:G46"/>
    <mergeCell ref="C9:G9"/>
    <mergeCell ref="C2:G2"/>
    <mergeCell ref="C31:G31"/>
    <mergeCell ref="C37:G37"/>
    <mergeCell ref="C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54"/>
  <sheetViews>
    <sheetView workbookViewId="0">
      <selection activeCell="A6" sqref="A6:XFD6"/>
    </sheetView>
  </sheetViews>
  <sheetFormatPr baseColWidth="10" defaultColWidth="12.6640625" defaultRowHeight="15.75" customHeight="1"/>
  <cols>
    <col min="1" max="1" width="48.83203125" customWidth="1"/>
    <col min="2" max="2" width="40.5" customWidth="1"/>
    <col min="7" max="7" width="16.1640625" customWidth="1"/>
  </cols>
  <sheetData>
    <row r="1" spans="1:9" ht="19">
      <c r="B1" s="105" t="str">
        <f ca="1">IFERROR(__xludf.DUMMYFUNCTION("IMPORTRANGE(""https://docs.google.com/spreadsheets/d/1aVlrwPQtH5JQy0TYcmdwKgkIAfZETvVYw_G0pNNqgrk/edit#gid=0"",""Royal Marsden PPP!A1:F5"")"),"")</f>
        <v/>
      </c>
      <c r="C1" s="4" t="str">
        <f ca="1">IFERROR(__xludf.DUMMYFUNCTION("""COMPUTED_VALUE"""),"forecast")</f>
        <v>forecast</v>
      </c>
      <c r="D1" s="4" t="str">
        <f ca="1">IFERROR(__xludf.DUMMYFUNCTION("""COMPUTED_VALUE"""),"forecast")</f>
        <v>forecast</v>
      </c>
      <c r="E1" s="4" t="str">
        <f ca="1">IFERROR(__xludf.DUMMYFUNCTION("""COMPUTED_VALUE"""),"forecast")</f>
        <v>forecast</v>
      </c>
      <c r="F1" s="4" t="str">
        <f ca="1">IFERROR(__xludf.DUMMYFUNCTION("""COMPUTED_VALUE"""),"forecast")</f>
        <v>forecast</v>
      </c>
      <c r="G1" s="5" t="str">
        <f ca="1">IFERROR(__xludf.DUMMYFUNCTION("""COMPUTED_VALUE"""),"forecast")</f>
        <v>forecast</v>
      </c>
    </row>
    <row r="2" spans="1:9" ht="19">
      <c r="B2" s="105"/>
      <c r="C2" s="5" t="str">
        <f ca="1">IFERROR(__xludf.DUMMYFUNCTION("""COMPUTED_VALUE"""),"Q4 2023")</f>
        <v>Q4 2023</v>
      </c>
      <c r="D2" s="5" t="str">
        <f ca="1">IFERROR(__xludf.DUMMYFUNCTION("""COMPUTED_VALUE"""),"Q1 2024")</f>
        <v>Q1 2024</v>
      </c>
      <c r="E2" s="5" t="str">
        <f ca="1">IFERROR(__xludf.DUMMYFUNCTION("""COMPUTED_VALUE"""),"Q2 2022")</f>
        <v>Q2 2022</v>
      </c>
      <c r="F2" s="5" t="str">
        <f ca="1">IFERROR(__xludf.DUMMYFUNCTION("""COMPUTED_VALUE"""),"Q3 202")</f>
        <v>Q3 202</v>
      </c>
      <c r="G2" s="5" t="str">
        <f ca="1">IFERROR(__xludf.DUMMYFUNCTION("""COMPUTED_VALUE"""),"Q4 2024")</f>
        <v>Q4 2024</v>
      </c>
    </row>
    <row r="3" spans="1:9" ht="13">
      <c r="B3" s="48" t="str">
        <f ca="1">IFERROR(__xludf.DUMMYFUNCTION("""COMPUTED_VALUE"""),"Sample Volume")</f>
        <v>Sample Volume</v>
      </c>
      <c r="C3" s="106">
        <f ca="1">IFERROR(__xludf.DUMMYFUNCTION("""COMPUTED_VALUE"""),700)</f>
        <v>700</v>
      </c>
      <c r="D3" s="106">
        <f ca="1">IFERROR(__xludf.DUMMYFUNCTION("""COMPUTED_VALUE"""),900)</f>
        <v>900</v>
      </c>
      <c r="E3" s="106">
        <f ca="1">IFERROR(__xludf.DUMMYFUNCTION("""COMPUTED_VALUE"""),1050)</f>
        <v>1050</v>
      </c>
      <c r="F3" s="106">
        <f ca="1">IFERROR(__xludf.DUMMYFUNCTION("""COMPUTED_VALUE"""),1700)</f>
        <v>1700</v>
      </c>
      <c r="G3" s="106">
        <f ca="1">IFERROR(__xludf.DUMMYFUNCTION("""COMPUTED_VALUE"""),2000)</f>
        <v>2000</v>
      </c>
    </row>
    <row r="4" spans="1:9" ht="13">
      <c r="B4" s="48" t="str">
        <f ca="1">IFERROR(__xludf.DUMMYFUNCTION("""COMPUTED_VALUE"""),"ASP for the Marsden lab")</f>
        <v>ASP for the Marsden lab</v>
      </c>
      <c r="C4" s="107">
        <f ca="1">IFERROR(__xludf.DUMMYFUNCTION("""COMPUTED_VALUE"""),1700)</f>
        <v>1700</v>
      </c>
      <c r="D4" s="107">
        <f ca="1">IFERROR(__xludf.DUMMYFUNCTION("""COMPUTED_VALUE"""),1700)</f>
        <v>1700</v>
      </c>
      <c r="E4" s="107">
        <f ca="1">IFERROR(__xludf.DUMMYFUNCTION("""COMPUTED_VALUE"""),1400)</f>
        <v>1400</v>
      </c>
      <c r="F4" s="107">
        <f ca="1">IFERROR(__xludf.DUMMYFUNCTION("""COMPUTED_VALUE"""),1400)</f>
        <v>1400</v>
      </c>
      <c r="G4" s="107">
        <f ca="1">IFERROR(__xludf.DUMMYFUNCTION("""COMPUTED_VALUE"""),1400)</f>
        <v>1400</v>
      </c>
    </row>
    <row r="5" spans="1:9" ht="13">
      <c r="B5" s="1" t="str">
        <f ca="1">IFERROR(__xludf.DUMMYFUNCTION("""COMPUTED_VALUE"""),"Assay revenue (will be calculated based on row 2 &amp;3)")</f>
        <v>Assay revenue (will be calculated based on row 2 &amp;3)</v>
      </c>
      <c r="C5" s="108">
        <f ca="1">IFERROR(__xludf.DUMMYFUNCTION("""COMPUTED_VALUE"""),296100)</f>
        <v>296100</v>
      </c>
      <c r="D5" s="108">
        <f ca="1">IFERROR(__xludf.DUMMYFUNCTION("""COMPUTED_VALUE"""),380700)</f>
        <v>380700</v>
      </c>
      <c r="E5" s="108">
        <f ca="1">IFERROR(__xludf.DUMMYFUNCTION("""COMPUTED_VALUE"""),444150)</f>
        <v>444150</v>
      </c>
      <c r="F5" s="108">
        <f ca="1">IFERROR(__xludf.DUMMYFUNCTION("""COMPUTED_VALUE"""),719100)</f>
        <v>719100</v>
      </c>
      <c r="G5" s="108">
        <f ca="1">IFERROR(__xludf.DUMMYFUNCTION("""COMPUTED_VALUE"""),846000)</f>
        <v>846000</v>
      </c>
    </row>
    <row r="6" spans="1:9" ht="13">
      <c r="B6" s="1" t="s">
        <v>42</v>
      </c>
      <c r="C6" s="108">
        <f ca="1">(C3+400)*(C4-B12)</f>
        <v>770000</v>
      </c>
      <c r="D6" s="108">
        <f t="shared" ref="D6:G6" ca="1" si="0">D3*(D4-$B$12)</f>
        <v>630000</v>
      </c>
      <c r="E6" s="108">
        <f t="shared" ca="1" si="0"/>
        <v>420000</v>
      </c>
      <c r="F6" s="108">
        <f t="shared" ca="1" si="0"/>
        <v>680000</v>
      </c>
      <c r="G6" s="108">
        <f t="shared" ca="1" si="0"/>
        <v>800000</v>
      </c>
    </row>
    <row r="7" spans="1:9" ht="13">
      <c r="B7" s="1" t="s">
        <v>43</v>
      </c>
      <c r="C7" s="108">
        <f t="shared" ref="C7:G7" ca="1" si="1">C6*$B$15</f>
        <v>539000</v>
      </c>
      <c r="D7" s="108">
        <f t="shared" ca="1" si="1"/>
        <v>441000</v>
      </c>
      <c r="E7" s="108">
        <f t="shared" ca="1" si="1"/>
        <v>294000</v>
      </c>
      <c r="F7" s="108">
        <f t="shared" ca="1" si="1"/>
        <v>475999.99999999994</v>
      </c>
      <c r="G7" s="108">
        <f t="shared" ca="1" si="1"/>
        <v>560000</v>
      </c>
    </row>
    <row r="8" spans="1:9" ht="13">
      <c r="B8" s="1" t="s">
        <v>44</v>
      </c>
      <c r="C8" s="108">
        <f t="shared" ref="C8:G8" ca="1" si="2">C5+C7</f>
        <v>835100</v>
      </c>
      <c r="D8" s="108">
        <f t="shared" ca="1" si="2"/>
        <v>821700</v>
      </c>
      <c r="E8" s="108">
        <f t="shared" ca="1" si="2"/>
        <v>738150</v>
      </c>
      <c r="F8" s="108">
        <f t="shared" ca="1" si="2"/>
        <v>1195100</v>
      </c>
      <c r="G8" s="108">
        <f t="shared" ca="1" si="2"/>
        <v>1406000</v>
      </c>
    </row>
    <row r="9" spans="1:9" ht="14.25" customHeight="1">
      <c r="B9" s="109" t="s">
        <v>45</v>
      </c>
      <c r="C9" s="110">
        <f t="shared" ref="C9:G9" ca="1" si="3">C8*$B$16</f>
        <v>985418</v>
      </c>
      <c r="D9" s="110">
        <f t="shared" ca="1" si="3"/>
        <v>969606</v>
      </c>
      <c r="E9" s="110">
        <f t="shared" ca="1" si="3"/>
        <v>871017</v>
      </c>
      <c r="F9" s="110">
        <f t="shared" ca="1" si="3"/>
        <v>1410218</v>
      </c>
      <c r="G9" s="110">
        <f t="shared" ca="1" si="3"/>
        <v>1659080</v>
      </c>
      <c r="I9" s="1" t="s">
        <v>46</v>
      </c>
    </row>
    <row r="10" spans="1:9" ht="13">
      <c r="A10" s="48" t="s">
        <v>47</v>
      </c>
      <c r="B10" s="48"/>
      <c r="I10" s="104">
        <f ca="1">D9+E9+F9+G9</f>
        <v>4909921</v>
      </c>
    </row>
    <row r="11" spans="1:9" ht="13">
      <c r="A11" s="48" t="s">
        <v>48</v>
      </c>
      <c r="B11" s="107">
        <v>423</v>
      </c>
    </row>
    <row r="12" spans="1:9" ht="13">
      <c r="A12" s="48" t="s">
        <v>49</v>
      </c>
      <c r="B12" s="107">
        <v>1000</v>
      </c>
    </row>
    <row r="13" spans="1:9" ht="13">
      <c r="A13" s="1" t="s">
        <v>50</v>
      </c>
      <c r="B13" s="111" t="s">
        <v>51</v>
      </c>
    </row>
    <row r="14" spans="1:9" ht="13">
      <c r="A14" s="1" t="s">
        <v>52</v>
      </c>
      <c r="B14" s="1">
        <v>400</v>
      </c>
    </row>
    <row r="15" spans="1:9" ht="13">
      <c r="A15" s="1" t="s">
        <v>53</v>
      </c>
      <c r="B15" s="112">
        <v>0.7</v>
      </c>
    </row>
    <row r="16" spans="1:9" ht="13">
      <c r="A16" s="1" t="s">
        <v>54</v>
      </c>
      <c r="B16" s="1">
        <v>1.18</v>
      </c>
    </row>
    <row r="18" spans="1:7" ht="13">
      <c r="A18" s="113"/>
    </row>
    <row r="21" spans="1:7" ht="13">
      <c r="A21" s="113" t="str">
        <f ca="1">IFERROR(__xludf.DUMMYFUNCTION("IMPORTRANGE(""https://docs.google.com/spreadsheets/d/1aVlrwPQtH5JQy0TYcmdwKgkIAfZETvVYw_G0pNNqgrk/edit#gid=0"",""VHIO PPP!A1:G26"")"),"")</f>
        <v/>
      </c>
      <c r="B21" s="1"/>
      <c r="C21" s="1" t="str">
        <f ca="1">IFERROR(__xludf.DUMMYFUNCTION("""COMPUTED_VALUE"""),"forecast")</f>
        <v>forecast</v>
      </c>
      <c r="D21" s="1" t="str">
        <f ca="1">IFERROR(__xludf.DUMMYFUNCTION("""COMPUTED_VALUE"""),"forecast")</f>
        <v>forecast</v>
      </c>
      <c r="E21" s="1" t="str">
        <f ca="1">IFERROR(__xludf.DUMMYFUNCTION("""COMPUTED_VALUE"""),"forecast")</f>
        <v>forecast</v>
      </c>
      <c r="F21" s="1" t="str">
        <f ca="1">IFERROR(__xludf.DUMMYFUNCTION("""COMPUTED_VALUE"""),"forecast")</f>
        <v>forecast</v>
      </c>
      <c r="G21" s="1" t="str">
        <f ca="1">IFERROR(__xludf.DUMMYFUNCTION("""COMPUTED_VALUE"""),"forecast")</f>
        <v>forecast</v>
      </c>
    </row>
    <row r="22" spans="1:7" ht="13">
      <c r="A22" s="1"/>
      <c r="B22" s="1"/>
      <c r="C22" s="1" t="str">
        <f ca="1">IFERROR(__xludf.DUMMYFUNCTION("""COMPUTED_VALUE"""),"Q4 2023")</f>
        <v>Q4 2023</v>
      </c>
      <c r="D22" s="1" t="str">
        <f ca="1">IFERROR(__xludf.DUMMYFUNCTION("""COMPUTED_VALUE"""),"Q1 2024")</f>
        <v>Q1 2024</v>
      </c>
      <c r="E22" s="1" t="str">
        <f ca="1">IFERROR(__xludf.DUMMYFUNCTION("""COMPUTED_VALUE"""),"Q2 2024")</f>
        <v>Q2 2024</v>
      </c>
      <c r="F22" s="1" t="str">
        <f ca="1">IFERROR(__xludf.DUMMYFUNCTION("""COMPUTED_VALUE"""),"Q3 2024")</f>
        <v>Q3 2024</v>
      </c>
      <c r="G22" s="1" t="str">
        <f ca="1">IFERROR(__xludf.DUMMYFUNCTION("""COMPUTED_VALUE"""),"Q4 2024")</f>
        <v>Q4 2024</v>
      </c>
    </row>
    <row r="23" spans="1:7" ht="13">
      <c r="A23" s="1" t="str">
        <f ca="1">IFERROR(__xludf.DUMMYFUNCTION("""COMPUTED_VALUE"""),"VHIO Internal")</f>
        <v>VHIO Internal</v>
      </c>
      <c r="B23" s="1" t="str">
        <f ca="1">IFERROR(__xludf.DUMMYFUNCTION("""COMPUTED_VALUE"""),"Sample Volume - VHIO Internal")</f>
        <v>Sample Volume - VHIO Internal</v>
      </c>
      <c r="C23" s="1">
        <f ca="1">IFERROR(__xludf.DUMMYFUNCTION("""COMPUTED_VALUE"""),250)</f>
        <v>250</v>
      </c>
      <c r="D23" s="1">
        <f ca="1">IFERROR(__xludf.DUMMYFUNCTION("""COMPUTED_VALUE"""),275)</f>
        <v>275</v>
      </c>
      <c r="E23" s="1">
        <f ca="1">IFERROR(__xludf.DUMMYFUNCTION("""COMPUTED_VALUE"""),300)</f>
        <v>300</v>
      </c>
      <c r="F23" s="1">
        <f ca="1">IFERROR(__xludf.DUMMYFUNCTION("""COMPUTED_VALUE"""),300)</f>
        <v>300</v>
      </c>
      <c r="G23" s="1">
        <f ca="1">IFERROR(__xludf.DUMMYFUNCTION("""COMPUTED_VALUE"""),300)</f>
        <v>300</v>
      </c>
    </row>
    <row r="24" spans="1:7" ht="13">
      <c r="A24" s="1"/>
      <c r="B24" s="1" t="str">
        <f ca="1">IFERROR(__xludf.DUMMYFUNCTION("""COMPUTED_VALUE"""),"ASP")</f>
        <v>ASP</v>
      </c>
      <c r="C24" s="81">
        <f ca="1">IFERROR(__xludf.DUMMYFUNCTION("""COMPUTED_VALUE"""),1000)</f>
        <v>1000</v>
      </c>
      <c r="D24" s="81">
        <f ca="1">IFERROR(__xludf.DUMMYFUNCTION("""COMPUTED_VALUE"""),1000)</f>
        <v>1000</v>
      </c>
      <c r="E24" s="81">
        <f ca="1">IFERROR(__xludf.DUMMYFUNCTION("""COMPUTED_VALUE"""),1000)</f>
        <v>1000</v>
      </c>
      <c r="F24" s="81">
        <f ca="1">IFERROR(__xludf.DUMMYFUNCTION("""COMPUTED_VALUE"""),1000)</f>
        <v>1000</v>
      </c>
      <c r="G24" s="81">
        <f ca="1">IFERROR(__xludf.DUMMYFUNCTION("""COMPUTED_VALUE"""),1000)</f>
        <v>1000</v>
      </c>
    </row>
    <row r="25" spans="1:7" ht="13">
      <c r="A25" s="1"/>
      <c r="B25" s="1"/>
      <c r="C25" s="1"/>
      <c r="D25" s="1"/>
      <c r="E25" s="1"/>
      <c r="F25" s="1"/>
      <c r="G25" s="1"/>
    </row>
    <row r="26" spans="1:7" ht="13">
      <c r="A26" s="1"/>
      <c r="B26" s="1"/>
      <c r="C26" s="1"/>
      <c r="D26" s="1"/>
      <c r="E26" s="1"/>
      <c r="F26" s="1"/>
      <c r="G26" s="1"/>
    </row>
    <row r="27" spans="1:7" ht="13">
      <c r="A27" s="1" t="str">
        <f ca="1">IFERROR(__xludf.DUMMYFUNCTION("""COMPUTED_VALUE"""),"VHIO - External Spain")</f>
        <v>VHIO - External Spain</v>
      </c>
      <c r="B27" s="1" t="str">
        <f ca="1">IFERROR(__xludf.DUMMYFUNCTION("""COMPUTED_VALUE"""),"Sample Volume - VHIO External Spain")</f>
        <v>Sample Volume - VHIO External Spain</v>
      </c>
      <c r="C27" s="1">
        <f ca="1">IFERROR(__xludf.DUMMYFUNCTION("""COMPUTED_VALUE"""),30)</f>
        <v>30</v>
      </c>
      <c r="D27" s="1">
        <f ca="1">IFERROR(__xludf.DUMMYFUNCTION("""COMPUTED_VALUE"""),40)</f>
        <v>40</v>
      </c>
      <c r="E27" s="1">
        <f ca="1">IFERROR(__xludf.DUMMYFUNCTION("""COMPUTED_VALUE"""),45)</f>
        <v>45</v>
      </c>
      <c r="F27" s="1">
        <f ca="1">IFERROR(__xludf.DUMMYFUNCTION("""COMPUTED_VALUE"""),50)</f>
        <v>50</v>
      </c>
      <c r="G27" s="1">
        <f ca="1">IFERROR(__xludf.DUMMYFUNCTION("""COMPUTED_VALUE"""),55)</f>
        <v>55</v>
      </c>
    </row>
    <row r="28" spans="1:7" ht="13">
      <c r="A28" s="1"/>
      <c r="B28" s="1" t="str">
        <f ca="1">IFERROR(__xludf.DUMMYFUNCTION("""COMPUTED_VALUE"""),"ASP")</f>
        <v>ASP</v>
      </c>
      <c r="C28" s="81">
        <f ca="1">IFERROR(__xludf.DUMMYFUNCTION("""COMPUTED_VALUE"""),1800)</f>
        <v>1800</v>
      </c>
      <c r="D28" s="81">
        <f ca="1">IFERROR(__xludf.DUMMYFUNCTION("""COMPUTED_VALUE"""),1800)</f>
        <v>1800</v>
      </c>
      <c r="E28" s="81">
        <f ca="1">IFERROR(__xludf.DUMMYFUNCTION("""COMPUTED_VALUE"""),1800)</f>
        <v>1800</v>
      </c>
      <c r="F28" s="81">
        <f ca="1">IFERROR(__xludf.DUMMYFUNCTION("""COMPUTED_VALUE"""),1800)</f>
        <v>1800</v>
      </c>
      <c r="G28" s="81">
        <f ca="1">IFERROR(__xludf.DUMMYFUNCTION("""COMPUTED_VALUE"""),1800)</f>
        <v>1800</v>
      </c>
    </row>
    <row r="29" spans="1:7" ht="13">
      <c r="A29" s="1"/>
      <c r="B29" s="1"/>
      <c r="C29" s="1"/>
      <c r="D29" s="1"/>
      <c r="E29" s="1"/>
      <c r="F29" s="1"/>
      <c r="G29" s="1"/>
    </row>
    <row r="30" spans="1:7" ht="13">
      <c r="A30" s="1"/>
      <c r="B30" s="1"/>
      <c r="C30" s="1"/>
      <c r="D30" s="1"/>
      <c r="E30" s="1"/>
      <c r="F30" s="1"/>
      <c r="G30" s="1"/>
    </row>
    <row r="31" spans="1:7" ht="13">
      <c r="A31" s="1" t="str">
        <f ca="1">IFERROR(__xludf.DUMMYFUNCTION("""COMPUTED_VALUE"""),"VHIO - External Cross border - 
Forecast to be provided by other countries")</f>
        <v>VHIO - External Cross border - 
Forecast to be provided by other countries</v>
      </c>
      <c r="B31" s="1" t="str">
        <f ca="1">IFERROR(__xludf.DUMMYFUNCTION("""COMPUTED_VALUE"""),"Sample Volume - VHIO External Cross-border")</f>
        <v>Sample Volume - VHIO External Cross-border</v>
      </c>
      <c r="C31" s="1">
        <f ca="1">IFERROR(__xludf.DUMMYFUNCTION("""COMPUTED_VALUE"""),0)</f>
        <v>0</v>
      </c>
      <c r="D31" s="1">
        <f ca="1">IFERROR(__xludf.DUMMYFUNCTION("""COMPUTED_VALUE"""),0)</f>
        <v>0</v>
      </c>
      <c r="E31" s="1">
        <f ca="1">IFERROR(__xludf.DUMMYFUNCTION("""COMPUTED_VALUE"""),0)</f>
        <v>0</v>
      </c>
      <c r="F31" s="1">
        <f ca="1">IFERROR(__xludf.DUMMYFUNCTION("""COMPUTED_VALUE"""),0)</f>
        <v>0</v>
      </c>
      <c r="G31" s="1">
        <f ca="1">IFERROR(__xludf.DUMMYFUNCTION("""COMPUTED_VALUE"""),0)</f>
        <v>0</v>
      </c>
    </row>
    <row r="32" spans="1:7" ht="13">
      <c r="A32" s="1"/>
      <c r="B32" s="1" t="str">
        <f ca="1">IFERROR(__xludf.DUMMYFUNCTION("""COMPUTED_VALUE"""),"ASP")</f>
        <v>ASP</v>
      </c>
      <c r="C32" s="81">
        <f ca="1">IFERROR(__xludf.DUMMYFUNCTION("""COMPUTED_VALUE"""),1400)</f>
        <v>1400</v>
      </c>
      <c r="D32" s="81">
        <f ca="1">IFERROR(__xludf.DUMMYFUNCTION("""COMPUTED_VALUE"""),1000)</f>
        <v>1000</v>
      </c>
      <c r="E32" s="81">
        <f ca="1">IFERROR(__xludf.DUMMYFUNCTION("""COMPUTED_VALUE"""),1000)</f>
        <v>1000</v>
      </c>
      <c r="F32" s="81">
        <f ca="1">IFERROR(__xludf.DUMMYFUNCTION("""COMPUTED_VALUE"""),1000)</f>
        <v>1000</v>
      </c>
      <c r="G32" s="81">
        <f ca="1">IFERROR(__xludf.DUMMYFUNCTION("""COMPUTED_VALUE"""),1000)</f>
        <v>1000</v>
      </c>
    </row>
    <row r="33" spans="1:7" ht="13">
      <c r="A33" s="1"/>
      <c r="B33" s="1"/>
      <c r="C33" s="1"/>
      <c r="D33" s="1"/>
      <c r="E33" s="1"/>
      <c r="F33" s="1"/>
      <c r="G33" s="1"/>
    </row>
    <row r="34" spans="1:7" ht="13">
      <c r="A34" s="1"/>
      <c r="B34" s="1"/>
      <c r="C34" s="1"/>
      <c r="D34" s="1"/>
      <c r="E34" s="1"/>
      <c r="F34" s="1"/>
      <c r="G34" s="1"/>
    </row>
    <row r="35" spans="1:7" ht="13">
      <c r="A35" s="1"/>
      <c r="B35" s="1"/>
      <c r="C35" s="1"/>
      <c r="D35" s="1"/>
      <c r="E35" s="1"/>
      <c r="F35" s="1"/>
      <c r="G35" s="1"/>
    </row>
    <row r="36" spans="1:7" ht="13">
      <c r="A36" s="1"/>
      <c r="B36" s="1" t="str">
        <f ca="1">IFERROR(__xludf.DUMMYFUNCTION("""COMPUTED_VALUE"""),"Total Sample Volume")</f>
        <v>Total Sample Volume</v>
      </c>
      <c r="C36" s="1">
        <f ca="1">IFERROR(__xludf.DUMMYFUNCTION("""COMPUTED_VALUE"""),280)</f>
        <v>280</v>
      </c>
      <c r="D36" s="1">
        <f ca="1">IFERROR(__xludf.DUMMYFUNCTION("""COMPUTED_VALUE"""),315)</f>
        <v>315</v>
      </c>
      <c r="E36" s="1">
        <f ca="1">IFERROR(__xludf.DUMMYFUNCTION("""COMPUTED_VALUE"""),345)</f>
        <v>345</v>
      </c>
      <c r="F36" s="1">
        <f ca="1">IFERROR(__xludf.DUMMYFUNCTION("""COMPUTED_VALUE"""),350)</f>
        <v>350</v>
      </c>
      <c r="G36" s="1">
        <f ca="1">IFERROR(__xludf.DUMMYFUNCTION("""COMPUTED_VALUE"""),355)</f>
        <v>355</v>
      </c>
    </row>
    <row r="37" spans="1:7" ht="13">
      <c r="A37" s="1"/>
      <c r="B37" s="1" t="str">
        <f ca="1">IFERROR(__xludf.DUMMYFUNCTION("""COMPUTED_VALUE"""),"Revenue VHIO - Finance")</f>
        <v>Revenue VHIO - Finance</v>
      </c>
      <c r="C37" s="81">
        <f ca="1">IFERROR(__xludf.DUMMYFUNCTION("""COMPUTED_VALUE"""),112000)</f>
        <v>112000</v>
      </c>
      <c r="D37" s="81">
        <f ca="1">IFERROR(__xludf.DUMMYFUNCTION("""COMPUTED_VALUE"""),126000)</f>
        <v>126000</v>
      </c>
      <c r="E37" s="81">
        <f ca="1">IFERROR(__xludf.DUMMYFUNCTION("""COMPUTED_VALUE"""),138000)</f>
        <v>138000</v>
      </c>
      <c r="F37" s="81">
        <f ca="1">IFERROR(__xludf.DUMMYFUNCTION("""COMPUTED_VALUE"""),140000)</f>
        <v>140000</v>
      </c>
      <c r="G37" s="81">
        <f ca="1">IFERROR(__xludf.DUMMYFUNCTION("""COMPUTED_VALUE"""),142000)</f>
        <v>142000</v>
      </c>
    </row>
    <row r="38" spans="1:7" ht="13">
      <c r="A38" s="1"/>
      <c r="B38" s="1" t="str">
        <f ca="1">IFERROR(__xludf.DUMMYFUNCTION("""COMPUTED_VALUE"""),"VHIO rent")</f>
        <v>VHIO rent</v>
      </c>
      <c r="C38" s="81">
        <f ca="1">IFERROR(__xludf.DUMMYFUNCTION("""COMPUTED_VALUE"""),78125)</f>
        <v>78125</v>
      </c>
      <c r="D38" s="81">
        <f ca="1">IFERROR(__xludf.DUMMYFUNCTION("""COMPUTED_VALUE"""),78125)</f>
        <v>78125</v>
      </c>
      <c r="E38" s="81">
        <f ca="1">IFERROR(__xludf.DUMMYFUNCTION("""COMPUTED_VALUE"""),78125)</f>
        <v>78125</v>
      </c>
      <c r="F38" s="81">
        <f ca="1">IFERROR(__xludf.DUMMYFUNCTION("""COMPUTED_VALUE"""),78125)</f>
        <v>78125</v>
      </c>
      <c r="G38" s="81">
        <f ca="1">IFERROR(__xludf.DUMMYFUNCTION("""COMPUTED_VALUE"""),78125)</f>
        <v>78125</v>
      </c>
    </row>
    <row r="39" spans="1:7" ht="13">
      <c r="A39" s="1"/>
      <c r="B39" s="109" t="str">
        <f ca="1">IFERROR(__xludf.DUMMYFUNCTION("""COMPUTED_VALUE"""),"Total Revenue VHIO - 5QRF")</f>
        <v>Total Revenue VHIO - 5QRF</v>
      </c>
      <c r="C39" s="114">
        <f ca="1">IFERROR(__xludf.DUMMYFUNCTION("""COMPUTED_VALUE"""),190125)</f>
        <v>190125</v>
      </c>
      <c r="D39" s="114">
        <f ca="1">IFERROR(__xludf.DUMMYFUNCTION("""COMPUTED_VALUE"""),204125)</f>
        <v>204125</v>
      </c>
      <c r="E39" s="114">
        <f ca="1">IFERROR(__xludf.DUMMYFUNCTION("""COMPUTED_VALUE"""),216125)</f>
        <v>216125</v>
      </c>
      <c r="F39" s="114">
        <f ca="1">IFERROR(__xludf.DUMMYFUNCTION("""COMPUTED_VALUE"""),218125)</f>
        <v>218125</v>
      </c>
      <c r="G39" s="114">
        <f ca="1">IFERROR(__xludf.DUMMYFUNCTION("""COMPUTED_VALUE"""),220125)</f>
        <v>220125</v>
      </c>
    </row>
    <row r="40" spans="1:7" ht="13">
      <c r="A40" s="1"/>
      <c r="B40" s="1"/>
      <c r="C40" s="1"/>
      <c r="D40" s="1"/>
      <c r="E40" s="1"/>
      <c r="F40" s="1"/>
      <c r="G40" s="1"/>
    </row>
    <row r="41" spans="1:7" ht="13">
      <c r="A41" s="1"/>
      <c r="B41" s="1"/>
      <c r="C41" s="1"/>
      <c r="D41" s="1"/>
      <c r="E41" s="1"/>
      <c r="F41" s="1"/>
      <c r="G41" s="1"/>
    </row>
    <row r="42" spans="1:7" ht="13">
      <c r="A42" s="1"/>
      <c r="B42" s="1"/>
      <c r="C42" s="1"/>
      <c r="D42" s="1"/>
      <c r="E42" s="1"/>
      <c r="F42" s="1"/>
      <c r="G42" s="1"/>
    </row>
    <row r="43" spans="1:7" ht="13">
      <c r="A43" s="1"/>
      <c r="B43" s="1" t="str">
        <f ca="1">IFERROR(__xludf.DUMMYFUNCTION("""COMPUTED_VALUE"""),"VHIO Revenue withoizt account for the $1.6M pre-booked IP fee")</f>
        <v>VHIO Revenue withoizt account for the $1.6M pre-booked IP fee</v>
      </c>
      <c r="C43" s="1"/>
      <c r="D43" s="1"/>
      <c r="E43" s="1"/>
      <c r="F43" s="1"/>
      <c r="G43" s="1"/>
    </row>
    <row r="44" spans="1:7" ht="13">
      <c r="A44" s="1"/>
      <c r="B44" s="1" t="str">
        <f ca="1">IFERROR(__xludf.DUMMYFUNCTION("""COMPUTED_VALUE"""),"Total Revenue VHIO Internal")</f>
        <v>Total Revenue VHIO Internal</v>
      </c>
      <c r="C44" s="81">
        <f ca="1">IFERROR(__xludf.DUMMYFUNCTION("""COMPUTED_VALUE"""),250000)</f>
        <v>250000</v>
      </c>
      <c r="D44" s="81">
        <f ca="1">IFERROR(__xludf.DUMMYFUNCTION("""COMPUTED_VALUE"""),275000)</f>
        <v>275000</v>
      </c>
      <c r="E44" s="81">
        <f ca="1">IFERROR(__xludf.DUMMYFUNCTION("""COMPUTED_VALUE"""),300000)</f>
        <v>300000</v>
      </c>
      <c r="F44" s="81">
        <f ca="1">IFERROR(__xludf.DUMMYFUNCTION("""COMPUTED_VALUE"""),300000)</f>
        <v>300000</v>
      </c>
      <c r="G44" s="81">
        <f ca="1">IFERROR(__xludf.DUMMYFUNCTION("""COMPUTED_VALUE"""),300000)</f>
        <v>300000</v>
      </c>
    </row>
    <row r="45" spans="1:7" ht="13">
      <c r="A45" s="1"/>
      <c r="B45" s="1" t="str">
        <f ca="1">IFERROR(__xludf.DUMMYFUNCTION("""COMPUTED_VALUE"""),"Total Revenue VHIOExternal - minus 12.5%")</f>
        <v>Total Revenue VHIOExternal - minus 12.5%</v>
      </c>
      <c r="C45" s="81">
        <f ca="1">IFERROR(__xludf.DUMMYFUNCTION("""COMPUTED_VALUE"""),47250)</f>
        <v>47250</v>
      </c>
      <c r="D45" s="81">
        <f ca="1">IFERROR(__xludf.DUMMYFUNCTION("""COMPUTED_VALUE"""),63000)</f>
        <v>63000</v>
      </c>
      <c r="E45" s="81">
        <f ca="1">IFERROR(__xludf.DUMMYFUNCTION("""COMPUTED_VALUE"""),70875)</f>
        <v>70875</v>
      </c>
      <c r="F45" s="81">
        <f ca="1">IFERROR(__xludf.DUMMYFUNCTION("""COMPUTED_VALUE"""),78750)</f>
        <v>78750</v>
      </c>
      <c r="G45" s="81">
        <f ca="1">IFERROR(__xludf.DUMMYFUNCTION("""COMPUTED_VALUE"""),86625)</f>
        <v>86625</v>
      </c>
    </row>
    <row r="46" spans="1:7" ht="13">
      <c r="A46" s="1"/>
      <c r="B46" s="1" t="str">
        <f ca="1">IFERROR(__xludf.DUMMYFUNCTION("""COMPUTED_VALUE"""),"Total GH Revenue")</f>
        <v>Total GH Revenue</v>
      </c>
      <c r="C46" s="81">
        <f ca="1">IFERROR(__xludf.DUMMYFUNCTION("""COMPUTED_VALUE"""),297250)</f>
        <v>297250</v>
      </c>
      <c r="D46" s="81">
        <f ca="1">IFERROR(__xludf.DUMMYFUNCTION("""COMPUTED_VALUE"""),338000)</f>
        <v>338000</v>
      </c>
      <c r="E46" s="81">
        <f ca="1">IFERROR(__xludf.DUMMYFUNCTION("""COMPUTED_VALUE"""),370875)</f>
        <v>370875</v>
      </c>
      <c r="F46" s="81">
        <f ca="1">IFERROR(__xludf.DUMMYFUNCTION("""COMPUTED_VALUE"""),378750)</f>
        <v>378750</v>
      </c>
      <c r="G46" s="81">
        <f ca="1">IFERROR(__xludf.DUMMYFUNCTION("""COMPUTED_VALUE"""),386625)</f>
        <v>386625</v>
      </c>
    </row>
    <row r="50" spans="2:7" ht="13">
      <c r="B50" s="1" t="s">
        <v>55</v>
      </c>
      <c r="C50" s="104">
        <f t="shared" ref="C50:G50" ca="1" si="4">C9+C39</f>
        <v>1175543</v>
      </c>
      <c r="D50" s="104">
        <f t="shared" ca="1" si="4"/>
        <v>1173731</v>
      </c>
      <c r="E50" s="104">
        <f t="shared" ca="1" si="4"/>
        <v>1087142</v>
      </c>
      <c r="F50" s="104">
        <f t="shared" ca="1" si="4"/>
        <v>1628343</v>
      </c>
      <c r="G50" s="104">
        <f t="shared" ca="1" si="4"/>
        <v>1879205</v>
      </c>
    </row>
    <row r="53" spans="2:7" ht="13">
      <c r="G53" s="1" t="s">
        <v>30</v>
      </c>
    </row>
    <row r="54" spans="2:7" ht="13">
      <c r="G54" s="104">
        <f ca="1">D50+E50+F50+G50</f>
        <v>5768421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1020"/>
  <sheetViews>
    <sheetView workbookViewId="0">
      <selection activeCell="J47" sqref="J47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  <col min="12" max="12" width="26" customWidth="1"/>
  </cols>
  <sheetData>
    <row r="1" spans="1:28" ht="15.75" customHeigh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 t="s">
        <v>31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2"/>
      <c r="B2" s="3"/>
      <c r="C2" s="6" t="s">
        <v>1</v>
      </c>
      <c r="D2" s="6" t="s">
        <v>2</v>
      </c>
      <c r="E2" s="6" t="s">
        <v>28</v>
      </c>
      <c r="F2" s="7" t="s">
        <v>29</v>
      </c>
      <c r="G2" s="6" t="s">
        <v>5</v>
      </c>
      <c r="H2" s="2"/>
      <c r="I2" s="2"/>
      <c r="J2" s="2"/>
      <c r="K2" s="2"/>
      <c r="L2" s="2" t="s">
        <v>32</v>
      </c>
      <c r="M2" s="2">
        <v>1.18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43" t="s">
        <v>6</v>
      </c>
      <c r="B3" s="8" t="s">
        <v>7</v>
      </c>
      <c r="C3" s="84">
        <f ca="1">SUM(UK!C3,France!C3,Spain!C3,Turkey!C3,Latam!C3,Italy!C3,Rest!C3,Canada!C3)</f>
        <v>316</v>
      </c>
      <c r="D3" s="84">
        <f ca="1">SUM(UK!D3,France!D3,Spain!D3,Turkey!D3,Latam!D3,Italy!D3,Rest!D3,Canada!D3)</f>
        <v>438</v>
      </c>
      <c r="E3" s="84">
        <f ca="1">SUM(UK!E3,France!E3,Spain!E3,Turkey!E3,Latam!E3,Italy!E3,Rest!E3,Canada!E3)</f>
        <v>569</v>
      </c>
      <c r="F3" s="84">
        <f ca="1">SUM(UK!F3,France!F3,Spain!F3,Turkey!F3,Latam!F3,Italy!F3,Rest!F3,Canada!F3)</f>
        <v>679</v>
      </c>
      <c r="G3" s="10">
        <f ca="1">SUM(UK!G3,France!G3,Spain!G3,Turkey!G3,Latam!G3,Italy!G3,Rest!G3,Canada!G3)</f>
        <v>826</v>
      </c>
      <c r="H3" s="2"/>
      <c r="I3" s="2"/>
      <c r="J3" s="2"/>
      <c r="K3" s="2"/>
      <c r="L3" s="2" t="s">
        <v>33</v>
      </c>
      <c r="M3" s="2">
        <v>1</v>
      </c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>
      <c r="A4" s="141"/>
      <c r="B4" s="12" t="s">
        <v>8</v>
      </c>
      <c r="C4" s="85">
        <f t="shared" ref="C4:G4" ca="1" si="0">C5/C3</f>
        <v>1735.7886075949366</v>
      </c>
      <c r="D4" s="85">
        <f t="shared" ca="1" si="0"/>
        <v>1693.3543378995432</v>
      </c>
      <c r="E4" s="85">
        <f t="shared" ca="1" si="0"/>
        <v>1653.1610544815467</v>
      </c>
      <c r="F4" s="85">
        <f t="shared" ca="1" si="0"/>
        <v>1633.8859499263624</v>
      </c>
      <c r="G4" s="14">
        <f t="shared" ca="1" si="0"/>
        <v>1618.2059079903149</v>
      </c>
      <c r="H4" s="2"/>
      <c r="I4" s="8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>
      <c r="A5" s="142"/>
      <c r="B5" s="15" t="s">
        <v>9</v>
      </c>
      <c r="C5" s="87">
        <f ca="1">SUM(France!C5,Spain!C5,Turkey!C5,Latam!C5,Italy!C5,Rest!C5,Canada!C5)+SUM(UK!C5)*1.18</f>
        <v>548509.19999999995</v>
      </c>
      <c r="D5" s="87">
        <f ca="1">SUM(France!D5,Spain!D5,Turkey!D5,Latam!D5,Italy!D5,Rest!D5,Canada!D5)+SUM(UK!D5)*1.18</f>
        <v>741689.2</v>
      </c>
      <c r="E5" s="87">
        <f ca="1">SUM(France!E5,Spain!E5,Turkey!E5,Latam!E5,Italy!E5,Rest!E5,Canada!E5)+SUM(UK!E5)*1.18</f>
        <v>940648.64</v>
      </c>
      <c r="F5" s="87">
        <f ca="1">SUM(France!F5,Spain!F5,Turkey!F5,Latam!F5,Italy!F5,Rest!F5,Canada!F5)+SUM(UK!F5)*1.18</f>
        <v>1109408.56</v>
      </c>
      <c r="G5" s="17">
        <f ca="1">SUM(France!G5,Spain!G5,Turkey!G5,Latam!G5,Italy!G5,Rest!G5,Canada!G5)+SUM(UK!G5)*1.18</f>
        <v>1336638.08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>
      <c r="A6" s="88"/>
      <c r="B6" s="12"/>
      <c r="C6" s="49"/>
      <c r="D6" s="49"/>
      <c r="E6" s="49"/>
      <c r="F6" s="4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44" t="s">
        <v>10</v>
      </c>
      <c r="B7" s="8" t="s">
        <v>7</v>
      </c>
      <c r="C7" s="84">
        <f ca="1">SUM(UK!C7,France!C7,Spain!C7,Turkey!C7,Latam!C7,Italy!C7,Rest!C7,Canada!C7)</f>
        <v>316</v>
      </c>
      <c r="D7" s="84">
        <f ca="1">SUM(UK!D7,France!D7,Spain!D7,Turkey!D7,Latam!D7,Italy!D7,Rest!D7,Canada!D7)</f>
        <v>438</v>
      </c>
      <c r="E7" s="84">
        <f ca="1">SUM(UK!E7,France!E7,Spain!E7,Turkey!E7,Latam!E7,Italy!E7,Rest!E7,Canada!E7)</f>
        <v>569</v>
      </c>
      <c r="F7" s="84">
        <f ca="1">SUM(UK!F7,France!F7,Spain!F7,Turkey!F7,Latam!F7,Italy!F7,Rest!F7,Canada!F7)</f>
        <v>679</v>
      </c>
      <c r="G7" s="10">
        <f ca="1">SUM(UK!G7,France!G7,Spain!G7,Turkey!G7,Latam!G7,Italy!G7,Rest!G7,Canada!G7)</f>
        <v>826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141"/>
      <c r="B8" s="12" t="s">
        <v>8</v>
      </c>
      <c r="C8" s="85">
        <f t="shared" ref="C8:G8" ca="1" si="1">C9/C7</f>
        <v>1735.7886075949366</v>
      </c>
      <c r="D8" s="85">
        <f t="shared" ca="1" si="1"/>
        <v>1693.3543378995432</v>
      </c>
      <c r="E8" s="85">
        <f t="shared" ca="1" si="1"/>
        <v>1653.1610544815467</v>
      </c>
      <c r="F8" s="85">
        <f t="shared" ca="1" si="1"/>
        <v>1633.8859499263624</v>
      </c>
      <c r="G8" s="14">
        <f t="shared" ca="1" si="1"/>
        <v>1618.2059079903149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42"/>
      <c r="B9" s="15" t="s">
        <v>9</v>
      </c>
      <c r="C9" s="87">
        <f ca="1">SUM(France!C9,Spain!C9,Turkey!C9,Latam!C9,Italy!C9,Rest!C9,Canada!C9)+SUM(UK!C9)*1.18</f>
        <v>548509.19999999995</v>
      </c>
      <c r="D9" s="87">
        <f ca="1">SUM(France!D9,Spain!D9,Turkey!D9,Latam!D9,Italy!D9,Rest!D9,Canada!D9)+SUM(UK!D9)*1.18</f>
        <v>741689.2</v>
      </c>
      <c r="E9" s="87">
        <f ca="1">SUM(France!E9,Spain!E9,Turkey!E9,Latam!E9,Italy!E9,Rest!E9,Canada!E9)+SUM(UK!E9)*1.18</f>
        <v>940648.64</v>
      </c>
      <c r="F9" s="87">
        <f ca="1">SUM(France!F9,Spain!F9,Turkey!F9,Latam!F9,Italy!F9,Rest!F9,Canada!F9)+SUM(UK!F9)*1.18</f>
        <v>1109408.56</v>
      </c>
      <c r="G9" s="17">
        <f ca="1">SUM(France!G9,Spain!G9,Turkey!G9,Latam!G9,Italy!G9,Rest!G9,Canada!G9)+SUM(UK!G9)*1.18</f>
        <v>1336638.08</v>
      </c>
      <c r="H9" s="2"/>
      <c r="I9" s="2"/>
      <c r="J9" s="7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88"/>
      <c r="B10" s="12"/>
      <c r="C10" s="49"/>
      <c r="D10" s="49"/>
      <c r="E10" s="49"/>
      <c r="F10" s="4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88"/>
      <c r="B11" s="12"/>
      <c r="C11" s="49"/>
      <c r="D11" s="49"/>
      <c r="E11" s="49"/>
      <c r="F11" s="4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45" t="s">
        <v>11</v>
      </c>
      <c r="B12" s="8" t="s">
        <v>7</v>
      </c>
      <c r="C12" s="84">
        <f ca="1">SUM(UK!C12,France!C12,Spain!C12,Turkey!C12,Latam!C12,Italy!C12,Rest!C12,Canada!C12)</f>
        <v>0</v>
      </c>
      <c r="D12" s="84">
        <f ca="1">SUM(UK!D12,France!D12,Spain!D12,Turkey!D12,Latam!D12,Italy!D12,Rest!D12,Canada!D12)</f>
        <v>0</v>
      </c>
      <c r="E12" s="84">
        <f ca="1">SUM(UK!E12,France!E12,Spain!E12,Turkey!E12,Latam!E12,Italy!E12,Rest!E12,Canada!E12)</f>
        <v>0</v>
      </c>
      <c r="F12" s="84">
        <f ca="1">SUM(UK!F12,France!F12,Spain!F12,Turkey!F12,Latam!F12,Italy!F12,Rest!F12,Canada!F12)</f>
        <v>0</v>
      </c>
      <c r="G12" s="10">
        <f ca="1">SUM(UK!G12,France!G12,Spain!G12,Turkey!G12,Latam!G12,Italy!G12,Rest!G12,Canada!G12)</f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141"/>
      <c r="B13" s="12" t="s">
        <v>8</v>
      </c>
      <c r="C13" s="85">
        <f ca="1">SUM(UK!C14,France!C14,Spain!C14,Turkey!C14,Latam!C14,Italy!C14,Rest!C14,Canada!C14)</f>
        <v>0</v>
      </c>
      <c r="D13" s="85">
        <f ca="1">SUM(UK!D14,France!D14,Spain!D14,Turkey!D14,Latam!D14,Italy!D14,Rest!D14,Canada!D14)</f>
        <v>0</v>
      </c>
      <c r="E13" s="85">
        <f ca="1">SUM(UK!E14,France!E14,Spain!E14,Turkey!E14,Latam!E14,Italy!E14,Rest!E14,Canada!E14)</f>
        <v>0</v>
      </c>
      <c r="F13" s="85">
        <f ca="1">SUM(UK!F14,France!F14,Spain!F14,Turkey!F14,Latam!F14,Italy!F14,Rest!F14,Canada!F14)</f>
        <v>0</v>
      </c>
      <c r="G13" s="14">
        <f ca="1">SUM(UK!G14,France!G14,Spain!G14,Turkey!G14,Latam!G14,Italy!G14,Rest!G14,Canada!G14)</f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142"/>
      <c r="B14" s="15" t="s">
        <v>9</v>
      </c>
      <c r="C14" s="89">
        <f ca="1">SUM(France!C14,Spain!C14,Turkey!C14,Latam!C14,Italy!C14,Rest!C14,Canada!C14)+SUM(UK!C14)*1.18</f>
        <v>0</v>
      </c>
      <c r="D14" s="89">
        <f ca="1">SUM(France!D14,Spain!D14,Turkey!D14,Latam!D14,Italy!D14,Rest!D14,Canada!D14)+SUM(UK!D14)*1.18</f>
        <v>0</v>
      </c>
      <c r="E14" s="89">
        <f ca="1">SUM(France!E14,Spain!E14,Turkey!E14,Latam!E14,Italy!E14,Rest!E14,Canada!E14)+SUM(UK!E14)*1.18</f>
        <v>0</v>
      </c>
      <c r="F14" s="89">
        <f ca="1">SUM(France!F14,Spain!F14,Turkey!F14,Latam!F14,Italy!F14,Rest!F14,Canada!F14)+SUM(UK!F14)*1.18</f>
        <v>0</v>
      </c>
      <c r="G14" s="34">
        <f ca="1">SUM(France!G14,Spain!G14,Turkey!G14,Latam!G14,Italy!G14,Rest!G14,Canada!G14)+SUM(UK!G14)*1.18</f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88"/>
      <c r="B15" s="12"/>
      <c r="C15" s="90"/>
      <c r="D15" s="49"/>
      <c r="E15" s="49"/>
      <c r="F15" s="4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88"/>
      <c r="B16" s="12"/>
      <c r="C16" s="49"/>
      <c r="D16" s="49"/>
      <c r="E16" s="49"/>
      <c r="F16" s="4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88"/>
      <c r="B17" s="12"/>
      <c r="C17" s="49"/>
      <c r="D17" s="49"/>
      <c r="E17" s="49"/>
      <c r="F17" s="4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143" t="s">
        <v>6</v>
      </c>
      <c r="B18" s="8" t="s">
        <v>12</v>
      </c>
      <c r="C18" s="91">
        <f ca="1">SUM(UK!C18,France!C18,Spain!C18,Turkey!C18,Latam!C18,Italy!C18,Rest!C18,Canada!C18)</f>
        <v>57</v>
      </c>
      <c r="D18" s="91">
        <f ca="1">SUM(UK!D18,France!D18,Spain!D18,Turkey!D18,Latam!D18,Italy!D18,Rest!D18,Canada!D18)</f>
        <v>69</v>
      </c>
      <c r="E18" s="91">
        <f ca="1">SUM(UK!E18,France!E18,Spain!E18,Turkey!E18,Latam!E18,Italy!E18,Rest!E18,Canada!E18)</f>
        <v>85</v>
      </c>
      <c r="F18" s="91">
        <f ca="1">SUM(UK!F18,France!F18,Spain!F18,Turkey!F18,Latam!F18,Italy!F18,Rest!F18,Canada!F18)</f>
        <v>97</v>
      </c>
      <c r="G18" s="91">
        <f ca="1">SUM(UK!G18,France!G18,Spain!G18,Turkey!G18,Latam!G18,Italy!G18,Rest!G18,Canada!G18)</f>
        <v>106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141"/>
      <c r="B19" s="12" t="s">
        <v>13</v>
      </c>
      <c r="C19" s="92">
        <f t="shared" ref="C19:G19" ca="1" si="2">C20/C18</f>
        <v>2348.5087719298244</v>
      </c>
      <c r="D19" s="92">
        <f t="shared" ca="1" si="2"/>
        <v>2453.0434782608695</v>
      </c>
      <c r="E19" s="92">
        <f t="shared" ca="1" si="2"/>
        <v>2426.4705882352941</v>
      </c>
      <c r="F19" s="92">
        <f t="shared" ca="1" si="2"/>
        <v>2417.9896907216494</v>
      </c>
      <c r="G19" s="92">
        <f t="shared" ca="1" si="2"/>
        <v>2397.5471698113206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142"/>
      <c r="B20" s="15" t="s">
        <v>14</v>
      </c>
      <c r="C20" s="92">
        <f ca="1">SUM(France!C20,Spain!C20,Turkey!C20,Latam!C20,Italy!C20,Rest!C20,Canada!C20)+SUM(UK!C20)*1.18</f>
        <v>133865</v>
      </c>
      <c r="D20" s="92">
        <f ca="1">SUM(France!D20,Spain!D20,Turkey!D20,Latam!D20,Italy!D20,Rest!D20,Canada!D20)+SUM(UK!D20)*1.18</f>
        <v>169260</v>
      </c>
      <c r="E20" s="92">
        <f ca="1">SUM(France!E20,Spain!E20,Turkey!E20,Latam!E20,Italy!E20,Rest!E20,Canada!E20)+SUM(UK!E20)*1.18</f>
        <v>206250</v>
      </c>
      <c r="F20" s="92">
        <f ca="1">SUM(France!F20,Spain!F20,Turkey!F20,Latam!F20,Italy!F20,Rest!F20,Canada!F20)+SUM(UK!F20)*1.18</f>
        <v>234545</v>
      </c>
      <c r="G20" s="92">
        <f ca="1">SUM(France!G20,Spain!G20,Turkey!G20,Latam!G20,Italy!G20,Rest!G20,Canada!G20)+SUM(UK!G20)*1.18</f>
        <v>254140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88"/>
      <c r="B21" s="12"/>
      <c r="C21" s="49"/>
      <c r="D21" s="49"/>
      <c r="E21" s="49"/>
      <c r="F21" s="4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88"/>
      <c r="B22" s="12"/>
      <c r="C22" s="49"/>
      <c r="D22" s="49"/>
      <c r="E22" s="49"/>
      <c r="F22" s="4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144" t="s">
        <v>10</v>
      </c>
      <c r="B23" s="8" t="s">
        <v>12</v>
      </c>
      <c r="C23" s="91">
        <f ca="1">SUM(UK!C23,France!C23,Spain!C23,Turkey!C23,Latam!C23,Italy!C23,Rest!C23,Canada!C23)</f>
        <v>57</v>
      </c>
      <c r="D23" s="91">
        <f ca="1">SUM(UK!D23,France!D23,Spain!D23,Turkey!D23,Latam!D23,Italy!D23,Rest!D23,Canada!D23)</f>
        <v>69</v>
      </c>
      <c r="E23" s="91">
        <f ca="1">SUM(UK!E23,France!E23,Spain!E23,Turkey!E23,Latam!E23,Italy!E23,Rest!E23,Canada!E23)</f>
        <v>85</v>
      </c>
      <c r="F23" s="91">
        <f ca="1">SUM(UK!F23,France!F23,Spain!F23,Turkey!F23,Latam!F23,Italy!F23,Rest!F23,Canada!F23)</f>
        <v>97</v>
      </c>
      <c r="G23" s="91">
        <f ca="1">SUM(UK!G23,France!G23,Spain!G23,Turkey!G23,Latam!G23,Italy!G23,Rest!G23,Canada!G23)</f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141"/>
      <c r="B24" s="12" t="s">
        <v>13</v>
      </c>
      <c r="C24" s="92">
        <f t="shared" ref="C24:G24" ca="1" si="3">C25/C23</f>
        <v>2348.5087719298244</v>
      </c>
      <c r="D24" s="92">
        <f t="shared" ca="1" si="3"/>
        <v>2453.0434782608695</v>
      </c>
      <c r="E24" s="92">
        <f t="shared" ca="1" si="3"/>
        <v>2426.4705882352941</v>
      </c>
      <c r="F24" s="92">
        <f t="shared" ca="1" si="3"/>
        <v>2417.9896907216494</v>
      </c>
      <c r="G24" s="92">
        <f t="shared" ca="1" si="3"/>
        <v>2397.5471698113206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142"/>
      <c r="B25" s="15" t="s">
        <v>14</v>
      </c>
      <c r="C25" s="92">
        <f ca="1">SUM(France!C25,Spain!C25,Turkey!C25,Latam!C25,Italy!C25,Rest!C25,Canada!C25)+SUM(UK!C25)*1.18</f>
        <v>133865</v>
      </c>
      <c r="D25" s="92">
        <f ca="1">SUM(France!D25,Spain!D25,Turkey!D25,Latam!D25,Italy!D25,Rest!D25,Canada!D25)+SUM(UK!D25)*1.18</f>
        <v>169260</v>
      </c>
      <c r="E25" s="92">
        <f ca="1">SUM(France!E25,Spain!E25,Turkey!E25,Latam!E25,Italy!E25,Rest!E25,Canada!E25)+SUM(UK!E25)*1.18</f>
        <v>206250</v>
      </c>
      <c r="F25" s="92">
        <f ca="1">SUM(France!F25,Spain!F25,Turkey!F25,Latam!F25,Italy!F25,Rest!F25,Canada!F25)+SUM(UK!F25)*1.18</f>
        <v>234545</v>
      </c>
      <c r="G25" s="92">
        <f ca="1">SUM(France!G25,Spain!G25,Turkey!G25,Latam!G25,Italy!G25,Rest!G25,Canada!G25)+SUM(UK!G25)*1.18</f>
        <v>254140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88"/>
      <c r="B26" s="12"/>
      <c r="C26" s="49"/>
      <c r="D26" s="49"/>
      <c r="E26" s="49"/>
      <c r="F26" s="49"/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88"/>
      <c r="B27" s="12"/>
      <c r="C27" s="49"/>
      <c r="D27" s="49"/>
      <c r="E27" s="49"/>
      <c r="F27" s="49"/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145" t="s">
        <v>11</v>
      </c>
      <c r="B28" s="8" t="s">
        <v>12</v>
      </c>
      <c r="C28" s="93">
        <f ca="1">SUM(UK!C28,France!C28,Spain!C28,Turkey!C28,Latam!C28,Italy!C28,Rest!C28,Canada!C28)</f>
        <v>0</v>
      </c>
      <c r="D28" s="93">
        <f ca="1">SUM(UK!D28,France!D28,Spain!D28,Turkey!D28,Latam!D28,Italy!D28,Rest!D28,Canada!D28)</f>
        <v>0</v>
      </c>
      <c r="E28" s="93">
        <f ca="1">SUM(UK!E28,France!E28,Spain!E28,Turkey!E28,Latam!E28,Italy!E28,Rest!E28,Canada!E28)</f>
        <v>0</v>
      </c>
      <c r="F28" s="93">
        <f ca="1">SUM(UK!F28,France!F28,Spain!F28,Turkey!F28,Latam!F28,Italy!F28,Rest!F28,Canada!F28)</f>
        <v>0</v>
      </c>
      <c r="G28" s="93">
        <f ca="1">SUM(UK!G28,France!G28,Spain!G28,Turkey!G28,Latam!G28,Italy!G28,Rest!G28,Canada!G28)</f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141"/>
      <c r="B29" s="12" t="s">
        <v>13</v>
      </c>
      <c r="C29" s="92" t="e">
        <f t="shared" ref="C29:G29" ca="1" si="4">C30/C28</f>
        <v>#DIV/0!</v>
      </c>
      <c r="D29" s="92" t="e">
        <f t="shared" ca="1" si="4"/>
        <v>#DIV/0!</v>
      </c>
      <c r="E29" s="92" t="e">
        <f t="shared" ca="1" si="4"/>
        <v>#DIV/0!</v>
      </c>
      <c r="F29" s="92" t="e">
        <f t="shared" ca="1" si="4"/>
        <v>#DIV/0!</v>
      </c>
      <c r="G29" s="92" t="e">
        <f t="shared" ca="1" si="4"/>
        <v>#DIV/0!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42"/>
      <c r="B30" s="15" t="s">
        <v>14</v>
      </c>
      <c r="C30" s="92">
        <f ca="1">SUM(France!C30,Spain!C30,Turkey!C30,Latam!C30,Italy!C30,Rest!C30,Canada!C30)+SUM(UK!C30)*1.18</f>
        <v>0</v>
      </c>
      <c r="D30" s="92">
        <f ca="1">SUM(France!D30,Spain!D30,Turkey!D30,Latam!D30,Italy!D30,Rest!D30,Canada!D30)+SUM(UK!D30)*1.18</f>
        <v>0</v>
      </c>
      <c r="E30" s="92">
        <f ca="1">SUM(France!E30,Spain!E30,Turkey!E30,Latam!E30,Italy!E30,Rest!E30,Canada!E30)+SUM(UK!E30)*1.18</f>
        <v>0</v>
      </c>
      <c r="F30" s="92">
        <f ca="1">SUM(France!F30,Spain!F30,Turkey!F30,Latam!F30,Italy!F30,Rest!F30,Canada!F30)+SUM(UK!F30)*1.18</f>
        <v>0</v>
      </c>
      <c r="G30" s="92">
        <f ca="1">SUM(France!G30,Spain!G30,Turkey!G30,Latam!G30,Italy!G30,Rest!G30,Canada!G30)+SUM(UK!G30)*1.18</f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88"/>
      <c r="B31" s="12"/>
      <c r="C31" s="49"/>
      <c r="D31" s="49"/>
      <c r="E31" s="49"/>
      <c r="F31" s="49"/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88"/>
      <c r="B32" s="12"/>
      <c r="C32" s="49"/>
      <c r="D32" s="49"/>
      <c r="E32" s="49"/>
      <c r="F32" s="49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88"/>
      <c r="B33" s="12"/>
      <c r="C33" s="49"/>
      <c r="D33" s="49"/>
      <c r="E33" s="49"/>
      <c r="F33" s="49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43" t="s">
        <v>6</v>
      </c>
      <c r="B34" s="8" t="s">
        <v>15</v>
      </c>
      <c r="C34" s="91">
        <f ca="1">SUM(UK!C34,France!C34,Spain!C34,Turkey!C34,Latam!C34,Italy!C34,Rest!C34,Canada!C34)</f>
        <v>30</v>
      </c>
      <c r="D34" s="91">
        <f ca="1">SUM(UK!D34,France!D34,Spain!D34,Turkey!D34,Latam!D34,Italy!D34,Rest!D34,Canada!D34)</f>
        <v>40</v>
      </c>
      <c r="E34" s="91">
        <f ca="1">SUM(UK!E34,France!E34,Spain!E34,Turkey!E34,Latam!E34,Italy!E34,Rest!E34,Canada!E34)</f>
        <v>55</v>
      </c>
      <c r="F34" s="91">
        <f ca="1">SUM(UK!F34,France!F34,Spain!F34,Turkey!F34,Latam!F34,Italy!F34,Rest!F34,Canada!F34)</f>
        <v>75</v>
      </c>
      <c r="G34" s="91">
        <f ca="1">SUM(UK!G34,France!G34,Spain!G34,Turkey!G34,Latam!G34,Italy!G34,Rest!G34,Canada!G34)</f>
        <v>95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41"/>
      <c r="B35" s="27" t="s">
        <v>16</v>
      </c>
      <c r="C35" s="92">
        <f t="shared" ref="C35:G35" ca="1" si="5">C36/C34</f>
        <v>2240</v>
      </c>
      <c r="D35" s="92">
        <f t="shared" ca="1" si="5"/>
        <v>2313.125</v>
      </c>
      <c r="E35" s="92">
        <f t="shared" ca="1" si="5"/>
        <v>2274.3636363636365</v>
      </c>
      <c r="F35" s="92">
        <f t="shared" ca="1" si="5"/>
        <v>2268.7333333333331</v>
      </c>
      <c r="G35" s="92">
        <f t="shared" ca="1" si="5"/>
        <v>2252.1052631578946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142"/>
      <c r="B36" s="29" t="s">
        <v>17</v>
      </c>
      <c r="C36" s="92">
        <f ca="1">SUM(France!C36,Spain!C36,Turkey!C36,Latam!C36,Italy!C36,Rest!C36,Canada!C36)+SUM(UK!C36)*1.18</f>
        <v>67200</v>
      </c>
      <c r="D36" s="92">
        <f ca="1">SUM(France!D36,Spain!D36,Turkey!D36,Latam!D36,Italy!D36,Rest!D36,Canada!D36)+SUM(UK!D36)*1.18</f>
        <v>92525</v>
      </c>
      <c r="E36" s="92">
        <f ca="1">SUM(France!E36,Spain!E36,Turkey!E36,Latam!E36,Italy!E36,Rest!E36,Canada!E36)+SUM(UK!E36)*1.18</f>
        <v>125090</v>
      </c>
      <c r="F36" s="92">
        <f ca="1">SUM(France!F36,Spain!F36,Turkey!F36,Latam!F36,Italy!F36,Rest!F36,Canada!F36)+SUM(UK!F36)*1.18</f>
        <v>170155</v>
      </c>
      <c r="G36" s="92">
        <f ca="1">SUM(France!G36,Spain!G36,Turkey!G36,Latam!G36,Italy!G36,Rest!G36,Canada!G36)+SUM(UK!G36)*1.18</f>
        <v>213950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94"/>
      <c r="B37" s="30"/>
      <c r="C37" s="49"/>
      <c r="D37" s="49"/>
      <c r="E37" s="49"/>
      <c r="F37" s="4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144" t="s">
        <v>10</v>
      </c>
      <c r="B38" s="8" t="s">
        <v>15</v>
      </c>
      <c r="C38" s="91">
        <f ca="1">SUM(UK!C38,France!C38,Spain!C38,Turkey!C38,Latam!C38,Italy!C38,Rest!C38,Canada!C38)</f>
        <v>30</v>
      </c>
      <c r="D38" s="91">
        <f ca="1">SUM(UK!D38,France!D38,Spain!D38,Turkey!D38,Latam!D38,Italy!D38,Rest!D38,Canada!D38)</f>
        <v>40</v>
      </c>
      <c r="E38" s="91">
        <f ca="1">SUM(UK!E38,France!E38,Spain!E38,Turkey!E38,Latam!E38,Italy!E38,Rest!E38,Canada!E38)</f>
        <v>55</v>
      </c>
      <c r="F38" s="91">
        <f ca="1">SUM(UK!F38,France!F38,Spain!F38,Turkey!F38,Latam!F38,Italy!F38,Rest!F38,Canada!F38)</f>
        <v>75</v>
      </c>
      <c r="G38" s="91">
        <f ca="1">SUM(UK!G38,France!G38,Spain!G38,Turkey!G38,Latam!G38,Italy!G38,Rest!G38,Canada!G38)</f>
        <v>95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141"/>
      <c r="B39" s="27" t="s">
        <v>16</v>
      </c>
      <c r="C39" s="92">
        <f t="shared" ref="C39:G39" ca="1" si="6">C40/C38</f>
        <v>2240</v>
      </c>
      <c r="D39" s="92">
        <f t="shared" ca="1" si="6"/>
        <v>2313.125</v>
      </c>
      <c r="E39" s="92">
        <f t="shared" ca="1" si="6"/>
        <v>2274.3636363636365</v>
      </c>
      <c r="F39" s="92">
        <f t="shared" ca="1" si="6"/>
        <v>2268.7333333333331</v>
      </c>
      <c r="G39" s="92">
        <f t="shared" ca="1" si="6"/>
        <v>2252.1052631578946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42"/>
      <c r="B40" s="29" t="s">
        <v>17</v>
      </c>
      <c r="C40" s="92">
        <f ca="1">SUM(France!C40,Spain!C40,Turkey!C40,Latam!C40,Italy!C40,Rest!C40,Canada!C40)+SUM(UK!C40)*1.18</f>
        <v>67200</v>
      </c>
      <c r="D40" s="92">
        <f ca="1">SUM(France!D40,Spain!D40,Turkey!D40,Latam!D40,Italy!D40,Rest!D40,Canada!D40)+SUM(UK!D40)*1.18</f>
        <v>92525</v>
      </c>
      <c r="E40" s="92">
        <f ca="1">SUM(France!E40,Spain!E40,Turkey!E40,Latam!E40,Italy!E40,Rest!E40,Canada!E40)+SUM(UK!E40)*1.18</f>
        <v>125090</v>
      </c>
      <c r="F40" s="92">
        <f ca="1">SUM(France!F40,Spain!F40,Turkey!F40,Latam!F40,Italy!F40,Rest!F40,Canada!F40)+SUM(UK!F40)*1.18</f>
        <v>170155</v>
      </c>
      <c r="G40" s="92">
        <f ca="1">SUM(France!G40,Spain!G40,Turkey!G40,Latam!G40,Italy!G40,Rest!G40,Canada!G40)+SUM(UK!G40)*1.18</f>
        <v>213950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94"/>
      <c r="B41" s="30"/>
      <c r="C41" s="49"/>
      <c r="D41" s="49"/>
      <c r="E41" s="49"/>
      <c r="F41" s="4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94"/>
      <c r="B42" s="30"/>
      <c r="C42" s="49"/>
      <c r="D42" s="49"/>
      <c r="E42" s="49"/>
      <c r="F42" s="4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45" t="s">
        <v>11</v>
      </c>
      <c r="B43" s="8" t="s">
        <v>15</v>
      </c>
      <c r="C43" s="91">
        <f ca="1">SUM(UK!C43,France!C43,Spain!C43,Turkey!C43,Latam!C43,Italy!C43,Rest!C43,Canada!C43)</f>
        <v>0</v>
      </c>
      <c r="D43" s="91">
        <f ca="1">SUM(UK!D43,France!D43,Spain!D43,Turkey!D43,Latam!D43,Italy!D43,Rest!D43,Canada!D43)</f>
        <v>0</v>
      </c>
      <c r="E43" s="91">
        <f ca="1">SUM(UK!E43,France!E43,Spain!E43,Turkey!E43,Latam!E43,Italy!E43,Rest!E43,Canada!E43)</f>
        <v>0</v>
      </c>
      <c r="F43" s="91">
        <f ca="1">SUM(UK!F43,France!F43,Spain!F43,Turkey!F43,Latam!F43,Italy!F43,Rest!F43,Canada!F43)</f>
        <v>0</v>
      </c>
      <c r="G43" s="91">
        <f ca="1">SUM(UK!G43,France!G43,Spain!G43,Turkey!G43,Latam!G43,Italy!G43,Rest!G43,Canada!G43)</f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41"/>
      <c r="B44" s="27" t="s">
        <v>16</v>
      </c>
      <c r="C44" s="92" t="e">
        <f t="shared" ref="C44:G44" ca="1" si="7">C45/C43</f>
        <v>#DIV/0!</v>
      </c>
      <c r="D44" s="92" t="e">
        <f t="shared" ca="1" si="7"/>
        <v>#DIV/0!</v>
      </c>
      <c r="E44" s="92" t="e">
        <f t="shared" ca="1" si="7"/>
        <v>#DIV/0!</v>
      </c>
      <c r="F44" s="92" t="e">
        <f t="shared" ca="1" si="7"/>
        <v>#DIV/0!</v>
      </c>
      <c r="G44" s="92" t="e">
        <f t="shared" ca="1" si="7"/>
        <v>#DIV/0!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>
      <c r="A45" s="142"/>
      <c r="B45" s="29" t="s">
        <v>17</v>
      </c>
      <c r="C45" s="92">
        <f ca="1">SUM(France!C45,Spain!C45,Turkey!C45,Latam!C45,Italy!C45,Rest!C45,Canada!C45)+SUM(UK!C45)*1.18</f>
        <v>0</v>
      </c>
      <c r="D45" s="92">
        <f ca="1">SUM(France!D45,Spain!D45,Turkey!D45,Latam!D45,Italy!D45,Rest!D45,Canada!D45)+SUM(UK!D45)*1.18</f>
        <v>0</v>
      </c>
      <c r="E45" s="92">
        <f ca="1">SUM(France!E45,Spain!E45,Turkey!E45,Latam!E45,Italy!E45,Rest!E45,Canada!E45)+SUM(UK!E45)*1.18</f>
        <v>0</v>
      </c>
      <c r="F45" s="92">
        <f ca="1">SUM(France!F45,Spain!F45,Turkey!F45,Latam!F45,Italy!F45,Rest!F45,Canada!F45)+SUM(UK!F45)*1.18</f>
        <v>0</v>
      </c>
      <c r="G45" s="92">
        <f ca="1">SUM(France!G45,Spain!G45,Turkey!G45,Latam!G45,Italy!G45,Rest!G45,Canada!G45)+SUM(UK!G45)*1.18</f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88"/>
      <c r="B46" s="12"/>
      <c r="C46" s="49"/>
      <c r="D46" s="49"/>
      <c r="E46" s="49"/>
      <c r="F46" s="4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94"/>
      <c r="B47" s="30"/>
      <c r="C47" s="49"/>
      <c r="D47" s="49"/>
      <c r="E47" s="49"/>
      <c r="F47" s="4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>
      <c r="A48" s="94"/>
      <c r="B48" s="12"/>
      <c r="C48" s="49"/>
      <c r="D48" s="49"/>
      <c r="E48" s="49"/>
      <c r="F48" s="4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43" t="s">
        <v>6</v>
      </c>
      <c r="B49" s="8" t="s">
        <v>18</v>
      </c>
      <c r="C49" s="95">
        <f ca="1">SUM(UK!C49,France!C49,Spain!C49,Turkey!C49,Latam!C49,Italy!C49,Rest!C49,Canada!C49)</f>
        <v>0</v>
      </c>
      <c r="D49" s="95">
        <f ca="1">SUM(UK!D49,France!D49,Spain!D49,Turkey!D49,Latam!D49,Italy!D49,Rest!D49,Canada!D49)</f>
        <v>5</v>
      </c>
      <c r="E49" s="95">
        <f ca="1">SUM(UK!E49,France!E49,Spain!E49,Turkey!E49,Latam!E49,Italy!E49,Rest!E49,Canada!E49)</f>
        <v>10</v>
      </c>
      <c r="F49" s="95">
        <f ca="1">SUM(UK!F49,France!F49,Spain!F49,Turkey!F49,Latam!F49,Italy!F49,Rest!F49,Canada!F49)</f>
        <v>15</v>
      </c>
      <c r="G49" s="95">
        <f ca="1">SUM(UK!G49,France!G49,Spain!G49,Turkey!G49,Latam!G49,Italy!G49,Rest!G49,Canada!G49)</f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41"/>
      <c r="B50" s="12" t="s">
        <v>19</v>
      </c>
      <c r="C50" s="92" t="e">
        <f t="shared" ref="C50:G50" ca="1" si="8">C51/C49</f>
        <v>#DIV/0!</v>
      </c>
      <c r="D50" s="92">
        <f t="shared" ca="1" si="8"/>
        <v>895</v>
      </c>
      <c r="E50" s="92">
        <f t="shared" ca="1" si="8"/>
        <v>895</v>
      </c>
      <c r="F50" s="92">
        <f t="shared" ca="1" si="8"/>
        <v>895</v>
      </c>
      <c r="G50" s="92">
        <f t="shared" ca="1" si="8"/>
        <v>895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>
      <c r="A51" s="142"/>
      <c r="B51" s="15" t="s">
        <v>20</v>
      </c>
      <c r="C51" s="92">
        <f ca="1">SUM(France!C51,Spain!C51,Turkey!C51,Latam!C51,Italy!C51,Rest!C51,Canada!C51)+SUM(UK!C51)*1.18</f>
        <v>0</v>
      </c>
      <c r="D51" s="92">
        <f ca="1">SUM(France!D51,Spain!D51,Turkey!D51,Latam!D51,Italy!D51,Rest!D51,Canada!D51)+SUM(UK!D51)*1.18</f>
        <v>4475</v>
      </c>
      <c r="E51" s="92">
        <f ca="1">SUM(France!E51,Spain!E51,Turkey!E51,Latam!E51,Italy!E51,Rest!E51,Canada!E51)+SUM(UK!E51)*1.18</f>
        <v>8950</v>
      </c>
      <c r="F51" s="92">
        <f ca="1">SUM(France!F51,Spain!F51,Turkey!F51,Latam!F51,Italy!F51,Rest!F51,Canada!F51)+SUM(UK!F51)*1.18</f>
        <v>13425</v>
      </c>
      <c r="G51" s="92">
        <f ca="1">SUM(France!G51,Spain!G51,Turkey!G51,Latam!G51,Italy!G51,Rest!G51,Canada!G51)+SUM(UK!G51)*1.18</f>
        <v>17900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94"/>
      <c r="B52" s="30"/>
      <c r="C52" s="49"/>
      <c r="D52" s="49"/>
      <c r="E52" s="49"/>
      <c r="F52" s="4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>
      <c r="A53" s="94"/>
      <c r="B53" s="30"/>
      <c r="C53" s="49"/>
      <c r="D53" s="49"/>
      <c r="E53" s="49"/>
      <c r="F53" s="4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>
      <c r="A54" s="144" t="s">
        <v>10</v>
      </c>
      <c r="B54" s="8" t="s">
        <v>18</v>
      </c>
      <c r="C54" s="95">
        <f ca="1">SUM(UK!C54,France!C54,Spain!C54,Turkey!C54,Latam!C54,Italy!C54,Rest!C54,Canada!C54)</f>
        <v>0</v>
      </c>
      <c r="D54" s="95">
        <f ca="1">SUM(UK!D54,France!D54,Spain!D54,Turkey!D54,Latam!D54,Italy!D54,Rest!D54,Canada!D54)</f>
        <v>5</v>
      </c>
      <c r="E54" s="95">
        <f ca="1">SUM(UK!E54,France!E54,Spain!E54,Turkey!E54,Latam!E54,Italy!E54,Rest!E54,Canada!E54)</f>
        <v>10</v>
      </c>
      <c r="F54" s="95">
        <f ca="1">SUM(UK!F54,France!F54,Spain!F54,Turkey!F54,Latam!F54,Italy!F54,Rest!F54,Canada!F54)</f>
        <v>15</v>
      </c>
      <c r="G54" s="95">
        <f ca="1">SUM(UK!G54,France!G54,Spain!G54,Turkey!G54,Latam!G54,Italy!G54,Rest!G54,Canada!G54)</f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>
      <c r="A55" s="141"/>
      <c r="B55" s="12" t="s">
        <v>19</v>
      </c>
      <c r="C55" s="92" t="e">
        <f t="shared" ref="C55:G55" ca="1" si="9">C56/C54</f>
        <v>#DIV/0!</v>
      </c>
      <c r="D55" s="92">
        <f t="shared" ca="1" si="9"/>
        <v>895</v>
      </c>
      <c r="E55" s="92">
        <f t="shared" ca="1" si="9"/>
        <v>895</v>
      </c>
      <c r="F55" s="92">
        <f t="shared" ca="1" si="9"/>
        <v>895</v>
      </c>
      <c r="G55" s="92">
        <f t="shared" ca="1" si="9"/>
        <v>895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>
      <c r="A56" s="142"/>
      <c r="B56" s="15" t="s">
        <v>20</v>
      </c>
      <c r="C56" s="92">
        <f ca="1">SUM(France!C56,Spain!C56,Turkey!C56,Latam!C56,Italy!C56,Rest!C56,Canada!C56)+SUM(UK!C56)*1.18</f>
        <v>0</v>
      </c>
      <c r="D56" s="92">
        <f ca="1">SUM(France!D56,Spain!D56,Turkey!D56,Latam!D56,Italy!D56,Rest!D56,Canada!D56)+SUM(UK!D56)*1.18</f>
        <v>4475</v>
      </c>
      <c r="E56" s="92">
        <f ca="1">SUM(France!E56,Spain!E56,Turkey!E56,Latam!E56,Italy!E56,Rest!E56,Canada!E56)+SUM(UK!E56)*1.18</f>
        <v>8950</v>
      </c>
      <c r="F56" s="92">
        <f ca="1">SUM(France!F56,Spain!F56,Turkey!F56,Latam!F56,Italy!F56,Rest!F56,Canada!F56)+SUM(UK!F56)*1.18</f>
        <v>13425</v>
      </c>
      <c r="G56" s="92">
        <f ca="1">SUM(France!G56,Spain!G56,Turkey!G56,Latam!G56,Italy!G56,Rest!G56,Canada!G56)+SUM(UK!G56)*1.18</f>
        <v>17900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94"/>
      <c r="B57" s="30"/>
      <c r="C57" s="49"/>
      <c r="D57" s="49"/>
      <c r="E57" s="49"/>
      <c r="F57" s="4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>
      <c r="A58" s="94"/>
      <c r="B58" s="30"/>
      <c r="C58" s="49"/>
      <c r="D58" s="49"/>
      <c r="E58" s="49"/>
      <c r="F58" s="4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>
      <c r="A59" s="145" t="s">
        <v>11</v>
      </c>
      <c r="B59" s="8" t="s">
        <v>18</v>
      </c>
      <c r="C59" s="91">
        <f ca="1">SUM(UK!C59,France!C59,Spain!C59,Turkey!C59,Latam!C59,Italy!C59,Rest!C59,Canada!C59)</f>
        <v>0</v>
      </c>
      <c r="D59" s="91">
        <f ca="1">SUM(UK!D59,France!D59,Spain!D59,Turkey!D59,Latam!D59,Italy!D59,Rest!D59,Canada!D59)</f>
        <v>0</v>
      </c>
      <c r="E59" s="91">
        <f ca="1">SUM(UK!E59,France!E59,Spain!E59,Turkey!E59,Latam!E59,Italy!E59,Rest!E59,Canada!E59)</f>
        <v>0</v>
      </c>
      <c r="F59" s="91">
        <f ca="1">SUM(UK!F59,France!F59,Spain!F59,Turkey!F59,Latam!F59,Italy!F59,Rest!F59,Canada!F59)</f>
        <v>0</v>
      </c>
      <c r="G59" s="91">
        <f ca="1">SUM(UK!G59,France!G59,Spain!G59,Turkey!G59,Latam!G59,Italy!G59,Rest!G59,Canada!G59)</f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>
      <c r="A60" s="141"/>
      <c r="B60" s="12" t="s">
        <v>19</v>
      </c>
      <c r="C60" s="92" t="e">
        <f t="shared" ref="C60:G60" ca="1" si="10">C61/C59</f>
        <v>#DIV/0!</v>
      </c>
      <c r="D60" s="92" t="e">
        <f t="shared" ca="1" si="10"/>
        <v>#DIV/0!</v>
      </c>
      <c r="E60" s="92" t="e">
        <f t="shared" ca="1" si="10"/>
        <v>#DIV/0!</v>
      </c>
      <c r="F60" s="92" t="e">
        <f t="shared" ca="1" si="10"/>
        <v>#DIV/0!</v>
      </c>
      <c r="G60" s="92" t="e">
        <f t="shared" ca="1" si="10"/>
        <v>#DIV/0!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>
      <c r="A61" s="142"/>
      <c r="B61" s="15" t="s">
        <v>20</v>
      </c>
      <c r="C61" s="92">
        <f ca="1">SUM(France!C61,Spain!C61,Turkey!C61,Latam!C61,Italy!C61,Rest!C61,Canada!C61)+SUM(UK!C61)*1.18</f>
        <v>0</v>
      </c>
      <c r="D61" s="92">
        <f ca="1">SUM(France!D61,Spain!D61,Turkey!D61,Latam!D61,Italy!D61,Rest!D61,Canada!D61)+SUM(UK!D61)*1.18</f>
        <v>0</v>
      </c>
      <c r="E61" s="92">
        <f ca="1">SUM(France!E61,Spain!E61,Turkey!E61,Latam!E61,Italy!E61,Rest!E61,Canada!E61)+SUM(UK!E61)*1.18</f>
        <v>0</v>
      </c>
      <c r="F61" s="92">
        <f ca="1">SUM(France!F61,Spain!F61,Turkey!F61,Latam!F61,Italy!F61,Rest!F61,Canada!F61)+SUM(UK!F61)*1.18</f>
        <v>0</v>
      </c>
      <c r="G61" s="92">
        <f ca="1">SUM(France!G61,Spain!G61,Turkey!G61,Latam!G61,Italy!G61,Rest!G61,Canada!G61)+SUM(UK!G61)*1.18</f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94"/>
      <c r="B62" s="30"/>
      <c r="C62" s="49"/>
      <c r="D62" s="96"/>
      <c r="E62" s="49"/>
      <c r="F62" s="4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94"/>
      <c r="B63" s="30"/>
      <c r="C63" s="96"/>
      <c r="D63" s="96"/>
      <c r="E63" s="49"/>
      <c r="F63" s="4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>
      <c r="A64" s="94"/>
      <c r="B64" s="30"/>
      <c r="C64" s="97"/>
      <c r="D64" s="96"/>
      <c r="E64" s="49"/>
      <c r="F64" s="4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19">
      <c r="A65" s="140" t="s">
        <v>34</v>
      </c>
      <c r="B65" s="98" t="s">
        <v>22</v>
      </c>
      <c r="C65" s="99">
        <f t="shared" ref="C65:G65" ca="1" si="11">C54+C38+C23+C7</f>
        <v>403</v>
      </c>
      <c r="D65" s="99">
        <f t="shared" ca="1" si="11"/>
        <v>552</v>
      </c>
      <c r="E65" s="99">
        <f t="shared" ca="1" si="11"/>
        <v>719</v>
      </c>
      <c r="F65" s="99">
        <f t="shared" ca="1" si="11"/>
        <v>866</v>
      </c>
      <c r="G65" s="99">
        <f t="shared" ca="1" si="11"/>
        <v>1047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19">
      <c r="A66" s="141"/>
      <c r="B66" s="98" t="s">
        <v>23</v>
      </c>
      <c r="C66" s="100">
        <f t="shared" ref="C66:G66" ca="1" si="12">C67/C65</f>
        <v>1859.9856079404465</v>
      </c>
      <c r="D66" s="100">
        <f t="shared" ca="1" si="12"/>
        <v>1825.9949275362319</v>
      </c>
      <c r="E66" s="100">
        <f t="shared" ca="1" si="12"/>
        <v>1781.5558275382477</v>
      </c>
      <c r="F66" s="100">
        <f t="shared" ca="1" si="12"/>
        <v>1763.8955658198615</v>
      </c>
      <c r="G66" s="100">
        <f t="shared" ca="1" si="12"/>
        <v>1740.8100095510983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19">
      <c r="A67" s="142"/>
      <c r="B67" s="98" t="s">
        <v>24</v>
      </c>
      <c r="C67" s="100">
        <f ca="1">C56+C40+C25+C9</f>
        <v>749574.2</v>
      </c>
      <c r="D67" s="100">
        <f t="shared" ref="D67:G67" ca="1" si="13">D56+D40+D20+D9</f>
        <v>1007949.2</v>
      </c>
      <c r="E67" s="100">
        <f t="shared" ca="1" si="13"/>
        <v>1280938.6400000001</v>
      </c>
      <c r="F67" s="100">
        <f t="shared" ca="1" si="13"/>
        <v>1527533.56</v>
      </c>
      <c r="G67" s="100">
        <f t="shared" ca="1" si="13"/>
        <v>1822628.08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 t="s">
        <v>35</v>
      </c>
      <c r="F70" s="2"/>
      <c r="G70" s="2"/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77">
        <f ca="1">D67+E67+F67+G67</f>
        <v>5639049.4800000004</v>
      </c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mergeCells count="13">
    <mergeCell ref="A65:A67"/>
    <mergeCell ref="A3:A5"/>
    <mergeCell ref="A7:A9"/>
    <mergeCell ref="A12:A14"/>
    <mergeCell ref="A18:A20"/>
    <mergeCell ref="A23:A25"/>
    <mergeCell ref="A28:A30"/>
    <mergeCell ref="A34:A36"/>
    <mergeCell ref="A38:A40"/>
    <mergeCell ref="A43:A45"/>
    <mergeCell ref="A49:A51"/>
    <mergeCell ref="A54:A56"/>
    <mergeCell ref="A59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20"/>
  <sheetViews>
    <sheetView workbookViewId="0">
      <selection sqref="A1:B1048576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IFERROR(__xludf.DUMMYFUNCTION("importrange(""https://docs.google.com/spreadsheets/d/1MWrQodvRmZyVJhhhHTG9U2XacJYxs78To8OocZWRCoU/edit#gid=0"",""sales!B3:F3"")"),25)</f>
        <v>25</v>
      </c>
      <c r="D3" s="9">
        <f ca="1">IFERROR(__xludf.DUMMYFUNCTION("""COMPUTED_VALUE"""),30)</f>
        <v>30</v>
      </c>
      <c r="E3" s="9">
        <f ca="1">IFERROR(__xludf.DUMMYFUNCTION("""COMPUTED_VALUE"""),40)</f>
        <v>40</v>
      </c>
      <c r="F3" s="9">
        <f ca="1">IFERROR(__xludf.DUMMYFUNCTION("""COMPUTED_VALUE"""),50)</f>
        <v>50</v>
      </c>
      <c r="G3" s="10">
        <f ca="1">IFERROR(__xludf.DUMMYFUNCTION("""COMPUTED_VALUE"""),60)</f>
        <v>60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13">
        <f ca="1">IFERROR(__xludf.DUMMYFUNCTION("importrange(""https://docs.google.com/spreadsheets/d/1MWrQodvRmZyVJhhhHTG9U2XacJYxs78To8OocZWRCoU/edit#gid=0"",""sales!B4:F4"")"),1200)</f>
        <v>1200</v>
      </c>
      <c r="D4" s="13">
        <f ca="1">IFERROR(__xludf.DUMMYFUNCTION("""COMPUTED_VALUE"""),1450)</f>
        <v>1450</v>
      </c>
      <c r="E4" s="13">
        <f ca="1">IFERROR(__xludf.DUMMYFUNCTION("""COMPUTED_VALUE"""),1450)</f>
        <v>1450</v>
      </c>
      <c r="F4" s="13">
        <f ca="1">IFERROR(__xludf.DUMMYFUNCTION("""COMPUTED_VALUE"""),1450)</f>
        <v>1450</v>
      </c>
      <c r="G4" s="14">
        <f ca="1">IFERROR(__xludf.DUMMYFUNCTION("""COMPUTED_VALUE"""),1450)</f>
        <v>1450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16">
        <f t="shared" ref="C5:G5" ca="1" si="0">C3*C4</f>
        <v>30000</v>
      </c>
      <c r="D5" s="16">
        <f t="shared" ca="1" si="0"/>
        <v>43500</v>
      </c>
      <c r="E5" s="16">
        <f t="shared" ca="1" si="0"/>
        <v>58000</v>
      </c>
      <c r="F5" s="16">
        <f t="shared" ca="1" si="0"/>
        <v>72500</v>
      </c>
      <c r="G5" s="17">
        <f t="shared" ca="1" si="0"/>
        <v>87000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25</v>
      </c>
      <c r="D7" s="9">
        <f t="shared" ca="1" si="1"/>
        <v>30</v>
      </c>
      <c r="E7" s="9">
        <f t="shared" ca="1" si="1"/>
        <v>40</v>
      </c>
      <c r="F7" s="9">
        <f t="shared" ca="1" si="1"/>
        <v>50</v>
      </c>
      <c r="G7" s="10">
        <f t="shared" ca="1" si="1"/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13">
        <f t="shared" ref="C8:G8" ca="1" si="2">C4</f>
        <v>1200</v>
      </c>
      <c r="D8" s="13">
        <f t="shared" ca="1" si="2"/>
        <v>1450</v>
      </c>
      <c r="E8" s="13">
        <f t="shared" ca="1" si="2"/>
        <v>1450</v>
      </c>
      <c r="F8" s="13">
        <f t="shared" ca="1" si="2"/>
        <v>1450</v>
      </c>
      <c r="G8" s="14">
        <f t="shared" ca="1" si="2"/>
        <v>1450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16">
        <f t="shared" ref="C9:G9" ca="1" si="3">C5</f>
        <v>30000</v>
      </c>
      <c r="D9" s="16">
        <f t="shared" ca="1" si="3"/>
        <v>43500</v>
      </c>
      <c r="E9" s="16">
        <f t="shared" ca="1" si="3"/>
        <v>58000</v>
      </c>
      <c r="F9" s="16">
        <f t="shared" ca="1" si="3"/>
        <v>72500</v>
      </c>
      <c r="G9" s="17">
        <f t="shared" ca="1" si="3"/>
        <v>87000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13">
        <f t="shared" ref="C13:G13" ca="1" si="5">C8-C4</f>
        <v>0</v>
      </c>
      <c r="D13" s="13">
        <f t="shared" ca="1" si="5"/>
        <v>0</v>
      </c>
      <c r="E13" s="13">
        <f t="shared" ca="1" si="5"/>
        <v>0</v>
      </c>
      <c r="F13" s="13">
        <f t="shared" ca="1" si="5"/>
        <v>0</v>
      </c>
      <c r="G13" s="14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16">
        <f t="shared" ref="C14:G14" ca="1" si="6">C9-C5</f>
        <v>0</v>
      </c>
      <c r="D14" s="16">
        <f t="shared" ca="1" si="6"/>
        <v>0</v>
      </c>
      <c r="E14" s="16">
        <f t="shared" ca="1" si="6"/>
        <v>0</v>
      </c>
      <c r="F14" s="16">
        <f t="shared" ca="1" si="6"/>
        <v>0</v>
      </c>
      <c r="G14" s="17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IFERROR(__xludf.DUMMYFUNCTION("importrange(""https://docs.google.com/spreadsheets/d/1MWrQodvRmZyVJhhhHTG9U2XacJYxs78To8OocZWRCoU/edit#gid=0"",""sales!B8:F8"")"),7)</f>
        <v>7</v>
      </c>
      <c r="D18" s="9">
        <f ca="1">IFERROR(__xludf.DUMMYFUNCTION("""COMPUTED_VALUE"""),9)</f>
        <v>9</v>
      </c>
      <c r="E18" s="9">
        <f ca="1">IFERROR(__xludf.DUMMYFUNCTION("""COMPUTED_VALUE"""),12)</f>
        <v>12</v>
      </c>
      <c r="F18" s="9">
        <f ca="1">IFERROR(__xludf.DUMMYFUNCTION("""COMPUTED_VALUE"""),15)</f>
        <v>15</v>
      </c>
      <c r="G18" s="10">
        <f ca="1">IFERROR(__xludf.DUMMYFUNCTION("""COMPUTED_VALUE"""),18)</f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13">
        <f ca="1">IFERROR(__xludf.DUMMYFUNCTION("importrange(""https://docs.google.com/spreadsheets/d/1MWrQodvRmZyVJhhhHTG9U2XacJYxs78To8OocZWRCoU/edit#gid=0"",""sales!B9:F9"")"),1500)</f>
        <v>1500</v>
      </c>
      <c r="D19" s="13">
        <f ca="1">IFERROR(__xludf.DUMMYFUNCTION("""COMPUTED_VALUE"""),1700)</f>
        <v>1700</v>
      </c>
      <c r="E19" s="13">
        <f ca="1">IFERROR(__xludf.DUMMYFUNCTION("""COMPUTED_VALUE"""),1700)</f>
        <v>1700</v>
      </c>
      <c r="F19" s="13">
        <f ca="1">IFERROR(__xludf.DUMMYFUNCTION("""COMPUTED_VALUE"""),1700)</f>
        <v>1700</v>
      </c>
      <c r="G19" s="14">
        <f ca="1">IFERROR(__xludf.DUMMYFUNCTION("""COMPUTED_VALUE"""),1700)</f>
        <v>1700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16">
        <f t="shared" ref="C20:G20" ca="1" si="7">C18*C19</f>
        <v>10500</v>
      </c>
      <c r="D20" s="16">
        <f t="shared" ca="1" si="7"/>
        <v>15300</v>
      </c>
      <c r="E20" s="16">
        <f t="shared" ca="1" si="7"/>
        <v>20400</v>
      </c>
      <c r="F20" s="16">
        <f t="shared" ca="1" si="7"/>
        <v>25500</v>
      </c>
      <c r="G20" s="17">
        <f t="shared" ca="1" si="7"/>
        <v>30600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7</v>
      </c>
      <c r="D23" s="9">
        <f t="shared" ca="1" si="8"/>
        <v>9</v>
      </c>
      <c r="E23" s="9">
        <f t="shared" ca="1" si="8"/>
        <v>12</v>
      </c>
      <c r="F23" s="9">
        <f t="shared" ca="1" si="8"/>
        <v>15</v>
      </c>
      <c r="G23" s="10">
        <f t="shared" ca="1" si="8"/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13">
        <f t="shared" ref="C24:G24" ca="1" si="9">C19</f>
        <v>1500</v>
      </c>
      <c r="D24" s="13">
        <f t="shared" ca="1" si="9"/>
        <v>1700</v>
      </c>
      <c r="E24" s="13">
        <f t="shared" ca="1" si="9"/>
        <v>1700</v>
      </c>
      <c r="F24" s="13">
        <f t="shared" ca="1" si="9"/>
        <v>1700</v>
      </c>
      <c r="G24" s="14">
        <f t="shared" ca="1" si="9"/>
        <v>1700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16">
        <f t="shared" ref="C25:G25" ca="1" si="10">C20</f>
        <v>10500</v>
      </c>
      <c r="D25" s="16">
        <f t="shared" ca="1" si="10"/>
        <v>15300</v>
      </c>
      <c r="E25" s="16">
        <f t="shared" ca="1" si="10"/>
        <v>20400</v>
      </c>
      <c r="F25" s="16">
        <f t="shared" ca="1" si="10"/>
        <v>25500</v>
      </c>
      <c r="G25" s="17">
        <f t="shared" ca="1" si="10"/>
        <v>30600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13">
        <f t="shared" ref="C29:G29" ca="1" si="12">C24-C19</f>
        <v>0</v>
      </c>
      <c r="D29" s="13">
        <f t="shared" ca="1" si="12"/>
        <v>0</v>
      </c>
      <c r="E29" s="13">
        <f t="shared" ca="1" si="12"/>
        <v>0</v>
      </c>
      <c r="F29" s="13">
        <f t="shared" ca="1" si="12"/>
        <v>0</v>
      </c>
      <c r="G29" s="14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16">
        <f t="shared" ref="C30:G30" ca="1" si="13">C25-C20</f>
        <v>0</v>
      </c>
      <c r="D30" s="16">
        <f t="shared" ca="1" si="13"/>
        <v>0</v>
      </c>
      <c r="E30" s="16">
        <f t="shared" ca="1" si="13"/>
        <v>0</v>
      </c>
      <c r="F30" s="16">
        <f t="shared" ca="1" si="13"/>
        <v>0</v>
      </c>
      <c r="G30" s="17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IFERROR(__xludf.DUMMYFUNCTION("importrange(""https://docs.google.com/spreadsheets/d/1MWrQodvRmZyVJhhhHTG9U2XacJYxs78To8OocZWRCoU/edit#gid=0"",""sales!B13:F13"")"),10)</f>
        <v>10</v>
      </c>
      <c r="D34" s="21">
        <f ca="1">IFERROR(__xludf.DUMMYFUNCTION("""COMPUTED_VALUE"""),10)</f>
        <v>10</v>
      </c>
      <c r="E34" s="21">
        <f ca="1">IFERROR(__xludf.DUMMYFUNCTION("""COMPUTED_VALUE"""),15)</f>
        <v>15</v>
      </c>
      <c r="F34" s="21">
        <f ca="1">IFERROR(__xludf.DUMMYFUNCTION("""COMPUTED_VALUE"""),20)</f>
        <v>20</v>
      </c>
      <c r="G34" s="21">
        <f ca="1">IFERROR(__xludf.DUMMYFUNCTION("""COMPUTED_VALUE"""),25)</f>
        <v>25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28">
        <f ca="1">IFERROR(__xludf.DUMMYFUNCTION("importrange(""https://docs.google.com/spreadsheets/d/1MWrQodvRmZyVJhhhHTG9U2XacJYxs78To8OocZWRCoU/edit#gid=0"",""sales!B14:F14"")"),1200)</f>
        <v>1200</v>
      </c>
      <c r="D35" s="13">
        <f ca="1">IFERROR(__xludf.DUMMYFUNCTION("""COMPUTED_VALUE"""),1700)</f>
        <v>1700</v>
      </c>
      <c r="E35" s="13">
        <f ca="1">IFERROR(__xludf.DUMMYFUNCTION("""COMPUTED_VALUE"""),1700)</f>
        <v>1700</v>
      </c>
      <c r="F35" s="13">
        <f ca="1">IFERROR(__xludf.DUMMYFUNCTION("""COMPUTED_VALUE"""),1700)</f>
        <v>1700</v>
      </c>
      <c r="G35" s="14">
        <f ca="1">IFERROR(__xludf.DUMMYFUNCTION("""COMPUTED_VALUE"""),1700)</f>
        <v>1700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16">
        <f t="shared" ref="C36:G36" ca="1" si="14">C35*C34</f>
        <v>12000</v>
      </c>
      <c r="D36" s="16">
        <f t="shared" ca="1" si="14"/>
        <v>17000</v>
      </c>
      <c r="E36" s="16">
        <f t="shared" ca="1" si="14"/>
        <v>25500</v>
      </c>
      <c r="F36" s="16">
        <f t="shared" ca="1" si="14"/>
        <v>34000</v>
      </c>
      <c r="G36" s="17">
        <f t="shared" ca="1" si="14"/>
        <v>42500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10</v>
      </c>
      <c r="D38" s="21">
        <f t="shared" ca="1" si="15"/>
        <v>10</v>
      </c>
      <c r="E38" s="21">
        <f t="shared" ca="1" si="15"/>
        <v>15</v>
      </c>
      <c r="F38" s="21">
        <f t="shared" ca="1" si="15"/>
        <v>20</v>
      </c>
      <c r="G38" s="31">
        <f t="shared" ca="1" si="15"/>
        <v>25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28">
        <f t="shared" ref="C39:G39" ca="1" si="16">C35</f>
        <v>1200</v>
      </c>
      <c r="D39" s="28">
        <f t="shared" ca="1" si="16"/>
        <v>1700</v>
      </c>
      <c r="E39" s="28">
        <f t="shared" ca="1" si="16"/>
        <v>1700</v>
      </c>
      <c r="F39" s="28">
        <f t="shared" ca="1" si="16"/>
        <v>1700</v>
      </c>
      <c r="G39" s="32">
        <f t="shared" ca="1" si="16"/>
        <v>1700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33">
        <f t="shared" ref="C40:G40" ca="1" si="17">C36</f>
        <v>12000</v>
      </c>
      <c r="D40" s="33">
        <f t="shared" ca="1" si="17"/>
        <v>17000</v>
      </c>
      <c r="E40" s="33">
        <f t="shared" ca="1" si="17"/>
        <v>25500</v>
      </c>
      <c r="F40" s="33">
        <f t="shared" ca="1" si="17"/>
        <v>34000</v>
      </c>
      <c r="G40" s="34">
        <f t="shared" ca="1" si="17"/>
        <v>42500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28">
        <f t="shared" ref="C44:G44" ca="1" si="19">C39-C35</f>
        <v>0</v>
      </c>
      <c r="D44" s="28">
        <f t="shared" ca="1" si="19"/>
        <v>0</v>
      </c>
      <c r="E44" s="28">
        <f t="shared" ca="1" si="19"/>
        <v>0</v>
      </c>
      <c r="F44" s="28">
        <f t="shared" ca="1" si="19"/>
        <v>0</v>
      </c>
      <c r="G44" s="32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33">
        <f t="shared" ref="C45:G45" ca="1" si="20">C40-C36</f>
        <v>0</v>
      </c>
      <c r="D45" s="33">
        <f t="shared" ca="1" si="20"/>
        <v>0</v>
      </c>
      <c r="E45" s="33">
        <f t="shared" ca="1" si="20"/>
        <v>0</v>
      </c>
      <c r="F45" s="33">
        <f t="shared" ca="1" si="20"/>
        <v>0</v>
      </c>
      <c r="G45" s="34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IFERROR(__xludf.DUMMYFUNCTION("importrange(""https://docs.google.com/spreadsheets/d/1MWrQodvRmZyVJhhhHTG9U2XacJYxs78To8OocZWRCoU/edit#gid=0"",""sales!B18:F18"")"),0)</f>
        <v>0</v>
      </c>
      <c r="D49" s="9">
        <f ca="1">IFERROR(__xludf.DUMMYFUNCTION("""COMPUTED_VALUE"""),5)</f>
        <v>5</v>
      </c>
      <c r="E49" s="9">
        <f ca="1">IFERROR(__xludf.DUMMYFUNCTION("""COMPUTED_VALUE"""),10)</f>
        <v>10</v>
      </c>
      <c r="F49" s="9">
        <f ca="1">IFERROR(__xludf.DUMMYFUNCTION("""COMPUTED_VALUE"""),15)</f>
        <v>15</v>
      </c>
      <c r="G49" s="10">
        <f ca="1">IFERROR(__xludf.DUMMYFUNCTION("""COMPUTED_VALUE"""),20)</f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28">
        <f ca="1">IFERROR(__xludf.DUMMYFUNCTION("importrange(""https://docs.google.com/spreadsheets/d/1MWrQodvRmZyVJhhhHTG9U2XacJYxs78To8OocZWRCoU/edit#gid=0"",""sales!B19:F19"")"),0)</f>
        <v>0</v>
      </c>
      <c r="D50" s="13">
        <f ca="1">IFERROR(__xludf.DUMMYFUNCTION("""COMPUTED_VALUE"""),895)</f>
        <v>895</v>
      </c>
      <c r="E50" s="13">
        <f ca="1">IFERROR(__xludf.DUMMYFUNCTION("""COMPUTED_VALUE"""),895)</f>
        <v>895</v>
      </c>
      <c r="F50" s="13">
        <f ca="1">IFERROR(__xludf.DUMMYFUNCTION("""COMPUTED_VALUE"""),895)</f>
        <v>895</v>
      </c>
      <c r="G50" s="14">
        <f ca="1">IFERROR(__xludf.DUMMYFUNCTION("""COMPUTED_VALUE"""),895)</f>
        <v>895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16">
        <f t="shared" ref="C51:G51" ca="1" si="21">C50*C49</f>
        <v>0</v>
      </c>
      <c r="D51" s="16">
        <f t="shared" ca="1" si="21"/>
        <v>4475</v>
      </c>
      <c r="E51" s="16">
        <f t="shared" ca="1" si="21"/>
        <v>8950</v>
      </c>
      <c r="F51" s="16">
        <f t="shared" ca="1" si="21"/>
        <v>13425</v>
      </c>
      <c r="G51" s="17">
        <f t="shared" ca="1" si="21"/>
        <v>17900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5</v>
      </c>
      <c r="E54" s="9">
        <f t="shared" ca="1" si="22"/>
        <v>10</v>
      </c>
      <c r="F54" s="9">
        <f t="shared" ca="1" si="22"/>
        <v>15</v>
      </c>
      <c r="G54" s="9">
        <f t="shared" ca="1" si="22"/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13">
        <f t="shared" ref="C55:G55" ca="1" si="23">C50</f>
        <v>0</v>
      </c>
      <c r="D55" s="13">
        <f t="shared" ca="1" si="23"/>
        <v>895</v>
      </c>
      <c r="E55" s="13">
        <f t="shared" ca="1" si="23"/>
        <v>895</v>
      </c>
      <c r="F55" s="13">
        <f t="shared" ca="1" si="23"/>
        <v>895</v>
      </c>
      <c r="G55" s="14">
        <f t="shared" ca="1" si="23"/>
        <v>895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16">
        <f t="shared" ref="C56:G56" ca="1" si="24">C51</f>
        <v>0</v>
      </c>
      <c r="D56" s="16">
        <f t="shared" ca="1" si="24"/>
        <v>4475</v>
      </c>
      <c r="E56" s="16">
        <f t="shared" ca="1" si="24"/>
        <v>8950</v>
      </c>
      <c r="F56" s="16">
        <f t="shared" ca="1" si="24"/>
        <v>13425</v>
      </c>
      <c r="G56" s="17">
        <f t="shared" ca="1" si="24"/>
        <v>17900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28">
        <f t="shared" ref="C60:G60" ca="1" si="26">C55-C50</f>
        <v>0</v>
      </c>
      <c r="D60" s="28">
        <f t="shared" ca="1" si="26"/>
        <v>0</v>
      </c>
      <c r="E60" s="28">
        <f t="shared" ca="1" si="26"/>
        <v>0</v>
      </c>
      <c r="F60" s="28">
        <f t="shared" ca="1" si="26"/>
        <v>0</v>
      </c>
      <c r="G60" s="32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33">
        <f t="shared" ref="C61:G61" ca="1" si="27">C56-C51</f>
        <v>0</v>
      </c>
      <c r="D61" s="33">
        <f t="shared" ca="1" si="27"/>
        <v>0</v>
      </c>
      <c r="E61" s="33">
        <f t="shared" ca="1" si="27"/>
        <v>0</v>
      </c>
      <c r="F61" s="33">
        <f t="shared" ca="1" si="27"/>
        <v>0</v>
      </c>
      <c r="G61" s="34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8">C54+C38+C23+C7</f>
        <v>42</v>
      </c>
      <c r="D65" s="41">
        <f t="shared" ca="1" si="28"/>
        <v>54</v>
      </c>
      <c r="E65" s="41">
        <f t="shared" ca="1" si="28"/>
        <v>77</v>
      </c>
      <c r="F65" s="41">
        <f t="shared" ca="1" si="28"/>
        <v>100</v>
      </c>
      <c r="G65" s="41">
        <f t="shared" ca="1" si="28"/>
        <v>123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43">
        <f t="shared" ref="C66:G66" ca="1" si="29">C67/C65</f>
        <v>1250</v>
      </c>
      <c r="D66" s="43">
        <f t="shared" ca="1" si="29"/>
        <v>1486.5740740740741</v>
      </c>
      <c r="E66" s="43">
        <f t="shared" ca="1" si="29"/>
        <v>1465.5844155844156</v>
      </c>
      <c r="F66" s="43">
        <f t="shared" ca="1" si="29"/>
        <v>1454.25</v>
      </c>
      <c r="G66" s="43">
        <f t="shared" ca="1" si="29"/>
        <v>1447.1544715447155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44">
        <f t="shared" ref="C67:G67" ca="1" si="30">C56+C40+C20+C9</f>
        <v>52500</v>
      </c>
      <c r="D67" s="44">
        <f t="shared" ca="1" si="30"/>
        <v>80275</v>
      </c>
      <c r="E67" s="44">
        <f t="shared" ca="1" si="30"/>
        <v>112850</v>
      </c>
      <c r="F67" s="44">
        <f t="shared" ca="1" si="30"/>
        <v>145425</v>
      </c>
      <c r="G67" s="44">
        <f t="shared" ca="1" si="30"/>
        <v>178000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46">
        <f ca="1">D67+E67+F67+G67</f>
        <v>516550</v>
      </c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20"/>
  <sheetViews>
    <sheetView workbookViewId="0">
      <selection sqref="A1:B1048576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IFERROR(__xludf.DUMMYFUNCTION("importrange(""https://docs.google.com/spreadsheets/d/1eNjYr-TTV0LkG-te_uZ7jiDG_0e-j7VK4mwKPTNHgUo/edit#gid=0"",""sales!B3:F3"")"),45)</f>
        <v>45</v>
      </c>
      <c r="D3" s="9">
        <f ca="1">IFERROR(__xludf.DUMMYFUNCTION("""COMPUTED_VALUE"""),45)</f>
        <v>45</v>
      </c>
      <c r="E3" s="9">
        <f ca="1">IFERROR(__xludf.DUMMYFUNCTION("""COMPUTED_VALUE"""),45)</f>
        <v>45</v>
      </c>
      <c r="F3" s="9">
        <f ca="1">IFERROR(__xludf.DUMMYFUNCTION("""COMPUTED_VALUE"""),45)</f>
        <v>45</v>
      </c>
      <c r="G3" s="10">
        <f ca="1">IFERROR(__xludf.DUMMYFUNCTION("""COMPUTED_VALUE"""),45)</f>
        <v>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51">
        <f ca="1">IFERROR(__xludf.DUMMYFUNCTION("importrange(""https://docs.google.com/spreadsheets/d/1eNjYr-TTV0LkG-te_uZ7jiDG_0e-j7VK4mwKPTNHgUo/edit#gid=0"",""sales!B4:F4"")"),1600)</f>
        <v>1600</v>
      </c>
      <c r="D4" s="51">
        <f ca="1">IFERROR(__xludf.DUMMYFUNCTION("""COMPUTED_VALUE"""),1600)</f>
        <v>1600</v>
      </c>
      <c r="E4" s="51">
        <f ca="1">IFERROR(__xludf.DUMMYFUNCTION("""COMPUTED_VALUE"""),1600)</f>
        <v>1600</v>
      </c>
      <c r="F4" s="51">
        <f ca="1">IFERROR(__xludf.DUMMYFUNCTION("""COMPUTED_VALUE"""),1600)</f>
        <v>1600</v>
      </c>
      <c r="G4" s="52">
        <f ca="1">IFERROR(__xludf.DUMMYFUNCTION("""COMPUTED_VALUE"""),1600)</f>
        <v>1600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53">
        <f t="shared" ref="C5:G5" ca="1" si="0">C3*C4</f>
        <v>72000</v>
      </c>
      <c r="D5" s="53">
        <f t="shared" ca="1" si="0"/>
        <v>72000</v>
      </c>
      <c r="E5" s="53">
        <f t="shared" ca="1" si="0"/>
        <v>72000</v>
      </c>
      <c r="F5" s="53">
        <f t="shared" ca="1" si="0"/>
        <v>72000</v>
      </c>
      <c r="G5" s="54">
        <f t="shared" ca="1" si="0"/>
        <v>72000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51"/>
      <c r="D6" s="51"/>
      <c r="E6" s="51"/>
      <c r="F6" s="51"/>
      <c r="G6" s="5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25">
        <f t="shared" ref="C7:G7" ca="1" si="1">C3</f>
        <v>45</v>
      </c>
      <c r="D7" s="25">
        <f t="shared" ca="1" si="1"/>
        <v>45</v>
      </c>
      <c r="E7" s="25">
        <f t="shared" ca="1" si="1"/>
        <v>45</v>
      </c>
      <c r="F7" s="25">
        <f t="shared" ca="1" si="1"/>
        <v>45</v>
      </c>
      <c r="G7" s="26">
        <f t="shared" ca="1" si="1"/>
        <v>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51">
        <f t="shared" ref="C8:G8" ca="1" si="2">C4</f>
        <v>1600</v>
      </c>
      <c r="D8" s="51">
        <f t="shared" ca="1" si="2"/>
        <v>1600</v>
      </c>
      <c r="E8" s="51">
        <f t="shared" ca="1" si="2"/>
        <v>1600</v>
      </c>
      <c r="F8" s="51">
        <f t="shared" ca="1" si="2"/>
        <v>1600</v>
      </c>
      <c r="G8" s="52">
        <f t="shared" ca="1" si="2"/>
        <v>1600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53">
        <f t="shared" ref="C9:G9" ca="1" si="3">C5</f>
        <v>72000</v>
      </c>
      <c r="D9" s="53">
        <f t="shared" ca="1" si="3"/>
        <v>72000</v>
      </c>
      <c r="E9" s="53">
        <f t="shared" ca="1" si="3"/>
        <v>72000</v>
      </c>
      <c r="F9" s="53">
        <f t="shared" ca="1" si="3"/>
        <v>72000</v>
      </c>
      <c r="G9" s="54">
        <f t="shared" ca="1" si="3"/>
        <v>72000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51"/>
      <c r="D10" s="51"/>
      <c r="E10" s="51"/>
      <c r="F10" s="51"/>
      <c r="G10" s="5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51"/>
      <c r="D11" s="51"/>
      <c r="E11" s="51"/>
      <c r="F11" s="51"/>
      <c r="G11" s="5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25">
        <f t="shared" ref="C12:G12" ca="1" si="4">C7-C3</f>
        <v>0</v>
      </c>
      <c r="D12" s="25">
        <f t="shared" ca="1" si="4"/>
        <v>0</v>
      </c>
      <c r="E12" s="25">
        <f t="shared" ca="1" si="4"/>
        <v>0</v>
      </c>
      <c r="F12" s="25">
        <f t="shared" ca="1" si="4"/>
        <v>0</v>
      </c>
      <c r="G12" s="26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51">
        <f t="shared" ref="C13:G13" ca="1" si="5">C8-C4</f>
        <v>0</v>
      </c>
      <c r="D13" s="51">
        <f t="shared" ca="1" si="5"/>
        <v>0</v>
      </c>
      <c r="E13" s="51">
        <f t="shared" ca="1" si="5"/>
        <v>0</v>
      </c>
      <c r="F13" s="51">
        <f t="shared" ca="1" si="5"/>
        <v>0</v>
      </c>
      <c r="G13" s="52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53">
        <f t="shared" ref="C14:G14" ca="1" si="6">C9-C5</f>
        <v>0</v>
      </c>
      <c r="D14" s="53">
        <f t="shared" ca="1" si="6"/>
        <v>0</v>
      </c>
      <c r="E14" s="53">
        <f t="shared" ca="1" si="6"/>
        <v>0</v>
      </c>
      <c r="F14" s="53">
        <f t="shared" ca="1" si="6"/>
        <v>0</v>
      </c>
      <c r="G14" s="54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51"/>
      <c r="D15" s="51"/>
      <c r="E15" s="51"/>
      <c r="F15" s="51"/>
      <c r="G15" s="5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51"/>
      <c r="D16" s="51"/>
      <c r="E16" s="51"/>
      <c r="F16" s="51"/>
      <c r="G16" s="5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51"/>
      <c r="D17" s="51"/>
      <c r="E17" s="51"/>
      <c r="F17" s="51"/>
      <c r="G17" s="5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55">
        <f ca="1">IFERROR(__xludf.DUMMYFUNCTION("importrange(""https://docs.google.com/spreadsheets/d/1eNjYr-TTV0LkG-te_uZ7jiDG_0e-j7VK4mwKPTNHgUo/edit#gid=0"",""sales!B8:F8"")"),5)</f>
        <v>5</v>
      </c>
      <c r="D18" s="25">
        <f ca="1">IFERROR(__xludf.DUMMYFUNCTION("""COMPUTED_VALUE"""),0)</f>
        <v>0</v>
      </c>
      <c r="E18" s="25">
        <f ca="1">IFERROR(__xludf.DUMMYFUNCTION("""COMPUTED_VALUE"""),0)</f>
        <v>0</v>
      </c>
      <c r="F18" s="25">
        <f ca="1">IFERROR(__xludf.DUMMYFUNCTION("""COMPUTED_VALUE"""),0)</f>
        <v>0</v>
      </c>
      <c r="G18" s="26">
        <f ca="1">IFERROR(__xludf.DUMMYFUNCTION("""COMPUTED_VALUE"""),0)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51">
        <f ca="1">IFERROR(__xludf.DUMMYFUNCTION("importrange(""https://docs.google.com/spreadsheets/d/1eNjYr-TTV0LkG-te_uZ7jiDG_0e-j7VK4mwKPTNHgUo/edit#gid=0"",""sales!B9:F9"")"),2000)</f>
        <v>2000</v>
      </c>
      <c r="D19" s="51">
        <f ca="1">IFERROR(__xludf.DUMMYFUNCTION("""COMPUTED_VALUE"""),0)</f>
        <v>0</v>
      </c>
      <c r="E19" s="51">
        <f ca="1">IFERROR(__xludf.DUMMYFUNCTION("""COMPUTED_VALUE"""),0)</f>
        <v>0</v>
      </c>
      <c r="F19" s="51">
        <f ca="1">IFERROR(__xludf.DUMMYFUNCTION("""COMPUTED_VALUE"""),0)</f>
        <v>0</v>
      </c>
      <c r="G19" s="52">
        <f ca="1">IFERROR(__xludf.DUMMYFUNCTION("""COMPUTED_VALUE"""),0)</f>
        <v>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53">
        <f t="shared" ref="C20:G20" ca="1" si="7">C18*C19</f>
        <v>10000</v>
      </c>
      <c r="D20" s="53">
        <f t="shared" ca="1" si="7"/>
        <v>0</v>
      </c>
      <c r="E20" s="53">
        <f t="shared" ca="1" si="7"/>
        <v>0</v>
      </c>
      <c r="F20" s="53">
        <f t="shared" ca="1" si="7"/>
        <v>0</v>
      </c>
      <c r="G20" s="54">
        <f t="shared" ca="1" si="7"/>
        <v>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51"/>
      <c r="D21" s="51"/>
      <c r="E21" s="51"/>
      <c r="F21" s="51"/>
      <c r="G21" s="5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51"/>
      <c r="D22" s="51"/>
      <c r="E22" s="51"/>
      <c r="F22" s="51"/>
      <c r="G22" s="5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25">
        <f t="shared" ref="C23:G23" ca="1" si="8">C18</f>
        <v>5</v>
      </c>
      <c r="D23" s="25">
        <f t="shared" ca="1" si="8"/>
        <v>0</v>
      </c>
      <c r="E23" s="25">
        <f t="shared" ca="1" si="8"/>
        <v>0</v>
      </c>
      <c r="F23" s="25">
        <f t="shared" ca="1" si="8"/>
        <v>0</v>
      </c>
      <c r="G23" s="26">
        <f t="shared" ca="1" si="8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51">
        <f t="shared" ref="C24:G24" ca="1" si="9">C19</f>
        <v>2000</v>
      </c>
      <c r="D24" s="51">
        <f t="shared" ca="1" si="9"/>
        <v>0</v>
      </c>
      <c r="E24" s="51">
        <f t="shared" ca="1" si="9"/>
        <v>0</v>
      </c>
      <c r="F24" s="51">
        <f t="shared" ca="1" si="9"/>
        <v>0</v>
      </c>
      <c r="G24" s="52">
        <f t="shared" ca="1" si="9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53">
        <f t="shared" ref="C25:G25" ca="1" si="10">C20</f>
        <v>10000</v>
      </c>
      <c r="D25" s="53">
        <f t="shared" ca="1" si="10"/>
        <v>0</v>
      </c>
      <c r="E25" s="53">
        <f t="shared" ca="1" si="10"/>
        <v>0</v>
      </c>
      <c r="F25" s="53">
        <f t="shared" ca="1" si="10"/>
        <v>0</v>
      </c>
      <c r="G25" s="54">
        <f t="shared" ca="1" si="10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51"/>
      <c r="D26" s="51"/>
      <c r="E26" s="51"/>
      <c r="F26" s="51"/>
      <c r="G26" s="5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51"/>
      <c r="D27" s="51"/>
      <c r="E27" s="51"/>
      <c r="F27" s="51"/>
      <c r="G27" s="5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51">
        <f t="shared" ref="C29:G29" ca="1" si="12">C24-C19</f>
        <v>0</v>
      </c>
      <c r="D29" s="51">
        <f t="shared" ca="1" si="12"/>
        <v>0</v>
      </c>
      <c r="E29" s="51">
        <f t="shared" ca="1" si="12"/>
        <v>0</v>
      </c>
      <c r="F29" s="51">
        <f t="shared" ca="1" si="12"/>
        <v>0</v>
      </c>
      <c r="G29" s="52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53">
        <f t="shared" ref="C30:G30" ca="1" si="13">C25-C20</f>
        <v>0</v>
      </c>
      <c r="D30" s="53">
        <f t="shared" ca="1" si="13"/>
        <v>0</v>
      </c>
      <c r="E30" s="53">
        <f t="shared" ca="1" si="13"/>
        <v>0</v>
      </c>
      <c r="F30" s="53">
        <f t="shared" ca="1" si="13"/>
        <v>0</v>
      </c>
      <c r="G30" s="54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51"/>
      <c r="D31" s="51"/>
      <c r="E31" s="51"/>
      <c r="F31" s="51"/>
      <c r="G31" s="5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51"/>
      <c r="D32" s="51"/>
      <c r="E32" s="51"/>
      <c r="F32" s="51"/>
      <c r="G32" s="5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51"/>
      <c r="D33" s="51"/>
      <c r="E33" s="51"/>
      <c r="F33" s="51"/>
      <c r="G33" s="5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55">
        <f ca="1">IFERROR(__xludf.DUMMYFUNCTION("importrange(""https://docs.google.com/spreadsheets/d/1eNjYr-TTV0LkG-te_uZ7jiDG_0e-j7VK4mwKPTNHgUo/edit#gid=0"",""sales!B13:F13"")"),0)</f>
        <v>0</v>
      </c>
      <c r="D34" s="55">
        <f ca="1">IFERROR(__xludf.DUMMYFUNCTION("""COMPUTED_VALUE"""),0)</f>
        <v>0</v>
      </c>
      <c r="E34" s="55">
        <f ca="1">IFERROR(__xludf.DUMMYFUNCTION("""COMPUTED_VALUE"""),0)</f>
        <v>0</v>
      </c>
      <c r="F34" s="55">
        <f ca="1">IFERROR(__xludf.DUMMYFUNCTION("""COMPUTED_VALUE"""),0)</f>
        <v>0</v>
      </c>
      <c r="G34" s="55">
        <f ca="1">IFERROR(__xludf.DUMMYFUNCTION("""COMPUTED_VALUE"""),0)</f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56">
        <f ca="1">IFERROR(__xludf.DUMMYFUNCTION("importrange(""https://docs.google.com/spreadsheets/d/1eNjYr-TTV0LkG-te_uZ7jiDG_0e-j7VK4mwKPTNHgUo/edit#gid=0"",""sales!B14:F14"")"),0)</f>
        <v>0</v>
      </c>
      <c r="D35" s="51">
        <f ca="1">IFERROR(__xludf.DUMMYFUNCTION("""COMPUTED_VALUE"""),0)</f>
        <v>0</v>
      </c>
      <c r="E35" s="51">
        <f ca="1">IFERROR(__xludf.DUMMYFUNCTION("""COMPUTED_VALUE"""),0)</f>
        <v>0</v>
      </c>
      <c r="F35" s="51">
        <f ca="1">IFERROR(__xludf.DUMMYFUNCTION("""COMPUTED_VALUE"""),0)</f>
        <v>0</v>
      </c>
      <c r="G35" s="52">
        <f ca="1">IFERROR(__xludf.DUMMYFUNCTION("""COMPUTED_VALUE"""),0)</f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53">
        <f t="shared" ref="C36:G36" ca="1" si="14">C35*C34</f>
        <v>0</v>
      </c>
      <c r="D36" s="53">
        <f t="shared" ca="1" si="14"/>
        <v>0</v>
      </c>
      <c r="E36" s="53">
        <f t="shared" ca="1" si="14"/>
        <v>0</v>
      </c>
      <c r="F36" s="53">
        <f t="shared" ca="1" si="14"/>
        <v>0</v>
      </c>
      <c r="G36" s="54">
        <f t="shared" ca="1" si="14"/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51"/>
      <c r="D37" s="51"/>
      <c r="E37" s="51"/>
      <c r="F37" s="51"/>
      <c r="G37" s="5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55">
        <f t="shared" ref="C38:G38" ca="1" si="15">C34</f>
        <v>0</v>
      </c>
      <c r="D38" s="55">
        <f t="shared" ca="1" si="15"/>
        <v>0</v>
      </c>
      <c r="E38" s="55">
        <f t="shared" ca="1" si="15"/>
        <v>0</v>
      </c>
      <c r="F38" s="55">
        <f t="shared" ca="1" si="15"/>
        <v>0</v>
      </c>
      <c r="G38" s="57">
        <f t="shared" ca="1" si="15"/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56">
        <f t="shared" ref="C39:G39" ca="1" si="16">C35</f>
        <v>0</v>
      </c>
      <c r="D39" s="56">
        <f t="shared" ca="1" si="16"/>
        <v>0</v>
      </c>
      <c r="E39" s="56">
        <f t="shared" ca="1" si="16"/>
        <v>0</v>
      </c>
      <c r="F39" s="56">
        <f t="shared" ca="1" si="16"/>
        <v>0</v>
      </c>
      <c r="G39" s="58">
        <f t="shared" ca="1" si="16"/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59">
        <f t="shared" ref="C40:G40" ca="1" si="17">C36</f>
        <v>0</v>
      </c>
      <c r="D40" s="59">
        <f t="shared" ca="1" si="17"/>
        <v>0</v>
      </c>
      <c r="E40" s="59">
        <f t="shared" ca="1" si="17"/>
        <v>0</v>
      </c>
      <c r="F40" s="59">
        <f t="shared" ca="1" si="17"/>
        <v>0</v>
      </c>
      <c r="G40" s="60">
        <f t="shared" ca="1" si="17"/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51"/>
      <c r="D41" s="51"/>
      <c r="E41" s="51"/>
      <c r="F41" s="51"/>
      <c r="G41" s="5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51"/>
      <c r="D42" s="51"/>
      <c r="E42" s="51"/>
      <c r="F42" s="51"/>
      <c r="G42" s="5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55">
        <f t="shared" ref="C43:G43" ca="1" si="18">C38-C34</f>
        <v>0</v>
      </c>
      <c r="D43" s="55">
        <f t="shared" ca="1" si="18"/>
        <v>0</v>
      </c>
      <c r="E43" s="55">
        <f t="shared" ca="1" si="18"/>
        <v>0</v>
      </c>
      <c r="F43" s="55">
        <f t="shared" ca="1" si="18"/>
        <v>0</v>
      </c>
      <c r="G43" s="57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56">
        <f t="shared" ref="C44:G44" ca="1" si="19">C39-C35</f>
        <v>0</v>
      </c>
      <c r="D44" s="56">
        <f t="shared" ca="1" si="19"/>
        <v>0</v>
      </c>
      <c r="E44" s="56">
        <f t="shared" ca="1" si="19"/>
        <v>0</v>
      </c>
      <c r="F44" s="56">
        <f t="shared" ca="1" si="19"/>
        <v>0</v>
      </c>
      <c r="G44" s="58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59">
        <f t="shared" ref="C45:G45" ca="1" si="20">C40-C36</f>
        <v>0</v>
      </c>
      <c r="D45" s="59">
        <f t="shared" ca="1" si="20"/>
        <v>0</v>
      </c>
      <c r="E45" s="59">
        <f t="shared" ca="1" si="20"/>
        <v>0</v>
      </c>
      <c r="F45" s="59">
        <f t="shared" ca="1" si="20"/>
        <v>0</v>
      </c>
      <c r="G45" s="60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51"/>
      <c r="D46" s="51"/>
      <c r="E46" s="51"/>
      <c r="F46" s="51"/>
      <c r="G46" s="5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51"/>
      <c r="D47" s="51"/>
      <c r="E47" s="51"/>
      <c r="F47" s="51"/>
      <c r="G47" s="5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51"/>
      <c r="D48" s="51"/>
      <c r="E48" s="51"/>
      <c r="F48" s="51"/>
      <c r="G48" s="5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55">
        <f ca="1">IFERROR(__xludf.DUMMYFUNCTION("importrange(""https://docs.google.com/spreadsheets/d/1eNjYr-TTV0LkG-te_uZ7jiDG_0e-j7VK4mwKPTNHgUo/edit#gid=0"",""sales!B18:F18"")"),0)</f>
        <v>0</v>
      </c>
      <c r="D49" s="25">
        <f ca="1">IFERROR(__xludf.DUMMYFUNCTION("""COMPUTED_VALUE"""),0)</f>
        <v>0</v>
      </c>
      <c r="E49" s="25">
        <f ca="1">IFERROR(__xludf.DUMMYFUNCTION("""COMPUTED_VALUE"""),0)</f>
        <v>0</v>
      </c>
      <c r="F49" s="25">
        <f ca="1">IFERROR(__xludf.DUMMYFUNCTION("""COMPUTED_VALUE"""),0)</f>
        <v>0</v>
      </c>
      <c r="G49" s="26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56">
        <f ca="1">IFERROR(__xludf.DUMMYFUNCTION("importrange(""https://docs.google.com/spreadsheets/d/1eNjYr-TTV0LkG-te_uZ7jiDG_0e-j7VK4mwKPTNHgUo/edit#gid=0"",""sales!B19:F19"")"),0)</f>
        <v>0</v>
      </c>
      <c r="D50" s="51">
        <f ca="1">IFERROR(__xludf.DUMMYFUNCTION("""COMPUTED_VALUE"""),0)</f>
        <v>0</v>
      </c>
      <c r="E50" s="51">
        <f ca="1">IFERROR(__xludf.DUMMYFUNCTION("""COMPUTED_VALUE"""),0)</f>
        <v>0</v>
      </c>
      <c r="F50" s="51">
        <f ca="1">IFERROR(__xludf.DUMMYFUNCTION("""COMPUTED_VALUE"""),0)</f>
        <v>0</v>
      </c>
      <c r="G50" s="52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53">
        <f t="shared" ref="C51:G51" ca="1" si="21">C50*C49</f>
        <v>0</v>
      </c>
      <c r="D51" s="53">
        <f t="shared" ca="1" si="21"/>
        <v>0</v>
      </c>
      <c r="E51" s="53">
        <f t="shared" ca="1" si="21"/>
        <v>0</v>
      </c>
      <c r="F51" s="53">
        <f t="shared" ca="1" si="21"/>
        <v>0</v>
      </c>
      <c r="G51" s="54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51"/>
      <c r="D52" s="51"/>
      <c r="E52" s="51"/>
      <c r="F52" s="51"/>
      <c r="G52" s="5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51"/>
      <c r="D53" s="51"/>
      <c r="E53" s="51"/>
      <c r="F53" s="51"/>
      <c r="G53" s="5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25">
        <f t="shared" ref="C54:G54" ca="1" si="22">C49</f>
        <v>0</v>
      </c>
      <c r="D54" s="25">
        <f t="shared" ca="1" si="22"/>
        <v>0</v>
      </c>
      <c r="E54" s="25">
        <f t="shared" ca="1" si="22"/>
        <v>0</v>
      </c>
      <c r="F54" s="25">
        <f t="shared" ca="1" si="22"/>
        <v>0</v>
      </c>
      <c r="G54" s="26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51">
        <f t="shared" ref="C55:G55" ca="1" si="23">C50</f>
        <v>0</v>
      </c>
      <c r="D55" s="51">
        <f t="shared" ca="1" si="23"/>
        <v>0</v>
      </c>
      <c r="E55" s="51">
        <f t="shared" ca="1" si="23"/>
        <v>0</v>
      </c>
      <c r="F55" s="51">
        <f t="shared" ca="1" si="23"/>
        <v>0</v>
      </c>
      <c r="G55" s="52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53">
        <f t="shared" ref="C56:G56" ca="1" si="24">C51</f>
        <v>0</v>
      </c>
      <c r="D56" s="53">
        <f t="shared" ca="1" si="24"/>
        <v>0</v>
      </c>
      <c r="E56" s="53">
        <f t="shared" ca="1" si="24"/>
        <v>0</v>
      </c>
      <c r="F56" s="53">
        <f t="shared" ca="1" si="24"/>
        <v>0</v>
      </c>
      <c r="G56" s="54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51"/>
      <c r="D57" s="51"/>
      <c r="E57" s="51"/>
      <c r="F57" s="51"/>
      <c r="G57" s="5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51"/>
      <c r="D58" s="51"/>
      <c r="E58" s="51"/>
      <c r="F58" s="51"/>
      <c r="G58" s="5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55">
        <f t="shared" ref="C59:G59" ca="1" si="25">C54-C49</f>
        <v>0</v>
      </c>
      <c r="D59" s="55">
        <f t="shared" ca="1" si="25"/>
        <v>0</v>
      </c>
      <c r="E59" s="55">
        <f t="shared" ca="1" si="25"/>
        <v>0</v>
      </c>
      <c r="F59" s="55">
        <f t="shared" ca="1" si="25"/>
        <v>0</v>
      </c>
      <c r="G59" s="57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56">
        <f t="shared" ref="C60:G60" ca="1" si="26">C55-C50</f>
        <v>0</v>
      </c>
      <c r="D60" s="56">
        <f t="shared" ca="1" si="26"/>
        <v>0</v>
      </c>
      <c r="E60" s="56">
        <f t="shared" ca="1" si="26"/>
        <v>0</v>
      </c>
      <c r="F60" s="56">
        <f t="shared" ca="1" si="26"/>
        <v>0</v>
      </c>
      <c r="G60" s="58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59">
        <f t="shared" ref="C61:G61" ca="1" si="27">C56-C51</f>
        <v>0</v>
      </c>
      <c r="D61" s="59">
        <f t="shared" ca="1" si="27"/>
        <v>0</v>
      </c>
      <c r="E61" s="59">
        <f t="shared" ca="1" si="27"/>
        <v>0</v>
      </c>
      <c r="F61" s="59">
        <f t="shared" ca="1" si="27"/>
        <v>0</v>
      </c>
      <c r="G61" s="60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51"/>
      <c r="D62" s="51"/>
      <c r="E62" s="51"/>
      <c r="F62" s="51"/>
      <c r="G62" s="5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51"/>
      <c r="D63" s="51"/>
      <c r="E63" s="51"/>
      <c r="F63" s="51"/>
      <c r="G63" s="5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51"/>
      <c r="D64" s="51"/>
      <c r="E64" s="51"/>
      <c r="F64" s="51"/>
      <c r="G64" s="5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61">
        <f t="shared" ref="C65:G65" ca="1" si="28">C54+C38+C23+C7</f>
        <v>50</v>
      </c>
      <c r="D65" s="61">
        <f t="shared" ca="1" si="28"/>
        <v>45</v>
      </c>
      <c r="E65" s="61">
        <f t="shared" ca="1" si="28"/>
        <v>45</v>
      </c>
      <c r="F65" s="61">
        <f t="shared" ca="1" si="28"/>
        <v>45</v>
      </c>
      <c r="G65" s="61">
        <f t="shared" ca="1" si="28"/>
        <v>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62">
        <f t="shared" ref="C66:G66" ca="1" si="29">C67/C65</f>
        <v>1640</v>
      </c>
      <c r="D66" s="62">
        <f t="shared" ca="1" si="29"/>
        <v>1600</v>
      </c>
      <c r="E66" s="62">
        <f t="shared" ca="1" si="29"/>
        <v>1600</v>
      </c>
      <c r="F66" s="62">
        <f t="shared" ca="1" si="29"/>
        <v>1600</v>
      </c>
      <c r="G66" s="62">
        <f t="shared" ca="1" si="29"/>
        <v>1600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63">
        <f t="shared" ref="C67:G67" ca="1" si="30">C56+C40+C20+C9</f>
        <v>82000</v>
      </c>
      <c r="D67" s="63">
        <f t="shared" ca="1" si="30"/>
        <v>72000</v>
      </c>
      <c r="E67" s="63">
        <f t="shared" ca="1" si="30"/>
        <v>72000</v>
      </c>
      <c r="F67" s="63">
        <f t="shared" ca="1" si="30"/>
        <v>72000</v>
      </c>
      <c r="G67" s="63">
        <f t="shared" ca="1" si="30"/>
        <v>72000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2">
        <v>2024</v>
      </c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64">
        <f ca="1">D67+E67+F67+G67</f>
        <v>288000</v>
      </c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20"/>
  <sheetViews>
    <sheetView workbookViewId="0">
      <selection sqref="A1:B1048576"/>
    </sheetView>
  </sheetViews>
  <sheetFormatPr baseColWidth="10" defaultColWidth="12.6640625" defaultRowHeight="15.75" customHeight="1"/>
  <cols>
    <col min="1" max="2" width="46" customWidth="1"/>
    <col min="3" max="3" width="19.5" customWidth="1"/>
    <col min="4" max="4" width="20" customWidth="1"/>
    <col min="5" max="5" width="19.6640625" customWidth="1"/>
    <col min="6" max="6" width="24" customWidth="1"/>
    <col min="7" max="7" width="19.5" customWidth="1"/>
  </cols>
  <sheetData>
    <row r="1" spans="1:28" ht="15.75" customHeigh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130">
        <f ca="1">IFERROR(__xludf.DUMMYFUNCTION("IMPORTRANGE(""https://docs.google.com/spreadsheets/d/1654bCu3Mvstwav4UhrBmAMgfsagrk6Dgdtv7LhxTAD0/edit#gid=0"",""sales!B3:F5"")"),132)</f>
        <v>132</v>
      </c>
      <c r="D3" s="130">
        <f ca="1">IFERROR(__xludf.DUMMYFUNCTION("""COMPUTED_VALUE"""),132)</f>
        <v>132</v>
      </c>
      <c r="E3" s="130">
        <f ca="1">IFERROR(__xludf.DUMMYFUNCTION("""COMPUTED_VALUE"""),152)</f>
        <v>152</v>
      </c>
      <c r="F3" s="130">
        <f ca="1">IFERROR(__xludf.DUMMYFUNCTION("""COMPUTED_VALUE"""),174)</f>
        <v>174</v>
      </c>
      <c r="G3" s="131">
        <f ca="1">IFERROR(__xludf.DUMMYFUNCTION("""COMPUTED_VALUE"""),232)</f>
        <v>232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132">
        <f ca="1">IFERROR(__xludf.DUMMYFUNCTION("""COMPUTED_VALUE"""),1545)</f>
        <v>1545</v>
      </c>
      <c r="D4" s="132">
        <f ca="1">IFERROR(__xludf.DUMMYFUNCTION("""COMPUTED_VALUE"""),1545)</f>
        <v>1545</v>
      </c>
      <c r="E4" s="132">
        <f ca="1">IFERROR(__xludf.DUMMYFUNCTION("""COMPUTED_VALUE"""),1549)</f>
        <v>1549</v>
      </c>
      <c r="F4" s="132">
        <f ca="1">IFERROR(__xludf.DUMMYFUNCTION("""COMPUTED_VALUE"""),1558)</f>
        <v>1558</v>
      </c>
      <c r="G4" s="133">
        <f ca="1">IFERROR(__xludf.DUMMYFUNCTION("""COMPUTED_VALUE"""),1558)</f>
        <v>1558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134">
        <f ca="1">IFERROR(__xludf.DUMMYFUNCTION("""COMPUTED_VALUE"""),203940)</f>
        <v>203940</v>
      </c>
      <c r="D5" s="134">
        <f ca="1">IFERROR(__xludf.DUMMYFUNCTION("""COMPUTED_VALUE"""),203940)</f>
        <v>203940</v>
      </c>
      <c r="E5" s="134">
        <f ca="1">IFERROR(__xludf.DUMMYFUNCTION("""COMPUTED_VALUE"""),235448)</f>
        <v>235448</v>
      </c>
      <c r="F5" s="134">
        <f ca="1">IFERROR(__xludf.DUMMYFUNCTION("""COMPUTED_VALUE"""),271092)</f>
        <v>271092</v>
      </c>
      <c r="G5" s="135">
        <f ca="1">IFERROR(__xludf.DUMMYFUNCTION("""COMPUTED_VALUE"""),361456)</f>
        <v>361456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0">C3</f>
        <v>132</v>
      </c>
      <c r="D7" s="9">
        <f t="shared" ca="1" si="0"/>
        <v>132</v>
      </c>
      <c r="E7" s="9">
        <f t="shared" ca="1" si="0"/>
        <v>152</v>
      </c>
      <c r="F7" s="9">
        <f t="shared" ca="1" si="0"/>
        <v>174</v>
      </c>
      <c r="G7" s="10">
        <f t="shared" ca="1" si="0"/>
        <v>232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23">
        <f t="shared" ref="C8:G8" ca="1" si="1">C4</f>
        <v>1545</v>
      </c>
      <c r="D8" s="23">
        <f t="shared" ca="1" si="1"/>
        <v>1545</v>
      </c>
      <c r="E8" s="23">
        <f t="shared" ca="1" si="1"/>
        <v>1549</v>
      </c>
      <c r="F8" s="23">
        <f t="shared" ca="1" si="1"/>
        <v>1558</v>
      </c>
      <c r="G8" s="24">
        <f t="shared" ca="1" si="1"/>
        <v>1558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65">
        <f t="shared" ref="C9:G9" ca="1" si="2">C5</f>
        <v>203940</v>
      </c>
      <c r="D9" s="65">
        <f t="shared" ca="1" si="2"/>
        <v>203940</v>
      </c>
      <c r="E9" s="65">
        <f t="shared" ca="1" si="2"/>
        <v>235448</v>
      </c>
      <c r="F9" s="65">
        <f t="shared" ca="1" si="2"/>
        <v>271092</v>
      </c>
      <c r="G9" s="66">
        <f t="shared" ca="1" si="2"/>
        <v>361456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3">C7-C3</f>
        <v>0</v>
      </c>
      <c r="D12" s="9">
        <f t="shared" ca="1" si="3"/>
        <v>0</v>
      </c>
      <c r="E12" s="9">
        <f t="shared" ca="1" si="3"/>
        <v>0</v>
      </c>
      <c r="F12" s="9">
        <f t="shared" ca="1" si="3"/>
        <v>0</v>
      </c>
      <c r="G12" s="10">
        <f t="shared" ca="1" si="3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23">
        <f t="shared" ref="C13:G13" ca="1" si="4">C8-C4</f>
        <v>0</v>
      </c>
      <c r="D13" s="23">
        <f t="shared" ca="1" si="4"/>
        <v>0</v>
      </c>
      <c r="E13" s="23">
        <f t="shared" ca="1" si="4"/>
        <v>0</v>
      </c>
      <c r="F13" s="23">
        <f t="shared" ca="1" si="4"/>
        <v>0</v>
      </c>
      <c r="G13" s="24">
        <f t="shared" ca="1" si="4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65">
        <f t="shared" ref="C14:G14" ca="1" si="5">C9-C5</f>
        <v>0</v>
      </c>
      <c r="D14" s="65">
        <f t="shared" ca="1" si="5"/>
        <v>0</v>
      </c>
      <c r="E14" s="65">
        <f t="shared" ca="1" si="5"/>
        <v>0</v>
      </c>
      <c r="F14" s="65">
        <f t="shared" ca="1" si="5"/>
        <v>0</v>
      </c>
      <c r="G14" s="66">
        <f t="shared" ca="1" si="5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IFERROR(__xludf.DUMMYFUNCTION("importrange(""https://docs.google.com/spreadsheets/d/1654bCu3Mvstwav4UhrBmAMgfsagrk6Dgdtv7LhxTAD0/edit#gid=0"",""sales!B8:F8"")"),5)</f>
        <v>5</v>
      </c>
      <c r="D18" s="9">
        <f ca="1">IFERROR(__xludf.DUMMYFUNCTION("""COMPUTED_VALUE"""),5)</f>
        <v>5</v>
      </c>
      <c r="E18" s="9">
        <f ca="1">IFERROR(__xludf.DUMMYFUNCTION("""COMPUTED_VALUE"""),5)</f>
        <v>5</v>
      </c>
      <c r="F18" s="9">
        <f ca="1">IFERROR(__xludf.DUMMYFUNCTION("""COMPUTED_VALUE"""),5)</f>
        <v>5</v>
      </c>
      <c r="G18" s="10">
        <f ca="1">IFERROR(__xludf.DUMMYFUNCTION("""COMPUTED_VALUE"""),5)</f>
        <v>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23">
        <f ca="1">IFERROR(__xludf.DUMMYFUNCTION("importrange(""https://docs.google.com/spreadsheets/d/1654bCu3Mvstwav4UhrBmAMgfsagrk6Dgdtv7LhxTAD0/edit#gid=0"",""sales!B9:F9"")"),3000)</f>
        <v>3000</v>
      </c>
      <c r="D19" s="23">
        <f ca="1">IFERROR(__xludf.DUMMYFUNCTION("""COMPUTED_VALUE"""),3000)</f>
        <v>3000</v>
      </c>
      <c r="E19" s="23">
        <f ca="1">IFERROR(__xludf.DUMMYFUNCTION("""COMPUTED_VALUE"""),3000)</f>
        <v>3000</v>
      </c>
      <c r="F19" s="23">
        <f ca="1">IFERROR(__xludf.DUMMYFUNCTION("""COMPUTED_VALUE"""),3000)</f>
        <v>3000</v>
      </c>
      <c r="G19" s="24">
        <f ca="1">IFERROR(__xludf.DUMMYFUNCTION("""COMPUTED_VALUE"""),3000)</f>
        <v>3000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65">
        <f t="shared" ref="C20:G20" ca="1" si="6">C18*C19</f>
        <v>15000</v>
      </c>
      <c r="D20" s="65">
        <f t="shared" ca="1" si="6"/>
        <v>15000</v>
      </c>
      <c r="E20" s="65">
        <f t="shared" ca="1" si="6"/>
        <v>15000</v>
      </c>
      <c r="F20" s="65">
        <f t="shared" ca="1" si="6"/>
        <v>15000</v>
      </c>
      <c r="G20" s="66">
        <f t="shared" ca="1" si="6"/>
        <v>15000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7">C18</f>
        <v>5</v>
      </c>
      <c r="D23" s="9">
        <f t="shared" ca="1" si="7"/>
        <v>5</v>
      </c>
      <c r="E23" s="9">
        <f t="shared" ca="1" si="7"/>
        <v>5</v>
      </c>
      <c r="F23" s="9">
        <f t="shared" ca="1" si="7"/>
        <v>5</v>
      </c>
      <c r="G23" s="10">
        <f t="shared" ca="1" si="7"/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23">
        <f t="shared" ref="C24:G24" ca="1" si="8">C19</f>
        <v>3000</v>
      </c>
      <c r="D24" s="23">
        <f t="shared" ca="1" si="8"/>
        <v>3000</v>
      </c>
      <c r="E24" s="23">
        <f t="shared" ca="1" si="8"/>
        <v>3000</v>
      </c>
      <c r="F24" s="23">
        <f t="shared" ca="1" si="8"/>
        <v>3000</v>
      </c>
      <c r="G24" s="24">
        <f t="shared" ca="1" si="8"/>
        <v>3000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65">
        <f t="shared" ref="C25:G25" ca="1" si="9">C20</f>
        <v>15000</v>
      </c>
      <c r="D25" s="65">
        <f t="shared" ca="1" si="9"/>
        <v>15000</v>
      </c>
      <c r="E25" s="65">
        <f t="shared" ca="1" si="9"/>
        <v>15000</v>
      </c>
      <c r="F25" s="65">
        <f t="shared" ca="1" si="9"/>
        <v>15000</v>
      </c>
      <c r="G25" s="66">
        <f t="shared" ca="1" si="9"/>
        <v>15000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67">
        <f t="shared" ref="C28:G28" ca="1" si="10">C23-C18</f>
        <v>0</v>
      </c>
      <c r="D28" s="67">
        <f t="shared" ca="1" si="10"/>
        <v>0</v>
      </c>
      <c r="E28" s="67">
        <f t="shared" ca="1" si="10"/>
        <v>0</v>
      </c>
      <c r="F28" s="67">
        <f t="shared" ca="1" si="10"/>
        <v>0</v>
      </c>
      <c r="G28" s="68">
        <f t="shared" ca="1" si="10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23">
        <f t="shared" ref="C29:G29" ca="1" si="11">C24-C19</f>
        <v>0</v>
      </c>
      <c r="D29" s="23">
        <f t="shared" ca="1" si="11"/>
        <v>0</v>
      </c>
      <c r="E29" s="23">
        <f t="shared" ca="1" si="11"/>
        <v>0</v>
      </c>
      <c r="F29" s="23">
        <f t="shared" ca="1" si="11"/>
        <v>0</v>
      </c>
      <c r="G29" s="24">
        <f t="shared" ca="1" si="11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65">
        <f t="shared" ref="C30:G30" ca="1" si="12">C25-C20</f>
        <v>0</v>
      </c>
      <c r="D30" s="65">
        <f t="shared" ca="1" si="12"/>
        <v>0</v>
      </c>
      <c r="E30" s="65">
        <f t="shared" ca="1" si="12"/>
        <v>0</v>
      </c>
      <c r="F30" s="65">
        <f t="shared" ca="1" si="12"/>
        <v>0</v>
      </c>
      <c r="G30" s="66">
        <f t="shared" ca="1" si="12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IFERROR(__xludf.DUMMYFUNCTION("importrange(""https://docs.google.com/spreadsheets/d/1654bCu3Mvstwav4UhrBmAMgfsagrk6Dgdtv7LhxTAD0/edit#gid=0"",""sales!B13:F13"")"),5)</f>
        <v>5</v>
      </c>
      <c r="D34" s="21">
        <f ca="1">IFERROR(__xludf.DUMMYFUNCTION("""COMPUTED_VALUE"""),5)</f>
        <v>5</v>
      </c>
      <c r="E34" s="21">
        <f ca="1">IFERROR(__xludf.DUMMYFUNCTION("""COMPUTED_VALUE"""),5)</f>
        <v>5</v>
      </c>
      <c r="F34" s="21">
        <f ca="1">IFERROR(__xludf.DUMMYFUNCTION("""COMPUTED_VALUE"""),5)</f>
        <v>5</v>
      </c>
      <c r="G34" s="21">
        <f ca="1">IFERROR(__xludf.DUMMYFUNCTION("""COMPUTED_VALUE"""),5)</f>
        <v>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69">
        <f ca="1">IFERROR(__xludf.DUMMYFUNCTION("importrange(""https://docs.google.com/spreadsheets/d/1654bCu3Mvstwav4UhrBmAMgfsagrk6Dgdtv7LhxTAD0/edit#gid=0"",""sales!B14:F14"")"),3000)</f>
        <v>3000</v>
      </c>
      <c r="D35" s="23">
        <f ca="1">IFERROR(__xludf.DUMMYFUNCTION("""COMPUTED_VALUE"""),3000)</f>
        <v>3000</v>
      </c>
      <c r="E35" s="23">
        <f ca="1">IFERROR(__xludf.DUMMYFUNCTION("""COMPUTED_VALUE"""),3000)</f>
        <v>3000</v>
      </c>
      <c r="F35" s="23">
        <f ca="1">IFERROR(__xludf.DUMMYFUNCTION("""COMPUTED_VALUE"""),3000)</f>
        <v>3000</v>
      </c>
      <c r="G35" s="24">
        <f ca="1">IFERROR(__xludf.DUMMYFUNCTION("""COMPUTED_VALUE"""),3000)</f>
        <v>3000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65">
        <f t="shared" ref="C36:G36" ca="1" si="13">C35*C34</f>
        <v>15000</v>
      </c>
      <c r="D36" s="65">
        <f t="shared" ca="1" si="13"/>
        <v>15000</v>
      </c>
      <c r="E36" s="65">
        <f t="shared" ca="1" si="13"/>
        <v>15000</v>
      </c>
      <c r="F36" s="65">
        <f t="shared" ca="1" si="13"/>
        <v>15000</v>
      </c>
      <c r="G36" s="66">
        <f t="shared" ca="1" si="13"/>
        <v>15000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4">C34</f>
        <v>5</v>
      </c>
      <c r="D38" s="21">
        <f t="shared" ca="1" si="14"/>
        <v>5</v>
      </c>
      <c r="E38" s="21">
        <f t="shared" ca="1" si="14"/>
        <v>5</v>
      </c>
      <c r="F38" s="21">
        <f t="shared" ca="1" si="14"/>
        <v>5</v>
      </c>
      <c r="G38" s="21">
        <f t="shared" ca="1" si="14"/>
        <v>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69">
        <f t="shared" ref="C39:G39" ca="1" si="15">C35</f>
        <v>3000</v>
      </c>
      <c r="D39" s="69">
        <f t="shared" ca="1" si="15"/>
        <v>3000</v>
      </c>
      <c r="E39" s="69">
        <f t="shared" ca="1" si="15"/>
        <v>3000</v>
      </c>
      <c r="F39" s="69">
        <f t="shared" ca="1" si="15"/>
        <v>3000</v>
      </c>
      <c r="G39" s="70">
        <f t="shared" ca="1" si="15"/>
        <v>3000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71">
        <f t="shared" ref="C40:G40" ca="1" si="16">C36</f>
        <v>15000</v>
      </c>
      <c r="D40" s="71">
        <f t="shared" ca="1" si="16"/>
        <v>15000</v>
      </c>
      <c r="E40" s="71">
        <f t="shared" ca="1" si="16"/>
        <v>15000</v>
      </c>
      <c r="F40" s="71">
        <f t="shared" ca="1" si="16"/>
        <v>15000</v>
      </c>
      <c r="G40" s="72">
        <f t="shared" ca="1" si="16"/>
        <v>15000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7">C38-C34</f>
        <v>0</v>
      </c>
      <c r="D43" s="21">
        <f t="shared" ca="1" si="17"/>
        <v>0</v>
      </c>
      <c r="E43" s="21">
        <f t="shared" ca="1" si="17"/>
        <v>0</v>
      </c>
      <c r="F43" s="21">
        <f t="shared" ca="1" si="17"/>
        <v>0</v>
      </c>
      <c r="G43" s="31">
        <f t="shared" ca="1" si="17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69">
        <f t="shared" ref="C44:G44" ca="1" si="18">C39-C35</f>
        <v>0</v>
      </c>
      <c r="D44" s="69">
        <f t="shared" ca="1" si="18"/>
        <v>0</v>
      </c>
      <c r="E44" s="69">
        <f t="shared" ca="1" si="18"/>
        <v>0</v>
      </c>
      <c r="F44" s="69">
        <f t="shared" ca="1" si="18"/>
        <v>0</v>
      </c>
      <c r="G44" s="70">
        <f t="shared" ca="1" si="18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71">
        <f t="shared" ref="C45:G45" ca="1" si="19">C40-C36</f>
        <v>0</v>
      </c>
      <c r="D45" s="71">
        <f t="shared" ca="1" si="19"/>
        <v>0</v>
      </c>
      <c r="E45" s="71">
        <f t="shared" ca="1" si="19"/>
        <v>0</v>
      </c>
      <c r="F45" s="71">
        <f t="shared" ca="1" si="19"/>
        <v>0</v>
      </c>
      <c r="G45" s="72">
        <f t="shared" ca="1" si="19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IFERROR(__xludf.DUMMYFUNCTION("importrange(""https://docs.google.com/spreadsheets/d/1654bCu3Mvstwav4UhrBmAMgfsagrk6Dgdtv7LhxTAD0/edit#gid=0"",""sales!B18:F18"")"),0)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69">
        <f ca="1">IFERROR(__xludf.DUMMYFUNCTION("importrange(""https://docs.google.com/spreadsheets/d/1654bCu3Mvstwav4UhrBmAMgfsagrk6Dgdtv7LhxTAD0/edit#gid=0"",""sales!B19:F19"")"),0)</f>
        <v>0</v>
      </c>
      <c r="D50" s="23">
        <f ca="1">IFERROR(__xludf.DUMMYFUNCTION("""COMPUTED_VALUE"""),0)</f>
        <v>0</v>
      </c>
      <c r="E50" s="23">
        <f ca="1">IFERROR(__xludf.DUMMYFUNCTION("""COMPUTED_VALUE"""),0)</f>
        <v>0</v>
      </c>
      <c r="F50" s="23">
        <f ca="1">IFERROR(__xludf.DUMMYFUNCTION("""COMPUTED_VALUE"""),0)</f>
        <v>0</v>
      </c>
      <c r="G50" s="24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65">
        <f t="shared" ref="C51:G51" ca="1" si="20">C50*C49</f>
        <v>0</v>
      </c>
      <c r="D51" s="65">
        <f t="shared" ca="1" si="20"/>
        <v>0</v>
      </c>
      <c r="E51" s="65">
        <f t="shared" ca="1" si="20"/>
        <v>0</v>
      </c>
      <c r="F51" s="65">
        <f t="shared" ca="1" si="20"/>
        <v>0</v>
      </c>
      <c r="G51" s="66">
        <f t="shared" ca="1" si="20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1">C49</f>
        <v>0</v>
      </c>
      <c r="D54" s="9">
        <f t="shared" ca="1" si="21"/>
        <v>0</v>
      </c>
      <c r="E54" s="9">
        <f t="shared" ca="1" si="21"/>
        <v>0</v>
      </c>
      <c r="F54" s="9">
        <f t="shared" ca="1" si="21"/>
        <v>0</v>
      </c>
      <c r="G54" s="10">
        <f t="shared" ca="1" si="21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23">
        <f t="shared" ref="C55:G55" ca="1" si="22">C50</f>
        <v>0</v>
      </c>
      <c r="D55" s="23">
        <f t="shared" ca="1" si="22"/>
        <v>0</v>
      </c>
      <c r="E55" s="23">
        <f t="shared" ca="1" si="22"/>
        <v>0</v>
      </c>
      <c r="F55" s="23">
        <f t="shared" ca="1" si="22"/>
        <v>0</v>
      </c>
      <c r="G55" s="24">
        <f t="shared" ca="1" si="22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65">
        <f t="shared" ref="C56:G56" ca="1" si="23">C51</f>
        <v>0</v>
      </c>
      <c r="D56" s="65">
        <f t="shared" ca="1" si="23"/>
        <v>0</v>
      </c>
      <c r="E56" s="65">
        <f t="shared" ca="1" si="23"/>
        <v>0</v>
      </c>
      <c r="F56" s="65">
        <f t="shared" ca="1" si="23"/>
        <v>0</v>
      </c>
      <c r="G56" s="66">
        <f t="shared" ca="1" si="23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4">C54-C49</f>
        <v>0</v>
      </c>
      <c r="D59" s="21">
        <f t="shared" ca="1" si="24"/>
        <v>0</v>
      </c>
      <c r="E59" s="21">
        <f t="shared" ca="1" si="24"/>
        <v>0</v>
      </c>
      <c r="F59" s="21">
        <f t="shared" ca="1" si="24"/>
        <v>0</v>
      </c>
      <c r="G59" s="31">
        <f t="shared" ca="1" si="24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69">
        <f t="shared" ref="C60:G60" ca="1" si="25">C55-C50</f>
        <v>0</v>
      </c>
      <c r="D60" s="69">
        <f t="shared" ca="1" si="25"/>
        <v>0</v>
      </c>
      <c r="E60" s="69">
        <f t="shared" ca="1" si="25"/>
        <v>0</v>
      </c>
      <c r="F60" s="69">
        <f t="shared" ca="1" si="25"/>
        <v>0</v>
      </c>
      <c r="G60" s="70">
        <f t="shared" ca="1" si="25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71">
        <f t="shared" ref="C61:G61" ca="1" si="26">C56-C51</f>
        <v>0</v>
      </c>
      <c r="D61" s="71">
        <f t="shared" ca="1" si="26"/>
        <v>0</v>
      </c>
      <c r="E61" s="71">
        <f t="shared" ca="1" si="26"/>
        <v>0</v>
      </c>
      <c r="F61" s="71">
        <f t="shared" ca="1" si="26"/>
        <v>0</v>
      </c>
      <c r="G61" s="72">
        <f t="shared" ca="1" si="26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7">C54+C38+C23+C7</f>
        <v>142</v>
      </c>
      <c r="D65" s="41">
        <f t="shared" ca="1" si="27"/>
        <v>142</v>
      </c>
      <c r="E65" s="41">
        <f t="shared" ca="1" si="27"/>
        <v>162</v>
      </c>
      <c r="F65" s="41">
        <f t="shared" ca="1" si="27"/>
        <v>184</v>
      </c>
      <c r="G65" s="41">
        <f t="shared" ca="1" si="27"/>
        <v>242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73">
        <f t="shared" ref="C66:G66" ca="1" si="28">C67/C65</f>
        <v>1647.4647887323943</v>
      </c>
      <c r="D66" s="73">
        <f t="shared" ca="1" si="28"/>
        <v>1647.4647887323943</v>
      </c>
      <c r="E66" s="73">
        <f t="shared" ca="1" si="28"/>
        <v>1638.5679012345679</v>
      </c>
      <c r="F66" s="73">
        <f t="shared" ca="1" si="28"/>
        <v>1636.3695652173913</v>
      </c>
      <c r="G66" s="73">
        <f t="shared" ca="1" si="28"/>
        <v>1617.5867768595042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74">
        <f t="shared" ref="C67:G67" ca="1" si="29">C56+C40+C20+C9</f>
        <v>233940</v>
      </c>
      <c r="D67" s="74">
        <f t="shared" ca="1" si="29"/>
        <v>233940</v>
      </c>
      <c r="E67" s="74">
        <f t="shared" ca="1" si="29"/>
        <v>265448</v>
      </c>
      <c r="F67" s="74">
        <f t="shared" ca="1" si="29"/>
        <v>301092</v>
      </c>
      <c r="G67" s="74">
        <f t="shared" ca="1" si="29"/>
        <v>391456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2" t="s">
        <v>25</v>
      </c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 t="s">
        <v>26</v>
      </c>
      <c r="G71" s="75">
        <f ca="1">D67+E67+F67+G67</f>
        <v>1191936</v>
      </c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 t="s">
        <v>27</v>
      </c>
      <c r="G72" s="76">
        <f ca="1">G71*1.18</f>
        <v>1406484.48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20"/>
  <sheetViews>
    <sheetView workbookViewId="0">
      <selection activeCell="D2" sqref="D2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IFERROR(__xludf.DUMMYFUNCTION("importrange(""https://docs.google.com/spreadsheets/d/1p_fvGUilfL9wWhswo2m-HhQBV57FJlT_nI9psAzHOyQ/edit#gid=0"",""sales!B3:F3"")"),20)</f>
        <v>20</v>
      </c>
      <c r="D3" s="9">
        <f ca="1">IFERROR(__xludf.DUMMYFUNCTION("""COMPUTED_VALUE"""),30)</f>
        <v>30</v>
      </c>
      <c r="E3" s="9">
        <f ca="1">IFERROR(__xludf.DUMMYFUNCTION("""COMPUTED_VALUE"""),40)</f>
        <v>40</v>
      </c>
      <c r="F3" s="9">
        <f ca="1">IFERROR(__xludf.DUMMYFUNCTION("""COMPUTED_VALUE"""),40)</f>
        <v>40</v>
      </c>
      <c r="G3" s="10">
        <f ca="1">IFERROR(__xludf.DUMMYFUNCTION("""COMPUTED_VALUE"""),40)</f>
        <v>40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13">
        <f ca="1">IFERROR(__xludf.DUMMYFUNCTION("importrange(""https://docs.google.com/spreadsheets/d/1p_fvGUilfL9wWhswo2m-HhQBV57FJlT_nI9psAzHOyQ/edit#gid=0"",""sales!B4:F4"")"),1838)</f>
        <v>1838</v>
      </c>
      <c r="D4" s="13">
        <f ca="1">IFERROR(__xludf.DUMMYFUNCTION("""COMPUTED_VALUE"""),1838)</f>
        <v>1838</v>
      </c>
      <c r="E4" s="13">
        <f ca="1">IFERROR(__xludf.DUMMYFUNCTION("""COMPUTED_VALUE"""),1838)</f>
        <v>1838</v>
      </c>
      <c r="F4" s="13">
        <f ca="1">IFERROR(__xludf.DUMMYFUNCTION("""COMPUTED_VALUE"""),1838)</f>
        <v>1838</v>
      </c>
      <c r="G4" s="14">
        <f ca="1">IFERROR(__xludf.DUMMYFUNCTION("""COMPUTED_VALUE"""),1838)</f>
        <v>1838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16">
        <f t="shared" ref="C5:G5" ca="1" si="0">C3*C4</f>
        <v>36760</v>
      </c>
      <c r="D5" s="16">
        <f t="shared" ca="1" si="0"/>
        <v>55140</v>
      </c>
      <c r="E5" s="16">
        <f t="shared" ca="1" si="0"/>
        <v>73520</v>
      </c>
      <c r="F5" s="16">
        <f t="shared" ca="1" si="0"/>
        <v>73520</v>
      </c>
      <c r="G5" s="17">
        <f t="shared" ca="1" si="0"/>
        <v>73520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20</v>
      </c>
      <c r="D7" s="9">
        <f t="shared" ca="1" si="1"/>
        <v>30</v>
      </c>
      <c r="E7" s="9">
        <f t="shared" ca="1" si="1"/>
        <v>40</v>
      </c>
      <c r="F7" s="9">
        <f t="shared" ca="1" si="1"/>
        <v>40</v>
      </c>
      <c r="G7" s="10">
        <f t="shared" ca="1" si="1"/>
        <v>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13">
        <f t="shared" ref="C8:G8" ca="1" si="2">C4</f>
        <v>1838</v>
      </c>
      <c r="D8" s="13">
        <f t="shared" ca="1" si="2"/>
        <v>1838</v>
      </c>
      <c r="E8" s="13">
        <f t="shared" ca="1" si="2"/>
        <v>1838</v>
      </c>
      <c r="F8" s="13">
        <f t="shared" ca="1" si="2"/>
        <v>1838</v>
      </c>
      <c r="G8" s="14">
        <f t="shared" ca="1" si="2"/>
        <v>1838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16">
        <f t="shared" ref="C9:G9" ca="1" si="3">C5</f>
        <v>36760</v>
      </c>
      <c r="D9" s="16">
        <f t="shared" ca="1" si="3"/>
        <v>55140</v>
      </c>
      <c r="E9" s="16">
        <f t="shared" ca="1" si="3"/>
        <v>73520</v>
      </c>
      <c r="F9" s="16">
        <f t="shared" ca="1" si="3"/>
        <v>73520</v>
      </c>
      <c r="G9" s="17">
        <f t="shared" ca="1" si="3"/>
        <v>73520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13">
        <f t="shared" ref="C13:G13" ca="1" si="5">C8-C4</f>
        <v>0</v>
      </c>
      <c r="D13" s="13">
        <f t="shared" ca="1" si="5"/>
        <v>0</v>
      </c>
      <c r="E13" s="13">
        <f t="shared" ca="1" si="5"/>
        <v>0</v>
      </c>
      <c r="F13" s="13">
        <f t="shared" ca="1" si="5"/>
        <v>0</v>
      </c>
      <c r="G13" s="14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16">
        <f t="shared" ref="C14:G14" ca="1" si="6">C9-C5</f>
        <v>0</v>
      </c>
      <c r="D14" s="16">
        <f t="shared" ca="1" si="6"/>
        <v>0</v>
      </c>
      <c r="E14" s="16">
        <f t="shared" ca="1" si="6"/>
        <v>0</v>
      </c>
      <c r="F14" s="16">
        <f t="shared" ca="1" si="6"/>
        <v>0</v>
      </c>
      <c r="G14" s="17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IFERROR(__xludf.DUMMYFUNCTION("importrange(""https://docs.google.com/spreadsheets/d/1p_fvGUilfL9wWhswo2m-HhQBV57FJlT_nI9psAzHOyQ/edit#gid=0"",""sales!B8:F8"")"),35)</f>
        <v>35</v>
      </c>
      <c r="D18" s="9">
        <f ca="1">IFERROR(__xludf.DUMMYFUNCTION("""COMPUTED_VALUE"""),40)</f>
        <v>40</v>
      </c>
      <c r="E18" s="9">
        <f ca="1">IFERROR(__xludf.DUMMYFUNCTION("""COMPUTED_VALUE"""),50)</f>
        <v>50</v>
      </c>
      <c r="F18" s="9">
        <f ca="1">IFERROR(__xludf.DUMMYFUNCTION("""COMPUTED_VALUE"""),55)</f>
        <v>55</v>
      </c>
      <c r="G18" s="10">
        <f ca="1">IFERROR(__xludf.DUMMYFUNCTION("""COMPUTED_VALUE"""),60)</f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13">
        <f ca="1">IFERROR(__xludf.DUMMYFUNCTION("importrange(""https://docs.google.com/spreadsheets/d/1p_fvGUilfL9wWhswo2m-HhQBV57FJlT_nI9psAzHOyQ/edit#gid=0"",""sales!B9:F9"")"),2319)</f>
        <v>2319</v>
      </c>
      <c r="D19" s="13">
        <f ca="1">IFERROR(__xludf.DUMMYFUNCTION("""COMPUTED_VALUE"""),2319)</f>
        <v>2319</v>
      </c>
      <c r="E19" s="13">
        <f ca="1">IFERROR(__xludf.DUMMYFUNCTION("""COMPUTED_VALUE"""),2319)</f>
        <v>2319</v>
      </c>
      <c r="F19" s="13">
        <f ca="1">IFERROR(__xludf.DUMMYFUNCTION("""COMPUTED_VALUE"""),2319)</f>
        <v>2319</v>
      </c>
      <c r="G19" s="14">
        <f ca="1">IFERROR(__xludf.DUMMYFUNCTION("""COMPUTED_VALUE"""),2319)</f>
        <v>2319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16">
        <f t="shared" ref="C20:G20" ca="1" si="7">C18*C19</f>
        <v>81165</v>
      </c>
      <c r="D20" s="16">
        <f t="shared" ca="1" si="7"/>
        <v>92760</v>
      </c>
      <c r="E20" s="16">
        <f t="shared" ca="1" si="7"/>
        <v>115950</v>
      </c>
      <c r="F20" s="16">
        <f t="shared" ca="1" si="7"/>
        <v>127545</v>
      </c>
      <c r="G20" s="17">
        <f t="shared" ca="1" si="7"/>
        <v>139140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35</v>
      </c>
      <c r="D23" s="9">
        <f t="shared" ca="1" si="8"/>
        <v>40</v>
      </c>
      <c r="E23" s="9">
        <f t="shared" ca="1" si="8"/>
        <v>50</v>
      </c>
      <c r="F23" s="9">
        <f t="shared" ca="1" si="8"/>
        <v>55</v>
      </c>
      <c r="G23" s="10">
        <f t="shared" ca="1" si="8"/>
        <v>60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13">
        <f t="shared" ref="C24:G24" ca="1" si="9">C19</f>
        <v>2319</v>
      </c>
      <c r="D24" s="13">
        <f t="shared" ca="1" si="9"/>
        <v>2319</v>
      </c>
      <c r="E24" s="13">
        <f t="shared" ca="1" si="9"/>
        <v>2319</v>
      </c>
      <c r="F24" s="13">
        <f t="shared" ca="1" si="9"/>
        <v>2319</v>
      </c>
      <c r="G24" s="14">
        <f t="shared" ca="1" si="9"/>
        <v>2319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16">
        <f t="shared" ref="C25:G25" ca="1" si="10">C20</f>
        <v>81165</v>
      </c>
      <c r="D25" s="16">
        <f t="shared" ca="1" si="10"/>
        <v>92760</v>
      </c>
      <c r="E25" s="16">
        <f t="shared" ca="1" si="10"/>
        <v>115950</v>
      </c>
      <c r="F25" s="16">
        <f t="shared" ca="1" si="10"/>
        <v>127545</v>
      </c>
      <c r="G25" s="17">
        <f t="shared" ca="1" si="10"/>
        <v>139140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13">
        <f t="shared" ref="C29:G29" ca="1" si="12">C24-C19</f>
        <v>0</v>
      </c>
      <c r="D29" s="13">
        <f t="shared" ca="1" si="12"/>
        <v>0</v>
      </c>
      <c r="E29" s="13">
        <f t="shared" ca="1" si="12"/>
        <v>0</v>
      </c>
      <c r="F29" s="13">
        <f t="shared" ca="1" si="12"/>
        <v>0</v>
      </c>
      <c r="G29" s="14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16">
        <f t="shared" ref="C30:G30" ca="1" si="13">C25-C20</f>
        <v>0</v>
      </c>
      <c r="D30" s="16">
        <f t="shared" ca="1" si="13"/>
        <v>0</v>
      </c>
      <c r="E30" s="16">
        <f t="shared" ca="1" si="13"/>
        <v>0</v>
      </c>
      <c r="F30" s="16">
        <f t="shared" ca="1" si="13"/>
        <v>0</v>
      </c>
      <c r="G30" s="17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IFERROR(__xludf.DUMMYFUNCTION("importrange(""https://docs.google.com/spreadsheets/d/1p_fvGUilfL9wWhswo2m-HhQBV57FJlT_nI9psAzHOyQ/edit#gid=0"",""sales!B13:F13"")"),15)</f>
        <v>15</v>
      </c>
      <c r="D34" s="21">
        <f ca="1">IFERROR(__xludf.DUMMYFUNCTION("""COMPUTED_VALUE"""),25)</f>
        <v>25</v>
      </c>
      <c r="E34" s="21">
        <f ca="1">IFERROR(__xludf.DUMMYFUNCTION("""COMPUTED_VALUE"""),30)</f>
        <v>30</v>
      </c>
      <c r="F34" s="21">
        <f ca="1">IFERROR(__xludf.DUMMYFUNCTION("""COMPUTED_VALUE"""),35)</f>
        <v>35</v>
      </c>
      <c r="G34" s="21">
        <f ca="1">IFERROR(__xludf.DUMMYFUNCTION("""COMPUTED_VALUE"""),35)</f>
        <v>35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28">
        <f ca="1">IFERROR(__xludf.DUMMYFUNCTION("importrange(""https://docs.google.com/spreadsheets/d/1p_fvGUilfL9wWhswo2m-HhQBV57FJlT_nI9psAzHOyQ/edit#gid=0"",""sales!B14:F14"")"),2500)</f>
        <v>2500</v>
      </c>
      <c r="D35" s="13">
        <f ca="1">IFERROR(__xludf.DUMMYFUNCTION("""COMPUTED_VALUE"""),2313)</f>
        <v>2313</v>
      </c>
      <c r="E35" s="13">
        <f ca="1">IFERROR(__xludf.DUMMYFUNCTION("""COMPUTED_VALUE"""),2313)</f>
        <v>2313</v>
      </c>
      <c r="F35" s="13">
        <f ca="1">IFERROR(__xludf.DUMMYFUNCTION("""COMPUTED_VALUE"""),2313)</f>
        <v>2313</v>
      </c>
      <c r="G35" s="14">
        <f ca="1">IFERROR(__xludf.DUMMYFUNCTION("""COMPUTED_VALUE"""),2250)</f>
        <v>2250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16">
        <f t="shared" ref="C36:G36" ca="1" si="14">C35*C34</f>
        <v>37500</v>
      </c>
      <c r="D36" s="16">
        <f t="shared" ca="1" si="14"/>
        <v>57825</v>
      </c>
      <c r="E36" s="16">
        <f t="shared" ca="1" si="14"/>
        <v>69390</v>
      </c>
      <c r="F36" s="16">
        <f t="shared" ca="1" si="14"/>
        <v>80955</v>
      </c>
      <c r="G36" s="17">
        <f t="shared" ca="1" si="14"/>
        <v>78750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15</v>
      </c>
      <c r="D38" s="21">
        <f t="shared" ca="1" si="15"/>
        <v>25</v>
      </c>
      <c r="E38" s="21">
        <f t="shared" ca="1" si="15"/>
        <v>30</v>
      </c>
      <c r="F38" s="21">
        <f t="shared" ca="1" si="15"/>
        <v>35</v>
      </c>
      <c r="G38" s="31">
        <f t="shared" ca="1" si="15"/>
        <v>35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28">
        <f t="shared" ref="C39:G39" ca="1" si="16">C35</f>
        <v>2500</v>
      </c>
      <c r="D39" s="28">
        <f t="shared" ca="1" si="16"/>
        <v>2313</v>
      </c>
      <c r="E39" s="28">
        <f t="shared" ca="1" si="16"/>
        <v>2313</v>
      </c>
      <c r="F39" s="28">
        <f t="shared" ca="1" si="16"/>
        <v>2313</v>
      </c>
      <c r="G39" s="32">
        <f t="shared" ca="1" si="16"/>
        <v>2250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33">
        <f t="shared" ref="C40:G40" ca="1" si="17">C36</f>
        <v>37500</v>
      </c>
      <c r="D40" s="33">
        <f t="shared" ca="1" si="17"/>
        <v>57825</v>
      </c>
      <c r="E40" s="33">
        <f t="shared" ca="1" si="17"/>
        <v>69390</v>
      </c>
      <c r="F40" s="33">
        <f t="shared" ca="1" si="17"/>
        <v>80955</v>
      </c>
      <c r="G40" s="34">
        <f t="shared" ca="1" si="17"/>
        <v>78750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28">
        <f t="shared" ref="C44:G44" ca="1" si="19">C39-C35</f>
        <v>0</v>
      </c>
      <c r="D44" s="28">
        <f t="shared" ca="1" si="19"/>
        <v>0</v>
      </c>
      <c r="E44" s="28">
        <f t="shared" ca="1" si="19"/>
        <v>0</v>
      </c>
      <c r="F44" s="28">
        <f t="shared" ca="1" si="19"/>
        <v>0</v>
      </c>
      <c r="G44" s="32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33">
        <f t="shared" ref="C45:G45" ca="1" si="20">C40-C36</f>
        <v>0</v>
      </c>
      <c r="D45" s="33">
        <f t="shared" ca="1" si="20"/>
        <v>0</v>
      </c>
      <c r="E45" s="33">
        <f t="shared" ca="1" si="20"/>
        <v>0</v>
      </c>
      <c r="F45" s="33">
        <f t="shared" ca="1" si="20"/>
        <v>0</v>
      </c>
      <c r="G45" s="34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IFERROR(__xludf.DUMMYFUNCTION("importrange(""https://docs.google.com/spreadsheets/d/1p_fvGUilfL9wWhswo2m-HhQBV57FJlT_nI9psAzHOyQ/edit#gid=0"",""sales!B18:F18"")"),0)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28">
        <f ca="1">IFERROR(__xludf.DUMMYFUNCTION("importrange(""https://docs.google.com/spreadsheets/d/1p_fvGUilfL9wWhswo2m-HhQBV57FJlT_nI9psAzHOyQ/edit#gid=0"",""sales!B19:F19"")"),0)</f>
        <v>0</v>
      </c>
      <c r="D50" s="13">
        <f ca="1">IFERROR(__xludf.DUMMYFUNCTION("""COMPUTED_VALUE"""),0)</f>
        <v>0</v>
      </c>
      <c r="E50" s="13">
        <f ca="1">IFERROR(__xludf.DUMMYFUNCTION("""COMPUTED_VALUE"""),0)</f>
        <v>0</v>
      </c>
      <c r="F50" s="13">
        <f ca="1">IFERROR(__xludf.DUMMYFUNCTION("""COMPUTED_VALUE"""),0)</f>
        <v>0</v>
      </c>
      <c r="G50" s="14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16">
        <f t="shared" ref="C51:G51" ca="1" si="21">C50*C49</f>
        <v>0</v>
      </c>
      <c r="D51" s="16">
        <f t="shared" ca="1" si="21"/>
        <v>0</v>
      </c>
      <c r="E51" s="16">
        <f t="shared" ca="1" si="21"/>
        <v>0</v>
      </c>
      <c r="F51" s="16">
        <f t="shared" ca="1" si="21"/>
        <v>0</v>
      </c>
      <c r="G51" s="17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0</v>
      </c>
      <c r="E54" s="9">
        <f t="shared" ca="1" si="22"/>
        <v>0</v>
      </c>
      <c r="F54" s="9">
        <f t="shared" ca="1" si="22"/>
        <v>0</v>
      </c>
      <c r="G54" s="10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13">
        <f t="shared" ref="C55:G55" ca="1" si="23">C50</f>
        <v>0</v>
      </c>
      <c r="D55" s="13">
        <f t="shared" ca="1" si="23"/>
        <v>0</v>
      </c>
      <c r="E55" s="13">
        <f t="shared" ca="1" si="23"/>
        <v>0</v>
      </c>
      <c r="F55" s="13">
        <f t="shared" ca="1" si="23"/>
        <v>0</v>
      </c>
      <c r="G55" s="14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16">
        <f t="shared" ref="C56:G56" ca="1" si="24">C51</f>
        <v>0</v>
      </c>
      <c r="D56" s="16">
        <f t="shared" ca="1" si="24"/>
        <v>0</v>
      </c>
      <c r="E56" s="16">
        <f t="shared" ca="1" si="24"/>
        <v>0</v>
      </c>
      <c r="F56" s="16">
        <f t="shared" ca="1" si="24"/>
        <v>0</v>
      </c>
      <c r="G56" s="17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28">
        <f t="shared" ref="C60:G60" ca="1" si="26">C55-C50</f>
        <v>0</v>
      </c>
      <c r="D60" s="28">
        <f t="shared" ca="1" si="26"/>
        <v>0</v>
      </c>
      <c r="E60" s="28">
        <f t="shared" ca="1" si="26"/>
        <v>0</v>
      </c>
      <c r="F60" s="28">
        <f t="shared" ca="1" si="26"/>
        <v>0</v>
      </c>
      <c r="G60" s="32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33">
        <f t="shared" ref="C61:G61" ca="1" si="27">C56-C51</f>
        <v>0</v>
      </c>
      <c r="D61" s="33">
        <f t="shared" ca="1" si="27"/>
        <v>0</v>
      </c>
      <c r="E61" s="33">
        <f t="shared" ca="1" si="27"/>
        <v>0</v>
      </c>
      <c r="F61" s="33">
        <f t="shared" ca="1" si="27"/>
        <v>0</v>
      </c>
      <c r="G61" s="34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8">C54+C38+C23+C7</f>
        <v>70</v>
      </c>
      <c r="D65" s="41">
        <f t="shared" ca="1" si="28"/>
        <v>95</v>
      </c>
      <c r="E65" s="41">
        <f t="shared" ca="1" si="28"/>
        <v>120</v>
      </c>
      <c r="F65" s="41">
        <f t="shared" ca="1" si="28"/>
        <v>130</v>
      </c>
      <c r="G65" s="41">
        <f t="shared" ca="1" si="28"/>
        <v>135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43">
        <f t="shared" ref="C66:G66" ca="1" si="29">C67/C65</f>
        <v>2220.3571428571427</v>
      </c>
      <c r="D66" s="43">
        <f t="shared" ca="1" si="29"/>
        <v>2165.5263157894738</v>
      </c>
      <c r="E66" s="43">
        <f t="shared" ca="1" si="29"/>
        <v>2157.1666666666665</v>
      </c>
      <c r="F66" s="43">
        <f t="shared" ca="1" si="29"/>
        <v>2169.3846153846152</v>
      </c>
      <c r="G66" s="43">
        <f t="shared" ca="1" si="29"/>
        <v>2158.5925925925926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44">
        <f t="shared" ref="C67:G67" ca="1" si="30">C56+C40+C20+C9</f>
        <v>155425</v>
      </c>
      <c r="D67" s="44">
        <f t="shared" ca="1" si="30"/>
        <v>205725</v>
      </c>
      <c r="E67" s="44">
        <f t="shared" ca="1" si="30"/>
        <v>258860</v>
      </c>
      <c r="F67" s="44">
        <f t="shared" ca="1" si="30"/>
        <v>282020</v>
      </c>
      <c r="G67" s="44">
        <f t="shared" ca="1" si="30"/>
        <v>291410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>
        <v>2024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77">
        <f ca="1">D67+E67+F67+G67</f>
        <v>1038015</v>
      </c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020"/>
  <sheetViews>
    <sheetView workbookViewId="0">
      <selection activeCell="H34" sqref="H34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IFERROR(__xludf.DUMMYFUNCTION("importrange(""https://docs.google.com/spreadsheets/d/1ExEvkoVNzC7HaYZVUhaWjE_vOrhXpFHk0xXInwj_RU8/edit#gid=0"",""sales!B3:F3"")"),54)</f>
        <v>54</v>
      </c>
      <c r="D3" s="9">
        <f ca="1">IFERROR(__xludf.DUMMYFUNCTION("""COMPUTED_VALUE"""),86)</f>
        <v>86</v>
      </c>
      <c r="E3" s="9">
        <f ca="1">IFERROR(__xludf.DUMMYFUNCTION("""COMPUTED_VALUE"""),107)</f>
        <v>107</v>
      </c>
      <c r="F3" s="9">
        <f ca="1">IFERROR(__xludf.DUMMYFUNCTION("""COMPUTED_VALUE"""),125)</f>
        <v>125</v>
      </c>
      <c r="G3" s="10">
        <f ca="1">IFERROR(__xludf.DUMMYFUNCTION("""COMPUTED_VALUE"""),134)</f>
        <v>134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13">
        <f ca="1">IFERROR(__xludf.DUMMYFUNCTION("importrange(""https://docs.google.com/spreadsheets/d/1ExEvkoVNzC7HaYZVUhaWjE_vOrhXpFHk0xXInwj_RU8/edit#gid=0"",""sales!B4:F4"")"),1900)</f>
        <v>1900</v>
      </c>
      <c r="D4" s="13">
        <f ca="1">IFERROR(__xludf.DUMMYFUNCTION("""COMPUTED_VALUE"""),1900)</f>
        <v>1900</v>
      </c>
      <c r="E4" s="13">
        <f ca="1">IFERROR(__xludf.DUMMYFUNCTION("""COMPUTED_VALUE"""),1900)</f>
        <v>1900</v>
      </c>
      <c r="F4" s="13">
        <f ca="1">IFERROR(__xludf.DUMMYFUNCTION("""COMPUTED_VALUE"""),1900)</f>
        <v>1900</v>
      </c>
      <c r="G4" s="14">
        <f ca="1">IFERROR(__xludf.DUMMYFUNCTION("""COMPUTED_VALUE"""),1900)</f>
        <v>1900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16">
        <f t="shared" ref="C5:G5" ca="1" si="0">C3*C4</f>
        <v>102600</v>
      </c>
      <c r="D5" s="16">
        <f t="shared" ca="1" si="0"/>
        <v>163400</v>
      </c>
      <c r="E5" s="16">
        <f t="shared" ca="1" si="0"/>
        <v>203300</v>
      </c>
      <c r="F5" s="16">
        <f t="shared" ca="1" si="0"/>
        <v>237500</v>
      </c>
      <c r="G5" s="17">
        <f t="shared" ca="1" si="0"/>
        <v>254600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54</v>
      </c>
      <c r="D7" s="9">
        <f t="shared" ca="1" si="1"/>
        <v>86</v>
      </c>
      <c r="E7" s="9">
        <f t="shared" ca="1" si="1"/>
        <v>107</v>
      </c>
      <c r="F7" s="9">
        <f t="shared" ca="1" si="1"/>
        <v>125</v>
      </c>
      <c r="G7" s="10">
        <f t="shared" ca="1" si="1"/>
        <v>134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13">
        <f t="shared" ref="C8:G8" ca="1" si="2">C4</f>
        <v>1900</v>
      </c>
      <c r="D8" s="13">
        <f t="shared" ca="1" si="2"/>
        <v>1900</v>
      </c>
      <c r="E8" s="13">
        <f t="shared" ca="1" si="2"/>
        <v>1900</v>
      </c>
      <c r="F8" s="13">
        <f t="shared" ca="1" si="2"/>
        <v>1900</v>
      </c>
      <c r="G8" s="14">
        <f t="shared" ca="1" si="2"/>
        <v>1900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16">
        <f t="shared" ref="C9:G9" ca="1" si="3">C5</f>
        <v>102600</v>
      </c>
      <c r="D9" s="16">
        <f t="shared" ca="1" si="3"/>
        <v>163400</v>
      </c>
      <c r="E9" s="16">
        <f t="shared" ca="1" si="3"/>
        <v>203300</v>
      </c>
      <c r="F9" s="16">
        <f t="shared" ca="1" si="3"/>
        <v>237500</v>
      </c>
      <c r="G9" s="17">
        <f t="shared" ca="1" si="3"/>
        <v>254600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13">
        <f t="shared" ref="C13:G13" ca="1" si="5">C8-C4</f>
        <v>0</v>
      </c>
      <c r="D13" s="13">
        <f t="shared" ca="1" si="5"/>
        <v>0</v>
      </c>
      <c r="E13" s="13">
        <f t="shared" ca="1" si="5"/>
        <v>0</v>
      </c>
      <c r="F13" s="13">
        <f t="shared" ca="1" si="5"/>
        <v>0</v>
      </c>
      <c r="G13" s="14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16">
        <f t="shared" ref="C14:G14" ca="1" si="6">C9-C5</f>
        <v>0</v>
      </c>
      <c r="D14" s="16">
        <f t="shared" ca="1" si="6"/>
        <v>0</v>
      </c>
      <c r="E14" s="16">
        <f t="shared" ca="1" si="6"/>
        <v>0</v>
      </c>
      <c r="F14" s="16">
        <f t="shared" ca="1" si="6"/>
        <v>0</v>
      </c>
      <c r="G14" s="17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IFERROR(__xludf.DUMMYFUNCTION("importrange(""https://docs.google.com/spreadsheets/d/1ExEvkoVNzC7HaYZVUhaWjE_vOrhXpFHk0xXInwj_RU8/edit#gid=0"",""sales!B8:F8"")"),5)</f>
        <v>5</v>
      </c>
      <c r="D18" s="9">
        <f ca="1">IFERROR(__xludf.DUMMYFUNCTION("""COMPUTED_VALUE"""),15)</f>
        <v>15</v>
      </c>
      <c r="E18" s="9">
        <f ca="1">IFERROR(__xludf.DUMMYFUNCTION("""COMPUTED_VALUE"""),18)</f>
        <v>18</v>
      </c>
      <c r="F18" s="9">
        <f ca="1">IFERROR(__xludf.DUMMYFUNCTION("""COMPUTED_VALUE"""),22)</f>
        <v>22</v>
      </c>
      <c r="G18" s="10">
        <f ca="1">IFERROR(__xludf.DUMMYFUNCTION("""COMPUTED_VALUE"""),23)</f>
        <v>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13">
        <f ca="1">IFERROR(__xludf.DUMMYFUNCTION("importrange(""https://docs.google.com/spreadsheets/d/1ExEvkoVNzC7HaYZVUhaWjE_vOrhXpFHk0xXInwj_RU8/edit#gid=0"",""sales!B9:F9"")"),2900)</f>
        <v>2900</v>
      </c>
      <c r="D19" s="13">
        <f ca="1">IFERROR(__xludf.DUMMYFUNCTION("""COMPUTED_VALUE"""),2900)</f>
        <v>2900</v>
      </c>
      <c r="E19" s="13">
        <f ca="1">IFERROR(__xludf.DUMMYFUNCTION("""COMPUTED_VALUE"""),2900)</f>
        <v>2900</v>
      </c>
      <c r="F19" s="13">
        <f ca="1">IFERROR(__xludf.DUMMYFUNCTION("""COMPUTED_VALUE"""),2900)</f>
        <v>2900</v>
      </c>
      <c r="G19" s="14">
        <f ca="1">IFERROR(__xludf.DUMMYFUNCTION("""COMPUTED_VALUE"""),2900)</f>
        <v>2900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16">
        <f t="shared" ref="C20:G20" ca="1" si="7">C18*C19</f>
        <v>14500</v>
      </c>
      <c r="D20" s="16">
        <f t="shared" ca="1" si="7"/>
        <v>43500</v>
      </c>
      <c r="E20" s="16">
        <f t="shared" ca="1" si="7"/>
        <v>52200</v>
      </c>
      <c r="F20" s="16">
        <f t="shared" ca="1" si="7"/>
        <v>63800</v>
      </c>
      <c r="G20" s="17">
        <f t="shared" ca="1" si="7"/>
        <v>66700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5</v>
      </c>
      <c r="D23" s="9">
        <f t="shared" ca="1" si="8"/>
        <v>15</v>
      </c>
      <c r="E23" s="9">
        <f t="shared" ca="1" si="8"/>
        <v>18</v>
      </c>
      <c r="F23" s="9">
        <f t="shared" ca="1" si="8"/>
        <v>22</v>
      </c>
      <c r="G23" s="10">
        <f t="shared" ca="1" si="8"/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13">
        <f t="shared" ref="C24:G24" ca="1" si="9">C19</f>
        <v>2900</v>
      </c>
      <c r="D24" s="13">
        <f t="shared" ca="1" si="9"/>
        <v>2900</v>
      </c>
      <c r="E24" s="13">
        <f t="shared" ca="1" si="9"/>
        <v>2900</v>
      </c>
      <c r="F24" s="13">
        <f t="shared" ca="1" si="9"/>
        <v>2900</v>
      </c>
      <c r="G24" s="14">
        <f t="shared" ca="1" si="9"/>
        <v>2900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16">
        <f t="shared" ref="C25:G25" ca="1" si="10">C20</f>
        <v>14500</v>
      </c>
      <c r="D25" s="16">
        <f t="shared" ca="1" si="10"/>
        <v>43500</v>
      </c>
      <c r="E25" s="16">
        <f t="shared" ca="1" si="10"/>
        <v>52200</v>
      </c>
      <c r="F25" s="16">
        <f t="shared" ca="1" si="10"/>
        <v>63800</v>
      </c>
      <c r="G25" s="17">
        <f t="shared" ca="1" si="10"/>
        <v>66700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78">
        <f t="shared" ref="C28:G28" ca="1" si="11">C23-C18</f>
        <v>0</v>
      </c>
      <c r="D28" s="78">
        <f t="shared" ca="1" si="11"/>
        <v>0</v>
      </c>
      <c r="E28" s="78">
        <f t="shared" ca="1" si="11"/>
        <v>0</v>
      </c>
      <c r="F28" s="78">
        <f t="shared" ca="1" si="11"/>
        <v>0</v>
      </c>
      <c r="G28" s="79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13">
        <f t="shared" ref="C29:G29" ca="1" si="12">C24-C19</f>
        <v>0</v>
      </c>
      <c r="D29" s="13">
        <f t="shared" ca="1" si="12"/>
        <v>0</v>
      </c>
      <c r="E29" s="13">
        <f t="shared" ca="1" si="12"/>
        <v>0</v>
      </c>
      <c r="F29" s="13">
        <f t="shared" ca="1" si="12"/>
        <v>0</v>
      </c>
      <c r="G29" s="14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16">
        <f t="shared" ref="C30:G30" ca="1" si="13">C25-C20</f>
        <v>0</v>
      </c>
      <c r="D30" s="16">
        <f t="shared" ca="1" si="13"/>
        <v>0</v>
      </c>
      <c r="E30" s="16">
        <f t="shared" ca="1" si="13"/>
        <v>0</v>
      </c>
      <c r="F30" s="16">
        <f t="shared" ca="1" si="13"/>
        <v>0</v>
      </c>
      <c r="G30" s="17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IFERROR(__xludf.DUMMYFUNCTION("importrange(""https://docs.google.com/spreadsheets/d/1ExEvkoVNzC7HaYZVUhaWjE_vOrhXpFHk0xXInwj_RU8/edit#gid=0"",""sales!B13:F13"")"),0)</f>
        <v>0</v>
      </c>
      <c r="D34" s="21">
        <f ca="1">IFERROR(__xludf.DUMMYFUNCTION("""COMPUTED_VALUE"""),0)</f>
        <v>0</v>
      </c>
      <c r="E34" s="21">
        <f ca="1">IFERROR(__xludf.DUMMYFUNCTION("""COMPUTED_VALUE"""),5)</f>
        <v>5</v>
      </c>
      <c r="F34" s="21">
        <f ca="1">IFERROR(__xludf.DUMMYFUNCTION("""COMPUTED_VALUE"""),15)</f>
        <v>15</v>
      </c>
      <c r="G34" s="21">
        <f ca="1">IFERROR(__xludf.DUMMYFUNCTION("""COMPUTED_VALUE"""),30)</f>
        <v>30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28">
        <f ca="1">IFERROR(__xludf.DUMMYFUNCTION("importrange(""https://docs.google.com/spreadsheets/d/1ExEvkoVNzC7HaYZVUhaWjE_vOrhXpFHk0xXInwj_RU8/edit#gid=0"",""sales!B14:F14"")"),0)</f>
        <v>0</v>
      </c>
      <c r="D35" s="13">
        <f ca="1">IFERROR(__xludf.DUMMYFUNCTION("""COMPUTED_VALUE"""),0)</f>
        <v>0</v>
      </c>
      <c r="E35" s="13">
        <f ca="1">IFERROR(__xludf.DUMMYFUNCTION("""COMPUTED_VALUE"""),2500)</f>
        <v>2500</v>
      </c>
      <c r="F35" s="13">
        <f ca="1">IFERROR(__xludf.DUMMYFUNCTION("""COMPUTED_VALUE"""),2500)</f>
        <v>2500</v>
      </c>
      <c r="G35" s="14">
        <f ca="1">IFERROR(__xludf.DUMMYFUNCTION("""COMPUTED_VALUE"""),2500)</f>
        <v>2500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16">
        <f t="shared" ref="C36:G36" ca="1" si="14">C35*C34</f>
        <v>0</v>
      </c>
      <c r="D36" s="16">
        <f t="shared" ca="1" si="14"/>
        <v>0</v>
      </c>
      <c r="E36" s="16">
        <f t="shared" ca="1" si="14"/>
        <v>12500</v>
      </c>
      <c r="F36" s="16">
        <f t="shared" ca="1" si="14"/>
        <v>37500</v>
      </c>
      <c r="G36" s="17">
        <f t="shared" ca="1" si="14"/>
        <v>75000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0</v>
      </c>
      <c r="D38" s="21">
        <f t="shared" ca="1" si="15"/>
        <v>0</v>
      </c>
      <c r="E38" s="21">
        <f t="shared" ca="1" si="15"/>
        <v>5</v>
      </c>
      <c r="F38" s="21">
        <f t="shared" ca="1" si="15"/>
        <v>15</v>
      </c>
      <c r="G38" s="31">
        <f t="shared" ca="1" si="15"/>
        <v>30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28">
        <f t="shared" ref="C39:G39" ca="1" si="16">C35</f>
        <v>0</v>
      </c>
      <c r="D39" s="28">
        <f t="shared" ca="1" si="16"/>
        <v>0</v>
      </c>
      <c r="E39" s="28">
        <f t="shared" ca="1" si="16"/>
        <v>2500</v>
      </c>
      <c r="F39" s="28">
        <f t="shared" ca="1" si="16"/>
        <v>2500</v>
      </c>
      <c r="G39" s="32">
        <f t="shared" ca="1" si="16"/>
        <v>2500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33">
        <f t="shared" ref="C40:G40" ca="1" si="17">C36</f>
        <v>0</v>
      </c>
      <c r="D40" s="33">
        <f t="shared" ca="1" si="17"/>
        <v>0</v>
      </c>
      <c r="E40" s="33">
        <f t="shared" ca="1" si="17"/>
        <v>12500</v>
      </c>
      <c r="F40" s="33">
        <f t="shared" ca="1" si="17"/>
        <v>37500</v>
      </c>
      <c r="G40" s="34">
        <f t="shared" ca="1" si="17"/>
        <v>75000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28">
        <f t="shared" ref="C44:G44" ca="1" si="19">C39-C35</f>
        <v>0</v>
      </c>
      <c r="D44" s="28">
        <f t="shared" ca="1" si="19"/>
        <v>0</v>
      </c>
      <c r="E44" s="28">
        <f t="shared" ca="1" si="19"/>
        <v>0</v>
      </c>
      <c r="F44" s="28">
        <f t="shared" ca="1" si="19"/>
        <v>0</v>
      </c>
      <c r="G44" s="32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33">
        <f t="shared" ref="C45:G45" ca="1" si="20">C40-C36</f>
        <v>0</v>
      </c>
      <c r="D45" s="33">
        <f t="shared" ca="1" si="20"/>
        <v>0</v>
      </c>
      <c r="E45" s="33">
        <f t="shared" ca="1" si="20"/>
        <v>0</v>
      </c>
      <c r="F45" s="33">
        <f t="shared" ca="1" si="20"/>
        <v>0</v>
      </c>
      <c r="G45" s="34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IFERROR(__xludf.DUMMYFUNCTION("importrange(""https://docs.google.com/spreadsheets/d/1ExEvkoVNzC7HaYZVUhaWjE_vOrhXpFHk0xXInwj_RU8/edit#gid=0"",""sales!B18:F18"")"),0)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28">
        <f ca="1">IFERROR(__xludf.DUMMYFUNCTION("importrange(""https://docs.google.com/spreadsheets/d/1ExEvkoVNzC7HaYZVUhaWjE_vOrhXpFHk0xXInwj_RU8/edit#gid=0"",""sales!B19:F19"")"),0)</f>
        <v>0</v>
      </c>
      <c r="D50" s="13">
        <f ca="1">IFERROR(__xludf.DUMMYFUNCTION("""COMPUTED_VALUE"""),0)</f>
        <v>0</v>
      </c>
      <c r="E50" s="13">
        <f ca="1">IFERROR(__xludf.DUMMYFUNCTION("""COMPUTED_VALUE"""),0)</f>
        <v>0</v>
      </c>
      <c r="F50" s="13">
        <f ca="1">IFERROR(__xludf.DUMMYFUNCTION("""COMPUTED_VALUE"""),0)</f>
        <v>0</v>
      </c>
      <c r="G50" s="14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16">
        <f t="shared" ref="C51:G51" ca="1" si="21">C50*C49</f>
        <v>0</v>
      </c>
      <c r="D51" s="16">
        <f t="shared" ca="1" si="21"/>
        <v>0</v>
      </c>
      <c r="E51" s="16">
        <f t="shared" ca="1" si="21"/>
        <v>0</v>
      </c>
      <c r="F51" s="16">
        <f t="shared" ca="1" si="21"/>
        <v>0</v>
      </c>
      <c r="G51" s="17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0</v>
      </c>
      <c r="E54" s="9">
        <f t="shared" ca="1" si="22"/>
        <v>0</v>
      </c>
      <c r="F54" s="9">
        <f t="shared" ca="1" si="22"/>
        <v>0</v>
      </c>
      <c r="G54" s="10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13">
        <f t="shared" ref="C55:G55" ca="1" si="23">C50</f>
        <v>0</v>
      </c>
      <c r="D55" s="13">
        <f t="shared" ca="1" si="23"/>
        <v>0</v>
      </c>
      <c r="E55" s="13">
        <f t="shared" ca="1" si="23"/>
        <v>0</v>
      </c>
      <c r="F55" s="13">
        <f t="shared" ca="1" si="23"/>
        <v>0</v>
      </c>
      <c r="G55" s="14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16">
        <f t="shared" ref="C56:G56" ca="1" si="24">C51</f>
        <v>0</v>
      </c>
      <c r="D56" s="16">
        <f t="shared" ca="1" si="24"/>
        <v>0</v>
      </c>
      <c r="E56" s="16">
        <f t="shared" ca="1" si="24"/>
        <v>0</v>
      </c>
      <c r="F56" s="16">
        <f t="shared" ca="1" si="24"/>
        <v>0</v>
      </c>
      <c r="G56" s="17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28">
        <f t="shared" ref="C60:G60" ca="1" si="26">C55-C50</f>
        <v>0</v>
      </c>
      <c r="D60" s="28">
        <f t="shared" ca="1" si="26"/>
        <v>0</v>
      </c>
      <c r="E60" s="28">
        <f t="shared" ca="1" si="26"/>
        <v>0</v>
      </c>
      <c r="F60" s="28">
        <f t="shared" ca="1" si="26"/>
        <v>0</v>
      </c>
      <c r="G60" s="32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33">
        <f t="shared" ref="C61:G61" ca="1" si="27">C56-C51</f>
        <v>0</v>
      </c>
      <c r="D61" s="33">
        <f t="shared" ca="1" si="27"/>
        <v>0</v>
      </c>
      <c r="E61" s="33">
        <f t="shared" ca="1" si="27"/>
        <v>0</v>
      </c>
      <c r="F61" s="33">
        <f t="shared" ca="1" si="27"/>
        <v>0</v>
      </c>
      <c r="G61" s="34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9">
        <f t="shared" ref="C65:G65" ca="1" si="28">C54+C38+C23+C7</f>
        <v>59</v>
      </c>
      <c r="D65" s="9">
        <f t="shared" ca="1" si="28"/>
        <v>101</v>
      </c>
      <c r="E65" s="9">
        <f t="shared" ca="1" si="28"/>
        <v>130</v>
      </c>
      <c r="F65" s="9">
        <f t="shared" ca="1" si="28"/>
        <v>162</v>
      </c>
      <c r="G65" s="9">
        <f t="shared" ca="1" si="28"/>
        <v>187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13">
        <f t="shared" ref="C66:G66" ca="1" si="29">C67/C65</f>
        <v>1984.7457627118645</v>
      </c>
      <c r="D66" s="13">
        <f t="shared" ca="1" si="29"/>
        <v>2048.5148514851485</v>
      </c>
      <c r="E66" s="13">
        <f t="shared" ca="1" si="29"/>
        <v>2061.5384615384614</v>
      </c>
      <c r="F66" s="13">
        <f t="shared" ca="1" si="29"/>
        <v>2091.358024691358</v>
      </c>
      <c r="G66" s="13">
        <f t="shared" ca="1" si="29"/>
        <v>2119.2513368983959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16">
        <f t="shared" ref="C67:G67" ca="1" si="30">C56+C40+C20+C9</f>
        <v>117100</v>
      </c>
      <c r="D67" s="16">
        <f t="shared" ca="1" si="30"/>
        <v>206900</v>
      </c>
      <c r="E67" s="16">
        <f t="shared" ca="1" si="30"/>
        <v>268000</v>
      </c>
      <c r="F67" s="16">
        <f t="shared" ca="1" si="30"/>
        <v>338800</v>
      </c>
      <c r="G67" s="16">
        <f t="shared" ca="1" si="30"/>
        <v>396300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77">
        <f ca="1">D67+E67+F67+G67</f>
        <v>1210000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2"/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20"/>
  <sheetViews>
    <sheetView workbookViewId="0">
      <selection activeCell="F3" sqref="F3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IFERROR(__xludf.DUMMYFUNCTION("importrange(""https://docs.google.com/spreadsheets/d/1Z2ShmhBS0RWX2cwGHNVWcacobKo2dD4a7iPGgHxbaMA/edit#gid=0"",""sales!B3:F3"")"),30)</f>
        <v>30</v>
      </c>
      <c r="D3" s="9">
        <f ca="1">IFERROR(__xludf.DUMMYFUNCTION("""COMPUTED_VALUE"""),60)</f>
        <v>60</v>
      </c>
      <c r="E3" s="9">
        <f ca="1">IFERROR(__xludf.DUMMYFUNCTION("""COMPUTED_VALUE"""),80)</f>
        <v>80</v>
      </c>
      <c r="F3" s="9">
        <f ca="1">IFERROR(__xludf.DUMMYFUNCTION("""COMPUTED_VALUE"""),100)</f>
        <v>100</v>
      </c>
      <c r="G3" s="10">
        <f ca="1">IFERROR(__xludf.DUMMYFUNCTION("""COMPUTED_VALUE"""),120)</f>
        <v>120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80">
        <f ca="1">IFERROR(__xludf.DUMMYFUNCTION("importrange(""https://docs.google.com/spreadsheets/d/1Z2ShmhBS0RWX2cwGHNVWcacobKo2dD4a7iPGgHxbaMA/edit#gid=0"",""sales!B4:F4"")"),1700)</f>
        <v>1700</v>
      </c>
      <c r="D4" s="51">
        <f ca="1">IFERROR(__xludf.DUMMYFUNCTION("""COMPUTED_VALUE"""),1700)</f>
        <v>1700</v>
      </c>
      <c r="E4" s="51">
        <f ca="1">IFERROR(__xludf.DUMMYFUNCTION("""COMPUTED_VALUE"""),1700)</f>
        <v>1700</v>
      </c>
      <c r="F4" s="51">
        <f ca="1">IFERROR(__xludf.DUMMYFUNCTION("""COMPUTED_VALUE"""),1700)</f>
        <v>1700</v>
      </c>
      <c r="G4" s="52">
        <f ca="1">IFERROR(__xludf.DUMMYFUNCTION("""COMPUTED_VALUE"""),1700)</f>
        <v>1700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53">
        <f t="shared" ref="C5:G5" ca="1" si="0">C3*C4</f>
        <v>51000</v>
      </c>
      <c r="D5" s="53">
        <f t="shared" ca="1" si="0"/>
        <v>102000</v>
      </c>
      <c r="E5" s="53">
        <f t="shared" ca="1" si="0"/>
        <v>136000</v>
      </c>
      <c r="F5" s="53">
        <f t="shared" ca="1" si="0"/>
        <v>170000</v>
      </c>
      <c r="G5" s="54">
        <f t="shared" ca="1" si="0"/>
        <v>204000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30</v>
      </c>
      <c r="D7" s="9">
        <f t="shared" ca="1" si="1"/>
        <v>60</v>
      </c>
      <c r="E7" s="9">
        <f t="shared" ca="1" si="1"/>
        <v>80</v>
      </c>
      <c r="F7" s="9">
        <f t="shared" ca="1" si="1"/>
        <v>100</v>
      </c>
      <c r="G7" s="10">
        <f t="shared" ca="1" si="1"/>
        <v>120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51">
        <f t="shared" ref="C8:G8" ca="1" si="2">C4</f>
        <v>1700</v>
      </c>
      <c r="D8" s="51">
        <f t="shared" ca="1" si="2"/>
        <v>1700</v>
      </c>
      <c r="E8" s="51">
        <f t="shared" ca="1" si="2"/>
        <v>1700</v>
      </c>
      <c r="F8" s="51">
        <f t="shared" ca="1" si="2"/>
        <v>1700</v>
      </c>
      <c r="G8" s="52">
        <f t="shared" ca="1" si="2"/>
        <v>1700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53">
        <f t="shared" ref="C9:G9" ca="1" si="3">C5</f>
        <v>51000</v>
      </c>
      <c r="D9" s="53">
        <f t="shared" ca="1" si="3"/>
        <v>102000</v>
      </c>
      <c r="E9" s="53">
        <f t="shared" ca="1" si="3"/>
        <v>136000</v>
      </c>
      <c r="F9" s="53">
        <f t="shared" ca="1" si="3"/>
        <v>170000</v>
      </c>
      <c r="G9" s="54">
        <f t="shared" ca="1" si="3"/>
        <v>204000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51">
        <f t="shared" ref="C13:G13" ca="1" si="5">C8-C4</f>
        <v>0</v>
      </c>
      <c r="D13" s="51">
        <f t="shared" ca="1" si="5"/>
        <v>0</v>
      </c>
      <c r="E13" s="51">
        <f t="shared" ca="1" si="5"/>
        <v>0</v>
      </c>
      <c r="F13" s="51">
        <f t="shared" ca="1" si="5"/>
        <v>0</v>
      </c>
      <c r="G13" s="52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53">
        <f t="shared" ref="C14:G14" ca="1" si="6">C9-C5</f>
        <v>0</v>
      </c>
      <c r="D14" s="53">
        <f t="shared" ca="1" si="6"/>
        <v>0</v>
      </c>
      <c r="E14" s="53">
        <f t="shared" ca="1" si="6"/>
        <v>0</v>
      </c>
      <c r="F14" s="53">
        <f t="shared" ca="1" si="6"/>
        <v>0</v>
      </c>
      <c r="G14" s="54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IFERROR(__xludf.DUMMYFUNCTION("importrange(""https://docs.google.com/spreadsheets/d/1Z2ShmhBS0RWX2cwGHNVWcacobKo2dD4a7iPGgHxbaMA/edit#gid=0"",""sales!B8:F8"")"),0)</f>
        <v>0</v>
      </c>
      <c r="D18" s="9">
        <f ca="1">IFERROR(__xludf.DUMMYFUNCTION("""COMPUTED_VALUE"""),0)</f>
        <v>0</v>
      </c>
      <c r="E18" s="9">
        <f ca="1">IFERROR(__xludf.DUMMYFUNCTION("""COMPUTED_VALUE"""),0)</f>
        <v>0</v>
      </c>
      <c r="F18" s="9">
        <f ca="1">IFERROR(__xludf.DUMMYFUNCTION("""COMPUTED_VALUE"""),0)</f>
        <v>0</v>
      </c>
      <c r="G18" s="10">
        <f ca="1">IFERROR(__xludf.DUMMYFUNCTION("""COMPUTED_VALUE"""),0)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51">
        <f ca="1">IFERROR(__xludf.DUMMYFUNCTION("importrange(""https://docs.google.com/spreadsheets/d/1Z2ShmhBS0RWX2cwGHNVWcacobKo2dD4a7iPGgHxbaMA/edit#gid=0"",""sales!B9:F9"")"),0)</f>
        <v>0</v>
      </c>
      <c r="D19" s="51">
        <f ca="1">IFERROR(__xludf.DUMMYFUNCTION("""COMPUTED_VALUE"""),0)</f>
        <v>0</v>
      </c>
      <c r="E19" s="51">
        <f ca="1">IFERROR(__xludf.DUMMYFUNCTION("""COMPUTED_VALUE"""),0)</f>
        <v>0</v>
      </c>
      <c r="F19" s="51">
        <f ca="1">IFERROR(__xludf.DUMMYFUNCTION("""COMPUTED_VALUE"""),0)</f>
        <v>0</v>
      </c>
      <c r="G19" s="52">
        <f ca="1">IFERROR(__xludf.DUMMYFUNCTION("""COMPUTED_VALUE"""),0)</f>
        <v>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53">
        <f t="shared" ref="C20:G20" ca="1" si="7">C18*C19</f>
        <v>0</v>
      </c>
      <c r="D20" s="53">
        <f t="shared" ca="1" si="7"/>
        <v>0</v>
      </c>
      <c r="E20" s="53">
        <f t="shared" ca="1" si="7"/>
        <v>0</v>
      </c>
      <c r="F20" s="53">
        <f t="shared" ca="1" si="7"/>
        <v>0</v>
      </c>
      <c r="G20" s="54">
        <f t="shared" ca="1" si="7"/>
        <v>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0</v>
      </c>
      <c r="D23" s="9">
        <f t="shared" ca="1" si="8"/>
        <v>0</v>
      </c>
      <c r="E23" s="9">
        <f t="shared" ca="1" si="8"/>
        <v>0</v>
      </c>
      <c r="F23" s="9">
        <f t="shared" ca="1" si="8"/>
        <v>0</v>
      </c>
      <c r="G23" s="10">
        <f t="shared" ca="1" si="8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51">
        <f t="shared" ref="C24:G24" ca="1" si="9">C19</f>
        <v>0</v>
      </c>
      <c r="D24" s="51">
        <f t="shared" ca="1" si="9"/>
        <v>0</v>
      </c>
      <c r="E24" s="51">
        <f t="shared" ca="1" si="9"/>
        <v>0</v>
      </c>
      <c r="F24" s="51">
        <f t="shared" ca="1" si="9"/>
        <v>0</v>
      </c>
      <c r="G24" s="52">
        <f t="shared" ca="1" si="9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53">
        <f t="shared" ref="C25:G25" ca="1" si="10">C20</f>
        <v>0</v>
      </c>
      <c r="D25" s="53">
        <f t="shared" ca="1" si="10"/>
        <v>0</v>
      </c>
      <c r="E25" s="53">
        <f t="shared" ca="1" si="10"/>
        <v>0</v>
      </c>
      <c r="F25" s="53">
        <f t="shared" ca="1" si="10"/>
        <v>0</v>
      </c>
      <c r="G25" s="54">
        <f t="shared" ca="1" si="10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51">
        <f t="shared" ref="C29:G29" ca="1" si="12">C24-C19</f>
        <v>0</v>
      </c>
      <c r="D29" s="51">
        <f t="shared" ca="1" si="12"/>
        <v>0</v>
      </c>
      <c r="E29" s="51">
        <f t="shared" ca="1" si="12"/>
        <v>0</v>
      </c>
      <c r="F29" s="51">
        <f t="shared" ca="1" si="12"/>
        <v>0</v>
      </c>
      <c r="G29" s="52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53">
        <f t="shared" ref="C30:G30" ca="1" si="13">C25-C20</f>
        <v>0</v>
      </c>
      <c r="D30" s="53">
        <f t="shared" ca="1" si="13"/>
        <v>0</v>
      </c>
      <c r="E30" s="53">
        <f t="shared" ca="1" si="13"/>
        <v>0</v>
      </c>
      <c r="F30" s="53">
        <f t="shared" ca="1" si="13"/>
        <v>0</v>
      </c>
      <c r="G30" s="54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IFERROR(__xludf.DUMMYFUNCTION("importrange(""https://docs.google.com/spreadsheets/d/1Z2ShmhBS0RWX2cwGHNVWcacobKo2dD4a7iPGgHxbaMA/edit#gid=0"",""sales!B13:F13"")"),0)</f>
        <v>0</v>
      </c>
      <c r="D34" s="21">
        <f ca="1">IFERROR(__xludf.DUMMYFUNCTION("""COMPUTED_VALUE"""),0)</f>
        <v>0</v>
      </c>
      <c r="E34" s="21">
        <f ca="1">IFERROR(__xludf.DUMMYFUNCTION("""COMPUTED_VALUE"""),0)</f>
        <v>0</v>
      </c>
      <c r="F34" s="21">
        <f ca="1">IFERROR(__xludf.DUMMYFUNCTION("""COMPUTED_VALUE"""),0)</f>
        <v>0</v>
      </c>
      <c r="G34" s="21">
        <f ca="1">IFERROR(__xludf.DUMMYFUNCTION("""COMPUTED_VALUE"""),0)</f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56">
        <f ca="1">IFERROR(__xludf.DUMMYFUNCTION("importrange(""https://docs.google.com/spreadsheets/d/1Z2ShmhBS0RWX2cwGHNVWcacobKo2dD4a7iPGgHxbaMA/edit#gid=0"",""sales!B14:F14"")"),0)</f>
        <v>0</v>
      </c>
      <c r="D35" s="51">
        <f ca="1">IFERROR(__xludf.DUMMYFUNCTION("""COMPUTED_VALUE"""),0)</f>
        <v>0</v>
      </c>
      <c r="E35" s="51">
        <f ca="1">IFERROR(__xludf.DUMMYFUNCTION("""COMPUTED_VALUE"""),0)</f>
        <v>0</v>
      </c>
      <c r="F35" s="51">
        <f ca="1">IFERROR(__xludf.DUMMYFUNCTION("""COMPUTED_VALUE"""),0)</f>
        <v>0</v>
      </c>
      <c r="G35" s="52">
        <f ca="1">IFERROR(__xludf.DUMMYFUNCTION("""COMPUTED_VALUE"""),0)</f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53">
        <f t="shared" ref="C36:G36" ca="1" si="14">C35*C34</f>
        <v>0</v>
      </c>
      <c r="D36" s="53">
        <f t="shared" ca="1" si="14"/>
        <v>0</v>
      </c>
      <c r="E36" s="53">
        <f t="shared" ca="1" si="14"/>
        <v>0</v>
      </c>
      <c r="F36" s="53">
        <f t="shared" ca="1" si="14"/>
        <v>0</v>
      </c>
      <c r="G36" s="54">
        <f t="shared" ca="1" si="14"/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0</v>
      </c>
      <c r="D38" s="21">
        <f t="shared" ca="1" si="15"/>
        <v>0</v>
      </c>
      <c r="E38" s="21">
        <f t="shared" ca="1" si="15"/>
        <v>0</v>
      </c>
      <c r="F38" s="21">
        <f t="shared" ca="1" si="15"/>
        <v>0</v>
      </c>
      <c r="G38" s="31">
        <f t="shared" ca="1" si="15"/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56">
        <f t="shared" ref="C39:G39" ca="1" si="16">C35</f>
        <v>0</v>
      </c>
      <c r="D39" s="56">
        <f t="shared" ca="1" si="16"/>
        <v>0</v>
      </c>
      <c r="E39" s="56">
        <f t="shared" ca="1" si="16"/>
        <v>0</v>
      </c>
      <c r="F39" s="56">
        <f t="shared" ca="1" si="16"/>
        <v>0</v>
      </c>
      <c r="G39" s="58">
        <f t="shared" ca="1" si="16"/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59">
        <f t="shared" ref="C40:G40" ca="1" si="17">C36</f>
        <v>0</v>
      </c>
      <c r="D40" s="59">
        <f t="shared" ca="1" si="17"/>
        <v>0</v>
      </c>
      <c r="E40" s="59">
        <f t="shared" ca="1" si="17"/>
        <v>0</v>
      </c>
      <c r="F40" s="59">
        <f t="shared" ca="1" si="17"/>
        <v>0</v>
      </c>
      <c r="G40" s="60">
        <f t="shared" ca="1" si="17"/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56">
        <f t="shared" ref="C44:G44" ca="1" si="19">C39-C35</f>
        <v>0</v>
      </c>
      <c r="D44" s="56">
        <f t="shared" ca="1" si="19"/>
        <v>0</v>
      </c>
      <c r="E44" s="56">
        <f t="shared" ca="1" si="19"/>
        <v>0</v>
      </c>
      <c r="F44" s="56">
        <f t="shared" ca="1" si="19"/>
        <v>0</v>
      </c>
      <c r="G44" s="58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59">
        <f t="shared" ref="C45:G45" ca="1" si="20">C40-C36</f>
        <v>0</v>
      </c>
      <c r="D45" s="59">
        <f t="shared" ca="1" si="20"/>
        <v>0</v>
      </c>
      <c r="E45" s="59">
        <f t="shared" ca="1" si="20"/>
        <v>0</v>
      </c>
      <c r="F45" s="59">
        <f t="shared" ca="1" si="20"/>
        <v>0</v>
      </c>
      <c r="G45" s="60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IFERROR(__xludf.DUMMYFUNCTION("importrange(""https://docs.google.com/spreadsheets/d/1Z2ShmhBS0RWX2cwGHNVWcacobKo2dD4a7iPGgHxbaMA/edit#gid=0"",""sales!B18:F18"")"),0)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56">
        <f ca="1">IFERROR(__xludf.DUMMYFUNCTION("importrange(""https://docs.google.com/spreadsheets/d/1Z2ShmhBS0RWX2cwGHNVWcacobKo2dD4a7iPGgHxbaMA/edit#gid=0"",""sales!B19:F19"")"),0)</f>
        <v>0</v>
      </c>
      <c r="D50" s="51">
        <f ca="1">IFERROR(__xludf.DUMMYFUNCTION("""COMPUTED_VALUE"""),0)</f>
        <v>0</v>
      </c>
      <c r="E50" s="51">
        <f ca="1">IFERROR(__xludf.DUMMYFUNCTION("""COMPUTED_VALUE"""),0)</f>
        <v>0</v>
      </c>
      <c r="F50" s="51">
        <f ca="1">IFERROR(__xludf.DUMMYFUNCTION("""COMPUTED_VALUE"""),0)</f>
        <v>0</v>
      </c>
      <c r="G50" s="52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53">
        <f t="shared" ref="C51:G51" ca="1" si="21">C50*C49</f>
        <v>0</v>
      </c>
      <c r="D51" s="53">
        <f t="shared" ca="1" si="21"/>
        <v>0</v>
      </c>
      <c r="E51" s="53">
        <f t="shared" ca="1" si="21"/>
        <v>0</v>
      </c>
      <c r="F51" s="53">
        <f t="shared" ca="1" si="21"/>
        <v>0</v>
      </c>
      <c r="G51" s="54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0</v>
      </c>
      <c r="E54" s="9">
        <f t="shared" ca="1" si="22"/>
        <v>0</v>
      </c>
      <c r="F54" s="9">
        <f t="shared" ca="1" si="22"/>
        <v>0</v>
      </c>
      <c r="G54" s="10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51">
        <f t="shared" ref="C55:G55" ca="1" si="23">C50</f>
        <v>0</v>
      </c>
      <c r="D55" s="51">
        <f t="shared" ca="1" si="23"/>
        <v>0</v>
      </c>
      <c r="E55" s="51">
        <f t="shared" ca="1" si="23"/>
        <v>0</v>
      </c>
      <c r="F55" s="51">
        <f t="shared" ca="1" si="23"/>
        <v>0</v>
      </c>
      <c r="G55" s="52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53">
        <f t="shared" ref="C56:G56" ca="1" si="24">C51</f>
        <v>0</v>
      </c>
      <c r="D56" s="53">
        <f t="shared" ca="1" si="24"/>
        <v>0</v>
      </c>
      <c r="E56" s="53">
        <f t="shared" ca="1" si="24"/>
        <v>0</v>
      </c>
      <c r="F56" s="53">
        <f t="shared" ca="1" si="24"/>
        <v>0</v>
      </c>
      <c r="G56" s="54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56">
        <f t="shared" ref="C60:G60" ca="1" si="26">C55-C50</f>
        <v>0</v>
      </c>
      <c r="D60" s="56">
        <f t="shared" ca="1" si="26"/>
        <v>0</v>
      </c>
      <c r="E60" s="56">
        <f t="shared" ca="1" si="26"/>
        <v>0</v>
      </c>
      <c r="F60" s="56">
        <f t="shared" ca="1" si="26"/>
        <v>0</v>
      </c>
      <c r="G60" s="58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59">
        <f t="shared" ref="C61:G61" ca="1" si="27">C56-C51</f>
        <v>0</v>
      </c>
      <c r="D61" s="59">
        <f t="shared" ca="1" si="27"/>
        <v>0</v>
      </c>
      <c r="E61" s="59">
        <f t="shared" ca="1" si="27"/>
        <v>0</v>
      </c>
      <c r="F61" s="59">
        <f t="shared" ca="1" si="27"/>
        <v>0</v>
      </c>
      <c r="G61" s="60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8">C54+C38+C23+C7</f>
        <v>30</v>
      </c>
      <c r="D65" s="41">
        <f t="shared" ca="1" si="28"/>
        <v>60</v>
      </c>
      <c r="E65" s="41">
        <f t="shared" ca="1" si="28"/>
        <v>80</v>
      </c>
      <c r="F65" s="41">
        <f t="shared" ca="1" si="28"/>
        <v>100</v>
      </c>
      <c r="G65" s="41">
        <f t="shared" ca="1" si="28"/>
        <v>120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62">
        <f t="shared" ref="C66:G66" ca="1" si="29">C67/C65</f>
        <v>1700</v>
      </c>
      <c r="D66" s="62">
        <f t="shared" ca="1" si="29"/>
        <v>1700</v>
      </c>
      <c r="E66" s="62">
        <f t="shared" ca="1" si="29"/>
        <v>1700</v>
      </c>
      <c r="F66" s="62">
        <f t="shared" ca="1" si="29"/>
        <v>1700</v>
      </c>
      <c r="G66" s="62">
        <f t="shared" ca="1" si="29"/>
        <v>1700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63">
        <f t="shared" ref="C67:G67" ca="1" si="30">C56+C40+C20+C9</f>
        <v>51000</v>
      </c>
      <c r="D67" s="63">
        <f t="shared" ca="1" si="30"/>
        <v>102000</v>
      </c>
      <c r="E67" s="63">
        <f t="shared" ca="1" si="30"/>
        <v>136000</v>
      </c>
      <c r="F67" s="63">
        <f t="shared" ca="1" si="30"/>
        <v>170000</v>
      </c>
      <c r="G67" s="63">
        <f t="shared" ca="1" si="30"/>
        <v>204000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64">
        <f ca="1">D67+E67+F67+G67</f>
        <v>612000</v>
      </c>
      <c r="G70" s="2"/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020"/>
  <sheetViews>
    <sheetView workbookViewId="0">
      <selection activeCell="G9" sqref="G9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IFERROR(__xludf.DUMMYFUNCTION("importrange(""https://docs.google.com/spreadsheets/d/1XVPVwGMcfROtx_J-9wpdupEpncp5n9_0LO8xHcfwqws/edit#gid=0"",""sales!B3:F3"")"),5)</f>
        <v>5</v>
      </c>
      <c r="D3" s="9">
        <f ca="1">IFERROR(__xludf.DUMMYFUNCTION("""COMPUTED_VALUE"""),5)</f>
        <v>5</v>
      </c>
      <c r="E3" s="9">
        <f ca="1">IFERROR(__xludf.DUMMYFUNCTION("""COMPUTED_VALUE"""),5)</f>
        <v>5</v>
      </c>
      <c r="F3" s="9">
        <f ca="1">IFERROR(__xludf.DUMMYFUNCTION("""COMPUTED_VALUE"""),5)</f>
        <v>5</v>
      </c>
      <c r="G3" s="10">
        <f ca="1">IFERROR(__xludf.DUMMYFUNCTION("""COMPUTED_VALUE"""),5)</f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51">
        <f ca="1">IFERROR(__xludf.DUMMYFUNCTION("importrange(""https://docs.google.com/spreadsheets/d/1XVPVwGMcfROtx_J-9wpdupEpncp5n9_0LO8xHcfwqws/edit#gid=0"",""sales!B4:F4"")"),2000)</f>
        <v>2000</v>
      </c>
      <c r="D4" s="51">
        <f ca="1">IFERROR(__xludf.DUMMYFUNCTION("""COMPUTED_VALUE"""),2000)</f>
        <v>2000</v>
      </c>
      <c r="E4" s="51">
        <f ca="1">IFERROR(__xludf.DUMMYFUNCTION("""COMPUTED_VALUE"""),2000)</f>
        <v>2000</v>
      </c>
      <c r="F4" s="51">
        <f ca="1">IFERROR(__xludf.DUMMYFUNCTION("""COMPUTED_VALUE"""),2000)</f>
        <v>2000</v>
      </c>
      <c r="G4" s="52">
        <f ca="1">IFERROR(__xludf.DUMMYFUNCTION("""COMPUTED_VALUE"""),2000)</f>
        <v>2000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53">
        <f t="shared" ref="C5:G5" ca="1" si="0">C3*C4</f>
        <v>10000</v>
      </c>
      <c r="D5" s="53">
        <f t="shared" ca="1" si="0"/>
        <v>10000</v>
      </c>
      <c r="E5" s="53">
        <f t="shared" ca="1" si="0"/>
        <v>10000</v>
      </c>
      <c r="F5" s="53">
        <f t="shared" ca="1" si="0"/>
        <v>10000</v>
      </c>
      <c r="G5" s="54">
        <f t="shared" ca="1" si="0"/>
        <v>10000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5</v>
      </c>
      <c r="D7" s="9">
        <f t="shared" ca="1" si="1"/>
        <v>5</v>
      </c>
      <c r="E7" s="9">
        <f t="shared" ca="1" si="1"/>
        <v>5</v>
      </c>
      <c r="F7" s="9">
        <f t="shared" ca="1" si="1"/>
        <v>5</v>
      </c>
      <c r="G7" s="10">
        <f t="shared" ca="1" si="1"/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51">
        <f t="shared" ref="C8:G8" ca="1" si="2">C4</f>
        <v>2000</v>
      </c>
      <c r="D8" s="51">
        <f t="shared" ca="1" si="2"/>
        <v>2000</v>
      </c>
      <c r="E8" s="51">
        <f t="shared" ca="1" si="2"/>
        <v>2000</v>
      </c>
      <c r="F8" s="51">
        <f t="shared" ca="1" si="2"/>
        <v>2000</v>
      </c>
      <c r="G8" s="52">
        <f t="shared" ca="1" si="2"/>
        <v>2000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53">
        <f t="shared" ref="C9:G9" ca="1" si="3">C5</f>
        <v>10000</v>
      </c>
      <c r="D9" s="53">
        <f t="shared" ca="1" si="3"/>
        <v>10000</v>
      </c>
      <c r="E9" s="53">
        <f t="shared" ca="1" si="3"/>
        <v>10000</v>
      </c>
      <c r="F9" s="53">
        <f t="shared" ca="1" si="3"/>
        <v>10000</v>
      </c>
      <c r="G9" s="54">
        <f t="shared" ca="1" si="3"/>
        <v>10000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51">
        <f t="shared" ref="C13:G13" ca="1" si="5">C8-C4</f>
        <v>0</v>
      </c>
      <c r="D13" s="51">
        <f t="shared" ca="1" si="5"/>
        <v>0</v>
      </c>
      <c r="E13" s="51">
        <f t="shared" ca="1" si="5"/>
        <v>0</v>
      </c>
      <c r="F13" s="51">
        <f t="shared" ca="1" si="5"/>
        <v>0</v>
      </c>
      <c r="G13" s="52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53">
        <f t="shared" ref="C14:G14" ca="1" si="6">C9-C5</f>
        <v>0</v>
      </c>
      <c r="D14" s="53">
        <f t="shared" ca="1" si="6"/>
        <v>0</v>
      </c>
      <c r="E14" s="53">
        <f t="shared" ca="1" si="6"/>
        <v>0</v>
      </c>
      <c r="F14" s="53">
        <f t="shared" ca="1" si="6"/>
        <v>0</v>
      </c>
      <c r="G14" s="54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IFERROR(__xludf.DUMMYFUNCTION("importrange(""https://docs.google.com/spreadsheets/d/1XVPVwGMcfROtx_J-9wpdupEpncp5n9_0LO8xHcfwqws/edit#gid=0"",""sales!B8:F8"")"),0)</f>
        <v>0</v>
      </c>
      <c r="D18" s="9">
        <f ca="1">IFERROR(__xludf.DUMMYFUNCTION("""COMPUTED_VALUE"""),0)</f>
        <v>0</v>
      </c>
      <c r="E18" s="9">
        <f ca="1">IFERROR(__xludf.DUMMYFUNCTION("""COMPUTED_VALUE"""),0)</f>
        <v>0</v>
      </c>
      <c r="F18" s="9">
        <f ca="1">IFERROR(__xludf.DUMMYFUNCTION("""COMPUTED_VALUE"""),0)</f>
        <v>0</v>
      </c>
      <c r="G18" s="10">
        <f ca="1">IFERROR(__xludf.DUMMYFUNCTION("""COMPUTED_VALUE"""),0)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51">
        <f ca="1">IFERROR(__xludf.DUMMYFUNCTION("importrange(""https://docs.google.com/spreadsheets/d/1XVPVwGMcfROtx_J-9wpdupEpncp5n9_0LO8xHcfwqws/edit#gid=0"",""sales!B9:F9"")"),0)</f>
        <v>0</v>
      </c>
      <c r="D19" s="51">
        <f ca="1">IFERROR(__xludf.DUMMYFUNCTION("""COMPUTED_VALUE"""),0)</f>
        <v>0</v>
      </c>
      <c r="E19" s="51">
        <f ca="1">IFERROR(__xludf.DUMMYFUNCTION("""COMPUTED_VALUE"""),0)</f>
        <v>0</v>
      </c>
      <c r="F19" s="51">
        <f ca="1">IFERROR(__xludf.DUMMYFUNCTION("""COMPUTED_VALUE"""),0)</f>
        <v>0</v>
      </c>
      <c r="G19" s="52">
        <f ca="1">IFERROR(__xludf.DUMMYFUNCTION("""COMPUTED_VALUE"""),0)</f>
        <v>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53">
        <f t="shared" ref="C20:G20" ca="1" si="7">C18*C19</f>
        <v>0</v>
      </c>
      <c r="D20" s="53">
        <f t="shared" ca="1" si="7"/>
        <v>0</v>
      </c>
      <c r="E20" s="53">
        <f t="shared" ca="1" si="7"/>
        <v>0</v>
      </c>
      <c r="F20" s="53">
        <f t="shared" ca="1" si="7"/>
        <v>0</v>
      </c>
      <c r="G20" s="54">
        <f t="shared" ca="1" si="7"/>
        <v>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0</v>
      </c>
      <c r="D23" s="9">
        <f t="shared" ca="1" si="8"/>
        <v>0</v>
      </c>
      <c r="E23" s="9">
        <f t="shared" ca="1" si="8"/>
        <v>0</v>
      </c>
      <c r="F23" s="9">
        <f t="shared" ca="1" si="8"/>
        <v>0</v>
      </c>
      <c r="G23" s="10">
        <f t="shared" ca="1" si="8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51">
        <f t="shared" ref="C24:G24" ca="1" si="9">C19</f>
        <v>0</v>
      </c>
      <c r="D24" s="51">
        <f t="shared" ca="1" si="9"/>
        <v>0</v>
      </c>
      <c r="E24" s="51">
        <f t="shared" ca="1" si="9"/>
        <v>0</v>
      </c>
      <c r="F24" s="51">
        <f t="shared" ca="1" si="9"/>
        <v>0</v>
      </c>
      <c r="G24" s="52">
        <f t="shared" ca="1" si="9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53">
        <f t="shared" ref="C25:G25" ca="1" si="10">C20</f>
        <v>0</v>
      </c>
      <c r="D25" s="53">
        <f t="shared" ca="1" si="10"/>
        <v>0</v>
      </c>
      <c r="E25" s="53">
        <f t="shared" ca="1" si="10"/>
        <v>0</v>
      </c>
      <c r="F25" s="53">
        <f t="shared" ca="1" si="10"/>
        <v>0</v>
      </c>
      <c r="G25" s="54">
        <f t="shared" ca="1" si="10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51">
        <f t="shared" ref="C29:G29" ca="1" si="12">C24-C19</f>
        <v>0</v>
      </c>
      <c r="D29" s="51">
        <f t="shared" ca="1" si="12"/>
        <v>0</v>
      </c>
      <c r="E29" s="51">
        <f t="shared" ca="1" si="12"/>
        <v>0</v>
      </c>
      <c r="F29" s="51">
        <f t="shared" ca="1" si="12"/>
        <v>0</v>
      </c>
      <c r="G29" s="52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53">
        <f t="shared" ref="C30:G30" ca="1" si="13">C25-C20</f>
        <v>0</v>
      </c>
      <c r="D30" s="53">
        <f t="shared" ca="1" si="13"/>
        <v>0</v>
      </c>
      <c r="E30" s="53">
        <f t="shared" ca="1" si="13"/>
        <v>0</v>
      </c>
      <c r="F30" s="53">
        <f t="shared" ca="1" si="13"/>
        <v>0</v>
      </c>
      <c r="G30" s="54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IFERROR(__xludf.DUMMYFUNCTION("importrange(""https://docs.google.com/spreadsheets/d/1XVPVwGMcfROtx_J-9wpdupEpncp5n9_0LO8xHcfwqws/edit#gid=0"",""sales!B13:F13"")"),0)</f>
        <v>0</v>
      </c>
      <c r="D34" s="21">
        <f ca="1">IFERROR(__xludf.DUMMYFUNCTION("""COMPUTED_VALUE"""),0)</f>
        <v>0</v>
      </c>
      <c r="E34" s="21">
        <f ca="1">IFERROR(__xludf.DUMMYFUNCTION("""COMPUTED_VALUE"""),0)</f>
        <v>0</v>
      </c>
      <c r="F34" s="21">
        <f ca="1">IFERROR(__xludf.DUMMYFUNCTION("""COMPUTED_VALUE"""),0)</f>
        <v>0</v>
      </c>
      <c r="G34" s="21">
        <f ca="1">IFERROR(__xludf.DUMMYFUNCTION("""COMPUTED_VALUE"""),0)</f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56">
        <f ca="1">IFERROR(__xludf.DUMMYFUNCTION("importrange(""https://docs.google.com/spreadsheets/d/1XVPVwGMcfROtx_J-9wpdupEpncp5n9_0LO8xHcfwqws/edit#gid=0"",""sales!B14:F14"")"),0)</f>
        <v>0</v>
      </c>
      <c r="D35" s="51">
        <f ca="1">IFERROR(__xludf.DUMMYFUNCTION("""COMPUTED_VALUE"""),0)</f>
        <v>0</v>
      </c>
      <c r="E35" s="51">
        <f ca="1">IFERROR(__xludf.DUMMYFUNCTION("""COMPUTED_VALUE"""),0)</f>
        <v>0</v>
      </c>
      <c r="F35" s="51">
        <f ca="1">IFERROR(__xludf.DUMMYFUNCTION("""COMPUTED_VALUE"""),0)</f>
        <v>0</v>
      </c>
      <c r="G35" s="52">
        <f ca="1">IFERROR(__xludf.DUMMYFUNCTION("""COMPUTED_VALUE"""),0)</f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53">
        <f t="shared" ref="C36:G36" ca="1" si="14">C35*C34</f>
        <v>0</v>
      </c>
      <c r="D36" s="53">
        <f t="shared" ca="1" si="14"/>
        <v>0</v>
      </c>
      <c r="E36" s="53">
        <f t="shared" ca="1" si="14"/>
        <v>0</v>
      </c>
      <c r="F36" s="53">
        <f t="shared" ca="1" si="14"/>
        <v>0</v>
      </c>
      <c r="G36" s="54">
        <f t="shared" ca="1" si="14"/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0</v>
      </c>
      <c r="D38" s="21">
        <f t="shared" ca="1" si="15"/>
        <v>0</v>
      </c>
      <c r="E38" s="21">
        <f t="shared" ca="1" si="15"/>
        <v>0</v>
      </c>
      <c r="F38" s="21">
        <f t="shared" ca="1" si="15"/>
        <v>0</v>
      </c>
      <c r="G38" s="31">
        <f t="shared" ca="1" si="15"/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56">
        <f t="shared" ref="C39:G39" ca="1" si="16">C35</f>
        <v>0</v>
      </c>
      <c r="D39" s="56">
        <f t="shared" ca="1" si="16"/>
        <v>0</v>
      </c>
      <c r="E39" s="56">
        <f t="shared" ca="1" si="16"/>
        <v>0</v>
      </c>
      <c r="F39" s="56">
        <f t="shared" ca="1" si="16"/>
        <v>0</v>
      </c>
      <c r="G39" s="58">
        <f t="shared" ca="1" si="16"/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59">
        <f t="shared" ref="C40:G40" ca="1" si="17">C36</f>
        <v>0</v>
      </c>
      <c r="D40" s="59">
        <f t="shared" ca="1" si="17"/>
        <v>0</v>
      </c>
      <c r="E40" s="59">
        <f t="shared" ca="1" si="17"/>
        <v>0</v>
      </c>
      <c r="F40" s="59">
        <f t="shared" ca="1" si="17"/>
        <v>0</v>
      </c>
      <c r="G40" s="60">
        <f t="shared" ca="1" si="17"/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56">
        <f t="shared" ref="C44:G44" ca="1" si="19">C39-C35</f>
        <v>0</v>
      </c>
      <c r="D44" s="56">
        <f t="shared" ca="1" si="19"/>
        <v>0</v>
      </c>
      <c r="E44" s="56">
        <f t="shared" ca="1" si="19"/>
        <v>0</v>
      </c>
      <c r="F44" s="56">
        <f t="shared" ca="1" si="19"/>
        <v>0</v>
      </c>
      <c r="G44" s="58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59">
        <f t="shared" ref="C45:G45" ca="1" si="20">C40-C36</f>
        <v>0</v>
      </c>
      <c r="D45" s="59">
        <f t="shared" ca="1" si="20"/>
        <v>0</v>
      </c>
      <c r="E45" s="59">
        <f t="shared" ca="1" si="20"/>
        <v>0</v>
      </c>
      <c r="F45" s="59">
        <f t="shared" ca="1" si="20"/>
        <v>0</v>
      </c>
      <c r="G45" s="60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IFERROR(__xludf.DUMMYFUNCTION("importrange(""https://docs.google.com/spreadsheets/d/1XVPVwGMcfROtx_J-9wpdupEpncp5n9_0LO8xHcfwqws/edit#gid=0"",""sales!B18:F18"")"),0)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56">
        <f ca="1">IFERROR(__xludf.DUMMYFUNCTION("importrange(""https://docs.google.com/spreadsheets/d/1XVPVwGMcfROtx_J-9wpdupEpncp5n9_0LO8xHcfwqws/edit#gid=0"",""sales!B19:F19"")"),0)</f>
        <v>0</v>
      </c>
      <c r="D50" s="51">
        <f ca="1">IFERROR(__xludf.DUMMYFUNCTION("""COMPUTED_VALUE"""),0)</f>
        <v>0</v>
      </c>
      <c r="E50" s="51">
        <f ca="1">IFERROR(__xludf.DUMMYFUNCTION("""COMPUTED_VALUE"""),0)</f>
        <v>0</v>
      </c>
      <c r="F50" s="51">
        <f ca="1">IFERROR(__xludf.DUMMYFUNCTION("""COMPUTED_VALUE"""),0)</f>
        <v>0</v>
      </c>
      <c r="G50" s="52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53">
        <f t="shared" ref="C51:G51" ca="1" si="21">C50*C49</f>
        <v>0</v>
      </c>
      <c r="D51" s="53">
        <f t="shared" ca="1" si="21"/>
        <v>0</v>
      </c>
      <c r="E51" s="53">
        <f t="shared" ca="1" si="21"/>
        <v>0</v>
      </c>
      <c r="F51" s="53">
        <f t="shared" ca="1" si="21"/>
        <v>0</v>
      </c>
      <c r="G51" s="54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0</v>
      </c>
      <c r="E54" s="9">
        <f t="shared" ca="1" si="22"/>
        <v>0</v>
      </c>
      <c r="F54" s="9">
        <f t="shared" ca="1" si="22"/>
        <v>0</v>
      </c>
      <c r="G54" s="10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51">
        <f t="shared" ref="C55:G55" ca="1" si="23">C50</f>
        <v>0</v>
      </c>
      <c r="D55" s="51">
        <f t="shared" ca="1" si="23"/>
        <v>0</v>
      </c>
      <c r="E55" s="51">
        <f t="shared" ca="1" si="23"/>
        <v>0</v>
      </c>
      <c r="F55" s="51">
        <f t="shared" ca="1" si="23"/>
        <v>0</v>
      </c>
      <c r="G55" s="52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53">
        <f t="shared" ref="C56:G56" ca="1" si="24">C51</f>
        <v>0</v>
      </c>
      <c r="D56" s="53">
        <f t="shared" ca="1" si="24"/>
        <v>0</v>
      </c>
      <c r="E56" s="53">
        <f t="shared" ca="1" si="24"/>
        <v>0</v>
      </c>
      <c r="F56" s="53">
        <f t="shared" ca="1" si="24"/>
        <v>0</v>
      </c>
      <c r="G56" s="54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56">
        <f t="shared" ref="C60:G60" ca="1" si="26">C55-C50</f>
        <v>0</v>
      </c>
      <c r="D60" s="56">
        <f t="shared" ca="1" si="26"/>
        <v>0</v>
      </c>
      <c r="E60" s="56">
        <f t="shared" ca="1" si="26"/>
        <v>0</v>
      </c>
      <c r="F60" s="56">
        <f t="shared" ca="1" si="26"/>
        <v>0</v>
      </c>
      <c r="G60" s="58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59">
        <f t="shared" ref="C61:G61" ca="1" si="27">C56-C51</f>
        <v>0</v>
      </c>
      <c r="D61" s="59">
        <f t="shared" ca="1" si="27"/>
        <v>0</v>
      </c>
      <c r="E61" s="59">
        <f t="shared" ca="1" si="27"/>
        <v>0</v>
      </c>
      <c r="F61" s="59">
        <f t="shared" ca="1" si="27"/>
        <v>0</v>
      </c>
      <c r="G61" s="60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8">C54+C38+C23+C7</f>
        <v>5</v>
      </c>
      <c r="D65" s="41">
        <f t="shared" ca="1" si="28"/>
        <v>5</v>
      </c>
      <c r="E65" s="41">
        <f t="shared" ca="1" si="28"/>
        <v>5</v>
      </c>
      <c r="F65" s="41">
        <f t="shared" ca="1" si="28"/>
        <v>5</v>
      </c>
      <c r="G65" s="41">
        <f t="shared" ca="1" si="28"/>
        <v>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62">
        <f t="shared" ref="C66:G66" ca="1" si="29">C67/C65</f>
        <v>2000</v>
      </c>
      <c r="D66" s="62">
        <f t="shared" ca="1" si="29"/>
        <v>2000</v>
      </c>
      <c r="E66" s="62">
        <f t="shared" ca="1" si="29"/>
        <v>2000</v>
      </c>
      <c r="F66" s="62">
        <f t="shared" ca="1" si="29"/>
        <v>2000</v>
      </c>
      <c r="G66" s="62">
        <f t="shared" ca="1" si="29"/>
        <v>2000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63">
        <f t="shared" ref="C67:G67" ca="1" si="30">C56+C40+C20+C9</f>
        <v>10000</v>
      </c>
      <c r="D67" s="63">
        <f t="shared" ca="1" si="30"/>
        <v>10000</v>
      </c>
      <c r="E67" s="63">
        <f t="shared" ca="1" si="30"/>
        <v>10000</v>
      </c>
      <c r="F67" s="63">
        <f t="shared" ca="1" si="30"/>
        <v>10000</v>
      </c>
      <c r="G67" s="63">
        <f t="shared" ca="1" si="30"/>
        <v>10000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2"/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020"/>
  <sheetViews>
    <sheetView tabSelected="1" workbookViewId="0">
      <selection activeCell="E3" sqref="E3"/>
    </sheetView>
  </sheetViews>
  <sheetFormatPr baseColWidth="10" defaultColWidth="12.6640625" defaultRowHeight="15.75" customHeight="1"/>
  <cols>
    <col min="1" max="2" width="46" customWidth="1"/>
    <col min="3" max="3" width="14.5" customWidth="1"/>
    <col min="4" max="5" width="14.1640625" customWidth="1"/>
    <col min="6" max="6" width="14.5" customWidth="1"/>
    <col min="7" max="7" width="19.5" customWidth="1"/>
  </cols>
  <sheetData>
    <row r="1" spans="1:28" ht="15.75" customHeight="1" thickBot="1">
      <c r="A1" s="2"/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thickBot="1">
      <c r="A2" s="2"/>
      <c r="B2" s="3"/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>
      <c r="A3" s="126" t="s">
        <v>6</v>
      </c>
      <c r="B3" s="8" t="s">
        <v>134</v>
      </c>
      <c r="C3" s="9">
        <f ca="1">IFERROR(__xludf.DUMMYFUNCTION("importrange(""https://docs.google.com/spreadsheets/d/1B5DUIq-2eMY-3z6xZAWWTIxKSKLZPrLB_l38NDD4TUE/edit#gid=0"",""sales!B3:F3"")"),5)</f>
        <v>5</v>
      </c>
      <c r="D3" s="9">
        <f ca="1">IFERROR(__xludf.DUMMYFUNCTION("""COMPUTED_VALUE"""),50)</f>
        <v>50</v>
      </c>
      <c r="E3" s="9">
        <f ca="1">IFERROR(__xludf.DUMMYFUNCTION("""COMPUTED_VALUE"""),100)</f>
        <v>100</v>
      </c>
      <c r="F3" s="9">
        <f ca="1">IFERROR(__xludf.DUMMYFUNCTION("""COMPUTED_VALUE"""),140)</f>
        <v>140</v>
      </c>
      <c r="G3" s="10">
        <f ca="1">IFERROR(__xludf.DUMMYFUNCTION("""COMPUTED_VALUE"""),190)</f>
        <v>190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/>
      <c r="V3" s="11"/>
      <c r="W3" s="11"/>
      <c r="X3" s="11"/>
      <c r="Y3" s="11"/>
      <c r="Z3" s="11"/>
      <c r="AA3" s="2"/>
      <c r="AB3" s="2"/>
    </row>
    <row r="4" spans="1:28" ht="15.75" customHeight="1" thickBot="1">
      <c r="A4" s="126" t="s">
        <v>6</v>
      </c>
      <c r="B4" s="12" t="s">
        <v>8</v>
      </c>
      <c r="C4" s="51">
        <f ca="1">IFERROR(__xludf.DUMMYFUNCTION("importrange(""https://docs.google.com/spreadsheets/d/1B5DUIq-2eMY-3z6xZAWWTIxKSKLZPrLB_l38NDD4TUE/edit#gid=0"",""sales!B4:F4"")"),1100)</f>
        <v>1100</v>
      </c>
      <c r="D4" s="51">
        <f ca="1">IFERROR(__xludf.DUMMYFUNCTION("""COMPUTED_VALUE"""),1100)</f>
        <v>1100</v>
      </c>
      <c r="E4" s="51">
        <f ca="1">IFERROR(__xludf.DUMMYFUNCTION("""COMPUTED_VALUE"""),1100)</f>
        <v>1100</v>
      </c>
      <c r="F4" s="51">
        <f ca="1">IFERROR(__xludf.DUMMYFUNCTION("""COMPUTED_VALUE"""),1100)</f>
        <v>1100</v>
      </c>
      <c r="G4" s="52">
        <f ca="1">IFERROR(__xludf.DUMMYFUNCTION("""COMPUTED_VALUE"""),1100)</f>
        <v>1100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/>
      <c r="X4" s="11"/>
      <c r="Y4" s="11"/>
      <c r="Z4" s="11"/>
      <c r="AA4" s="2"/>
      <c r="AB4" s="2"/>
    </row>
    <row r="5" spans="1:28" ht="15.75" customHeight="1" thickBot="1">
      <c r="A5" s="126" t="s">
        <v>6</v>
      </c>
      <c r="B5" s="15" t="s">
        <v>9</v>
      </c>
      <c r="C5" s="53">
        <f t="shared" ref="C5:G5" ca="1" si="0">C3*C4</f>
        <v>5500</v>
      </c>
      <c r="D5" s="53">
        <f t="shared" ca="1" si="0"/>
        <v>55000</v>
      </c>
      <c r="E5" s="53">
        <f t="shared" ca="1" si="0"/>
        <v>110000</v>
      </c>
      <c r="F5" s="53">
        <f t="shared" ca="1" si="0"/>
        <v>154000</v>
      </c>
      <c r="G5" s="54">
        <f t="shared" ca="1" si="0"/>
        <v>209000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/>
      <c r="X5" s="11"/>
      <c r="Y5" s="11"/>
      <c r="Z5" s="11"/>
      <c r="AA5" s="2"/>
      <c r="AB5" s="2"/>
    </row>
    <row r="6" spans="1:28" ht="15.75" customHeight="1" thickBot="1">
      <c r="A6" s="18"/>
      <c r="B6" s="12"/>
      <c r="C6" s="19"/>
      <c r="D6" s="19"/>
      <c r="E6" s="19"/>
      <c r="F6" s="19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thickBot="1">
      <c r="A7" s="127" t="s">
        <v>10</v>
      </c>
      <c r="B7" s="8" t="s">
        <v>134</v>
      </c>
      <c r="C7" s="9">
        <f t="shared" ref="C7:G7" ca="1" si="1">C3</f>
        <v>5</v>
      </c>
      <c r="D7" s="9">
        <f t="shared" ca="1" si="1"/>
        <v>50</v>
      </c>
      <c r="E7" s="9">
        <f t="shared" ca="1" si="1"/>
        <v>100</v>
      </c>
      <c r="F7" s="9">
        <f t="shared" ca="1" si="1"/>
        <v>140</v>
      </c>
      <c r="G7" s="10">
        <f t="shared" ca="1" si="1"/>
        <v>190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>
      <c r="A8" s="127" t="s">
        <v>10</v>
      </c>
      <c r="B8" s="12" t="s">
        <v>8</v>
      </c>
      <c r="C8" s="51">
        <f t="shared" ref="C8:G8" ca="1" si="2">C4</f>
        <v>1100</v>
      </c>
      <c r="D8" s="51">
        <f t="shared" ca="1" si="2"/>
        <v>1100</v>
      </c>
      <c r="E8" s="51">
        <f t="shared" ca="1" si="2"/>
        <v>1100</v>
      </c>
      <c r="F8" s="51">
        <f t="shared" ca="1" si="2"/>
        <v>1100</v>
      </c>
      <c r="G8" s="52">
        <f t="shared" ca="1" si="2"/>
        <v>1100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thickBot="1">
      <c r="A9" s="127" t="s">
        <v>10</v>
      </c>
      <c r="B9" s="15" t="s">
        <v>9</v>
      </c>
      <c r="C9" s="53">
        <f t="shared" ref="C9:G9" ca="1" si="3">C5</f>
        <v>5500</v>
      </c>
      <c r="D9" s="53">
        <f t="shared" ca="1" si="3"/>
        <v>55000</v>
      </c>
      <c r="E9" s="53">
        <f t="shared" ca="1" si="3"/>
        <v>110000</v>
      </c>
      <c r="F9" s="53">
        <f t="shared" ca="1" si="3"/>
        <v>154000</v>
      </c>
      <c r="G9" s="54">
        <f t="shared" ca="1" si="3"/>
        <v>209000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8"/>
      <c r="B10" s="12"/>
      <c r="C10" s="19"/>
      <c r="D10" s="19"/>
      <c r="E10" s="19"/>
      <c r="F10" s="19"/>
      <c r="G10" s="2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>
      <c r="A11" s="18"/>
      <c r="B11" s="12"/>
      <c r="C11" s="19"/>
      <c r="D11" s="19"/>
      <c r="E11" s="19"/>
      <c r="F11" s="19"/>
      <c r="G11" s="2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>
      <c r="A12" s="128" t="s">
        <v>11</v>
      </c>
      <c r="B12" s="8" t="s">
        <v>134</v>
      </c>
      <c r="C12" s="9">
        <f t="shared" ref="C12:G12" ca="1" si="4">C7-C3</f>
        <v>0</v>
      </c>
      <c r="D12" s="9">
        <f t="shared" ca="1" si="4"/>
        <v>0</v>
      </c>
      <c r="E12" s="9">
        <f t="shared" ca="1" si="4"/>
        <v>0</v>
      </c>
      <c r="F12" s="9">
        <f t="shared" ca="1" si="4"/>
        <v>0</v>
      </c>
      <c r="G12" s="10">
        <f t="shared" ca="1" si="4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>
      <c r="A13" s="128" t="s">
        <v>11</v>
      </c>
      <c r="B13" s="12" t="s">
        <v>8</v>
      </c>
      <c r="C13" s="51">
        <f t="shared" ref="C13:G13" ca="1" si="5">C8-C4</f>
        <v>0</v>
      </c>
      <c r="D13" s="51">
        <f t="shared" ca="1" si="5"/>
        <v>0</v>
      </c>
      <c r="E13" s="51">
        <f t="shared" ca="1" si="5"/>
        <v>0</v>
      </c>
      <c r="F13" s="51">
        <f t="shared" ca="1" si="5"/>
        <v>0</v>
      </c>
      <c r="G13" s="52">
        <f t="shared" ca="1" si="5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>
      <c r="A14" s="128" t="s">
        <v>11</v>
      </c>
      <c r="B14" s="15" t="s">
        <v>9</v>
      </c>
      <c r="C14" s="53">
        <f t="shared" ref="C14:G14" ca="1" si="6">C9-C5</f>
        <v>0</v>
      </c>
      <c r="D14" s="53">
        <f t="shared" ca="1" si="6"/>
        <v>0</v>
      </c>
      <c r="E14" s="53">
        <f t="shared" ca="1" si="6"/>
        <v>0</v>
      </c>
      <c r="F14" s="53">
        <f t="shared" ca="1" si="6"/>
        <v>0</v>
      </c>
      <c r="G14" s="54">
        <f t="shared" ca="1" si="6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18"/>
      <c r="B15" s="12"/>
      <c r="C15" s="19"/>
      <c r="D15" s="19"/>
      <c r="E15" s="19"/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8"/>
      <c r="B16" s="12"/>
      <c r="C16" s="19"/>
      <c r="D16" s="19"/>
      <c r="E16" s="19"/>
      <c r="F16" s="19"/>
      <c r="G16" s="2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>
      <c r="A17" s="18"/>
      <c r="B17" s="12"/>
      <c r="C17" s="19"/>
      <c r="D17" s="19"/>
      <c r="E17" s="19"/>
      <c r="F17" s="19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>
      <c r="A18" s="126" t="s">
        <v>6</v>
      </c>
      <c r="B18" s="8" t="s">
        <v>135</v>
      </c>
      <c r="C18" s="21">
        <f ca="1">IFERROR(__xludf.DUMMYFUNCTION("importrange(""https://docs.google.com/spreadsheets/d/1B5DUIq-2eMY-3z6xZAWWTIxKSKLZPrLB_l38NDD4TUE/edit#gid=0"",""sales!B8:F8"")"),0)</f>
        <v>0</v>
      </c>
      <c r="D18" s="9">
        <f ca="1">IFERROR(__xludf.DUMMYFUNCTION("""COMPUTED_VALUE"""),0)</f>
        <v>0</v>
      </c>
      <c r="E18" s="9">
        <f ca="1">IFERROR(__xludf.DUMMYFUNCTION("""COMPUTED_VALUE"""),0)</f>
        <v>0</v>
      </c>
      <c r="F18" s="9">
        <f ca="1">IFERROR(__xludf.DUMMYFUNCTION("""COMPUTED_VALUE"""),0)</f>
        <v>0</v>
      </c>
      <c r="G18" s="10">
        <f ca="1">IFERROR(__xludf.DUMMYFUNCTION("""COMPUTED_VALUE"""),0)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>
      <c r="A19" s="126" t="s">
        <v>6</v>
      </c>
      <c r="B19" s="12" t="s">
        <v>13</v>
      </c>
      <c r="C19" s="51">
        <f ca="1">IFERROR(__xludf.DUMMYFUNCTION("importrange(""https://docs.google.com/spreadsheets/d/1B5DUIq-2eMY-3z6xZAWWTIxKSKLZPrLB_l38NDD4TUE/edit#gid=0"",""sales!B9:F9"")"),0)</f>
        <v>0</v>
      </c>
      <c r="D19" s="51">
        <f ca="1">IFERROR(__xludf.DUMMYFUNCTION("""COMPUTED_VALUE"""),0)</f>
        <v>0</v>
      </c>
      <c r="E19" s="51">
        <f ca="1">IFERROR(__xludf.DUMMYFUNCTION("""COMPUTED_VALUE"""),0)</f>
        <v>0</v>
      </c>
      <c r="F19" s="51">
        <f ca="1">IFERROR(__xludf.DUMMYFUNCTION("""COMPUTED_VALUE"""),0)</f>
        <v>0</v>
      </c>
      <c r="G19" s="52">
        <f ca="1">IFERROR(__xludf.DUMMYFUNCTION("""COMPUTED_VALUE"""),0)</f>
        <v>0</v>
      </c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>
      <c r="A20" s="126" t="s">
        <v>6</v>
      </c>
      <c r="B20" s="15" t="s">
        <v>14</v>
      </c>
      <c r="C20" s="53">
        <f t="shared" ref="C20:G20" ca="1" si="7">C18*C19</f>
        <v>0</v>
      </c>
      <c r="D20" s="53">
        <f t="shared" ca="1" si="7"/>
        <v>0</v>
      </c>
      <c r="E20" s="53">
        <f t="shared" ca="1" si="7"/>
        <v>0</v>
      </c>
      <c r="F20" s="53">
        <f t="shared" ca="1" si="7"/>
        <v>0</v>
      </c>
      <c r="G20" s="54">
        <f t="shared" ca="1" si="7"/>
        <v>0</v>
      </c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18"/>
      <c r="B21" s="12"/>
      <c r="C21" s="19"/>
      <c r="D21" s="19"/>
      <c r="E21" s="19"/>
      <c r="F21" s="19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>
      <c r="A22" s="18"/>
      <c r="B22" s="12"/>
      <c r="C22" s="19"/>
      <c r="D22" s="19"/>
      <c r="E22" s="19"/>
      <c r="F22" s="19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>
      <c r="A23" s="127" t="s">
        <v>10</v>
      </c>
      <c r="B23" s="8" t="s">
        <v>135</v>
      </c>
      <c r="C23" s="9">
        <f t="shared" ref="C23:G23" ca="1" si="8">C18</f>
        <v>0</v>
      </c>
      <c r="D23" s="9">
        <f t="shared" ca="1" si="8"/>
        <v>0</v>
      </c>
      <c r="E23" s="9">
        <f t="shared" ca="1" si="8"/>
        <v>0</v>
      </c>
      <c r="F23" s="9">
        <f t="shared" ca="1" si="8"/>
        <v>0</v>
      </c>
      <c r="G23" s="10">
        <f t="shared" ca="1" si="8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>
      <c r="A24" s="127" t="s">
        <v>10</v>
      </c>
      <c r="B24" s="12" t="s">
        <v>13</v>
      </c>
      <c r="C24" s="51">
        <f t="shared" ref="C24:G24" ca="1" si="9">C19</f>
        <v>0</v>
      </c>
      <c r="D24" s="51">
        <f t="shared" ca="1" si="9"/>
        <v>0</v>
      </c>
      <c r="E24" s="51">
        <f t="shared" ca="1" si="9"/>
        <v>0</v>
      </c>
      <c r="F24" s="51">
        <f t="shared" ca="1" si="9"/>
        <v>0</v>
      </c>
      <c r="G24" s="52">
        <f t="shared" ca="1" si="9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>
      <c r="A25" s="127" t="s">
        <v>10</v>
      </c>
      <c r="B25" s="15" t="s">
        <v>14</v>
      </c>
      <c r="C25" s="53">
        <f t="shared" ref="C25:G25" ca="1" si="10">C20</f>
        <v>0</v>
      </c>
      <c r="D25" s="53">
        <f t="shared" ca="1" si="10"/>
        <v>0</v>
      </c>
      <c r="E25" s="53">
        <f t="shared" ca="1" si="10"/>
        <v>0</v>
      </c>
      <c r="F25" s="53">
        <f t="shared" ca="1" si="10"/>
        <v>0</v>
      </c>
      <c r="G25" s="54">
        <f t="shared" ca="1" si="10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18"/>
      <c r="B26" s="12"/>
      <c r="C26" s="23"/>
      <c r="D26" s="23"/>
      <c r="E26" s="23"/>
      <c r="F26" s="23"/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>
      <c r="A27" s="18"/>
      <c r="B27" s="12"/>
      <c r="C27" s="23"/>
      <c r="D27" s="23"/>
      <c r="E27" s="23"/>
      <c r="F27" s="23"/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thickBot="1">
      <c r="A28" s="128" t="s">
        <v>11</v>
      </c>
      <c r="B28" s="8" t="s">
        <v>135</v>
      </c>
      <c r="C28" s="25">
        <f t="shared" ref="C28:G28" ca="1" si="11">C23-C18</f>
        <v>0</v>
      </c>
      <c r="D28" s="25">
        <f t="shared" ca="1" si="11"/>
        <v>0</v>
      </c>
      <c r="E28" s="25">
        <f t="shared" ca="1" si="11"/>
        <v>0</v>
      </c>
      <c r="F28" s="25">
        <f t="shared" ca="1" si="11"/>
        <v>0</v>
      </c>
      <c r="G28" s="26">
        <f t="shared" ca="1" si="1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>
      <c r="A29" s="128" t="s">
        <v>11</v>
      </c>
      <c r="B29" s="12" t="s">
        <v>13</v>
      </c>
      <c r="C29" s="51">
        <f t="shared" ref="C29:G29" ca="1" si="12">C24-C19</f>
        <v>0</v>
      </c>
      <c r="D29" s="51">
        <f t="shared" ca="1" si="12"/>
        <v>0</v>
      </c>
      <c r="E29" s="51">
        <f t="shared" ca="1" si="12"/>
        <v>0</v>
      </c>
      <c r="F29" s="51">
        <f t="shared" ca="1" si="12"/>
        <v>0</v>
      </c>
      <c r="G29" s="52">
        <f t="shared" ca="1" si="12"/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>
      <c r="A30" s="128" t="s">
        <v>11</v>
      </c>
      <c r="B30" s="15" t="s">
        <v>14</v>
      </c>
      <c r="C30" s="53">
        <f t="shared" ref="C30:G30" ca="1" si="13">C25-C20</f>
        <v>0</v>
      </c>
      <c r="D30" s="53">
        <f t="shared" ca="1" si="13"/>
        <v>0</v>
      </c>
      <c r="E30" s="53">
        <f t="shared" ca="1" si="13"/>
        <v>0</v>
      </c>
      <c r="F30" s="53">
        <f t="shared" ca="1" si="13"/>
        <v>0</v>
      </c>
      <c r="G30" s="54">
        <f t="shared" ca="1" si="13"/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8"/>
      <c r="B31" s="12"/>
      <c r="C31" s="23"/>
      <c r="D31" s="23"/>
      <c r="E31" s="23"/>
      <c r="F31" s="23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8"/>
      <c r="B32" s="12"/>
      <c r="C32" s="23"/>
      <c r="D32" s="23"/>
      <c r="E32" s="23"/>
      <c r="F32" s="23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>
      <c r="A33" s="18"/>
      <c r="B33" s="12"/>
      <c r="C33" s="23"/>
      <c r="D33" s="23"/>
      <c r="E33" s="23"/>
      <c r="F33" s="23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29" t="s">
        <v>6</v>
      </c>
      <c r="B34" s="8" t="s">
        <v>133</v>
      </c>
      <c r="C34" s="21">
        <f ca="1">IFERROR(__xludf.DUMMYFUNCTION("importrange(""https://docs.google.com/spreadsheets/d/1B5DUIq-2eMY-3z6xZAWWTIxKSKLZPrLB_l38NDD4TUE/edit#gid=0"",""sales!B13:F13"")"),0)</f>
        <v>0</v>
      </c>
      <c r="D34" s="21">
        <f ca="1">IFERROR(__xludf.DUMMYFUNCTION("""COMPUTED_VALUE"""),0)</f>
        <v>0</v>
      </c>
      <c r="E34" s="21">
        <f ca="1">IFERROR(__xludf.DUMMYFUNCTION("""COMPUTED_VALUE"""),0)</f>
        <v>0</v>
      </c>
      <c r="F34" s="21">
        <f ca="1">IFERROR(__xludf.DUMMYFUNCTION("""COMPUTED_VALUE"""),0)</f>
        <v>0</v>
      </c>
      <c r="G34" s="21">
        <f ca="1">IFERROR(__xludf.DUMMYFUNCTION("""COMPUTED_VALUE"""),0)</f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129" t="s">
        <v>6</v>
      </c>
      <c r="B35" s="27" t="s">
        <v>16</v>
      </c>
      <c r="C35" s="56">
        <f ca="1">IFERROR(__xludf.DUMMYFUNCTION("importrange(""https://docs.google.com/spreadsheets/d/1B5DUIq-2eMY-3z6xZAWWTIxKSKLZPrLB_l38NDD4TUE/edit#gid=0"",""sales!B14:F14"")"),0)</f>
        <v>0</v>
      </c>
      <c r="D35" s="51">
        <f ca="1">IFERROR(__xludf.DUMMYFUNCTION("""COMPUTED_VALUE"""),0)</f>
        <v>0</v>
      </c>
      <c r="E35" s="51">
        <f ca="1">IFERROR(__xludf.DUMMYFUNCTION("""COMPUTED_VALUE"""),0)</f>
        <v>0</v>
      </c>
      <c r="F35" s="51">
        <f ca="1">IFERROR(__xludf.DUMMYFUNCTION("""COMPUTED_VALUE"""),0)</f>
        <v>0</v>
      </c>
      <c r="G35" s="52">
        <f ca="1">IFERROR(__xludf.DUMMYFUNCTION("""COMPUTED_VALUE"""),0)</f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>
      <c r="A36" s="129" t="s">
        <v>6</v>
      </c>
      <c r="B36" s="29" t="s">
        <v>17</v>
      </c>
      <c r="C36" s="53">
        <f t="shared" ref="C36:G36" ca="1" si="14">C35*C34</f>
        <v>0</v>
      </c>
      <c r="D36" s="53">
        <f t="shared" ca="1" si="14"/>
        <v>0</v>
      </c>
      <c r="E36" s="53">
        <f t="shared" ca="1" si="14"/>
        <v>0</v>
      </c>
      <c r="F36" s="53">
        <f t="shared" ca="1" si="14"/>
        <v>0</v>
      </c>
      <c r="G36" s="54">
        <f t="shared" ca="1" si="14"/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>
      <c r="A37" s="2"/>
      <c r="B37" s="30"/>
      <c r="C37" s="19"/>
      <c r="D37" s="19"/>
      <c r="E37" s="19"/>
      <c r="F37" s="19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>
      <c r="A38" s="127" t="s">
        <v>10</v>
      </c>
      <c r="B38" s="8" t="s">
        <v>133</v>
      </c>
      <c r="C38" s="21">
        <f t="shared" ref="C38:G38" ca="1" si="15">C34</f>
        <v>0</v>
      </c>
      <c r="D38" s="21">
        <f t="shared" ca="1" si="15"/>
        <v>0</v>
      </c>
      <c r="E38" s="21">
        <f t="shared" ca="1" si="15"/>
        <v>0</v>
      </c>
      <c r="F38" s="21">
        <f t="shared" ca="1" si="15"/>
        <v>0</v>
      </c>
      <c r="G38" s="31">
        <f t="shared" ca="1" si="15"/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>
      <c r="A39" s="127" t="s">
        <v>10</v>
      </c>
      <c r="B39" s="27" t="s">
        <v>16</v>
      </c>
      <c r="C39" s="56">
        <f t="shared" ref="C39:G39" ca="1" si="16">C35</f>
        <v>0</v>
      </c>
      <c r="D39" s="56">
        <f t="shared" ca="1" si="16"/>
        <v>0</v>
      </c>
      <c r="E39" s="56">
        <f t="shared" ca="1" si="16"/>
        <v>0</v>
      </c>
      <c r="F39" s="56">
        <f t="shared" ca="1" si="16"/>
        <v>0</v>
      </c>
      <c r="G39" s="58">
        <f t="shared" ca="1" si="16"/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>
      <c r="A40" s="127" t="s">
        <v>10</v>
      </c>
      <c r="B40" s="29" t="s">
        <v>17</v>
      </c>
      <c r="C40" s="59">
        <f t="shared" ref="C40:G40" ca="1" si="17">C36</f>
        <v>0</v>
      </c>
      <c r="D40" s="59">
        <f t="shared" ca="1" si="17"/>
        <v>0</v>
      </c>
      <c r="E40" s="59">
        <f t="shared" ca="1" si="17"/>
        <v>0</v>
      </c>
      <c r="F40" s="59">
        <f t="shared" ca="1" si="17"/>
        <v>0</v>
      </c>
      <c r="G40" s="60">
        <f t="shared" ca="1" si="17"/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30"/>
      <c r="C41" s="19"/>
      <c r="D41" s="19"/>
      <c r="E41" s="19"/>
      <c r="F41" s="19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>
      <c r="A42" s="2"/>
      <c r="B42" s="30"/>
      <c r="C42" s="19"/>
      <c r="D42" s="19"/>
      <c r="E42" s="19"/>
      <c r="F42" s="19"/>
      <c r="G42" s="2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>
      <c r="A43" s="128" t="s">
        <v>11</v>
      </c>
      <c r="B43" s="8" t="s">
        <v>133</v>
      </c>
      <c r="C43" s="21">
        <f t="shared" ref="C43:G43" ca="1" si="18">C38-C34</f>
        <v>0</v>
      </c>
      <c r="D43" s="21">
        <f t="shared" ca="1" si="18"/>
        <v>0</v>
      </c>
      <c r="E43" s="21">
        <f t="shared" ca="1" si="18"/>
        <v>0</v>
      </c>
      <c r="F43" s="21">
        <f t="shared" ca="1" si="18"/>
        <v>0</v>
      </c>
      <c r="G43" s="31">
        <f t="shared" ca="1" si="18"/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>
      <c r="A44" s="128" t="s">
        <v>11</v>
      </c>
      <c r="B44" s="27" t="s">
        <v>16</v>
      </c>
      <c r="C44" s="56">
        <f t="shared" ref="C44:G44" ca="1" si="19">C39-C35</f>
        <v>0</v>
      </c>
      <c r="D44" s="56">
        <f t="shared" ca="1" si="19"/>
        <v>0</v>
      </c>
      <c r="E44" s="56">
        <f t="shared" ca="1" si="19"/>
        <v>0</v>
      </c>
      <c r="F44" s="56">
        <f t="shared" ca="1" si="19"/>
        <v>0</v>
      </c>
      <c r="G44" s="58">
        <f t="shared" ca="1" si="19"/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5"/>
      <c r="V44" s="35"/>
      <c r="W44" s="35"/>
      <c r="X44" s="2"/>
      <c r="Y44" s="2"/>
      <c r="Z44" s="2"/>
      <c r="AA44" s="2"/>
      <c r="AB44" s="2"/>
    </row>
    <row r="45" spans="1:28" ht="15.75" customHeight="1" thickBot="1">
      <c r="A45" s="128" t="s">
        <v>11</v>
      </c>
      <c r="B45" s="29" t="s">
        <v>17</v>
      </c>
      <c r="C45" s="59">
        <f t="shared" ref="C45:G45" ca="1" si="20">C40-C36</f>
        <v>0</v>
      </c>
      <c r="D45" s="59">
        <f t="shared" ca="1" si="20"/>
        <v>0</v>
      </c>
      <c r="E45" s="59">
        <f t="shared" ca="1" si="20"/>
        <v>0</v>
      </c>
      <c r="F45" s="59">
        <f t="shared" ca="1" si="20"/>
        <v>0</v>
      </c>
      <c r="G45" s="60">
        <f t="shared" ca="1" si="20"/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5"/>
      <c r="V45" s="35"/>
      <c r="W45" s="35"/>
      <c r="X45" s="2"/>
      <c r="Y45" s="2"/>
      <c r="Z45" s="2"/>
      <c r="AA45" s="2"/>
      <c r="AB45" s="2"/>
    </row>
    <row r="46" spans="1:28" ht="15.75" customHeight="1">
      <c r="A46" s="18"/>
      <c r="B46" s="12"/>
      <c r="C46" s="19"/>
      <c r="D46" s="19"/>
      <c r="E46" s="19"/>
      <c r="F46" s="19"/>
      <c r="G46" s="2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5"/>
      <c r="V46" s="35"/>
      <c r="W46" s="35"/>
      <c r="X46" s="2"/>
      <c r="Y46" s="2"/>
      <c r="Z46" s="2"/>
      <c r="AA46" s="2"/>
      <c r="AB46" s="2"/>
    </row>
    <row r="47" spans="1:28" ht="15.75" customHeight="1">
      <c r="A47" s="2"/>
      <c r="B47" s="30"/>
      <c r="C47" s="19"/>
      <c r="D47" s="19"/>
      <c r="E47" s="19"/>
      <c r="F47" s="19"/>
      <c r="G47" s="2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5"/>
      <c r="V47" s="36"/>
      <c r="W47" s="35"/>
      <c r="X47" s="2"/>
      <c r="Y47" s="2"/>
      <c r="Z47" s="2"/>
      <c r="AA47" s="2"/>
      <c r="AB47" s="2"/>
    </row>
    <row r="48" spans="1:28" ht="15.75" customHeight="1" thickBot="1">
      <c r="A48" s="2"/>
      <c r="B48" s="12"/>
      <c r="C48" s="19"/>
      <c r="D48" s="19"/>
      <c r="E48" s="19"/>
      <c r="F48" s="19"/>
      <c r="G48" s="2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5"/>
      <c r="V48" s="37"/>
      <c r="W48" s="35"/>
      <c r="X48" s="2"/>
      <c r="Y48" s="2"/>
      <c r="Z48" s="2"/>
      <c r="AA48" s="2"/>
      <c r="AB48" s="2"/>
    </row>
    <row r="49" spans="1:28" ht="15.75" customHeight="1">
      <c r="A49" s="129" t="s">
        <v>6</v>
      </c>
      <c r="B49" s="8" t="s">
        <v>18</v>
      </c>
      <c r="C49" s="21">
        <f ca="1">IFERROR(__xludf.DUMMYFUNCTION("importrange(""https://docs.google.com/spreadsheets/d/1B5DUIq-2eMY-3z6xZAWWTIxKSKLZPrLB_l38NDD4TUE/edit#gid=0"",""sales!B18:F18"")"),0)</f>
        <v>0</v>
      </c>
      <c r="D49" s="9">
        <f ca="1">IFERROR(__xludf.DUMMYFUNCTION("""COMPUTED_VALUE"""),0)</f>
        <v>0</v>
      </c>
      <c r="E49" s="9">
        <f ca="1">IFERROR(__xludf.DUMMYFUNCTION("""COMPUTED_VALUE"""),0)</f>
        <v>0</v>
      </c>
      <c r="F49" s="9">
        <f ca="1">IFERROR(__xludf.DUMMYFUNCTION("""COMPUTED_VALUE"""),0)</f>
        <v>0</v>
      </c>
      <c r="G49" s="10">
        <f ca="1">IFERROR(__xludf.DUMMYFUNCTION("""COMPUTED_VALUE"""),0)</f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5"/>
      <c r="V49" s="35"/>
      <c r="W49" s="35"/>
      <c r="X49" s="2"/>
      <c r="Y49" s="2"/>
      <c r="Z49" s="2"/>
      <c r="AA49" s="2"/>
      <c r="AB49" s="2"/>
    </row>
    <row r="50" spans="1:28" ht="15.75" customHeight="1">
      <c r="A50" s="129" t="s">
        <v>6</v>
      </c>
      <c r="B50" s="12" t="s">
        <v>19</v>
      </c>
      <c r="C50" s="56">
        <f ca="1">IFERROR(__xludf.DUMMYFUNCTION("importrange(""https://docs.google.com/spreadsheets/d/1B5DUIq-2eMY-3z6xZAWWTIxKSKLZPrLB_l38NDD4TUE/edit#gid=0"",""sales!B19:F19"")"),0)</f>
        <v>0</v>
      </c>
      <c r="D50" s="51">
        <f ca="1">IFERROR(__xludf.DUMMYFUNCTION("""COMPUTED_VALUE"""),0)</f>
        <v>0</v>
      </c>
      <c r="E50" s="51">
        <f ca="1">IFERROR(__xludf.DUMMYFUNCTION("""COMPUTED_VALUE"""),0)</f>
        <v>0</v>
      </c>
      <c r="F50" s="51">
        <f ca="1">IFERROR(__xludf.DUMMYFUNCTION("""COMPUTED_VALUE"""),0)</f>
        <v>0</v>
      </c>
      <c r="G50" s="52">
        <f ca="1">IFERROR(__xludf.DUMMYFUNCTION("""COMPUTED_VALUE"""),0)</f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5"/>
      <c r="V50" s="35"/>
      <c r="W50" s="35"/>
      <c r="X50" s="2"/>
      <c r="Y50" s="2"/>
      <c r="Z50" s="2"/>
      <c r="AA50" s="2"/>
      <c r="AB50" s="2"/>
    </row>
    <row r="51" spans="1:28" ht="15.75" customHeight="1" thickBot="1">
      <c r="A51" s="129" t="s">
        <v>6</v>
      </c>
      <c r="B51" s="15" t="s">
        <v>20</v>
      </c>
      <c r="C51" s="53">
        <f t="shared" ref="C51:G51" ca="1" si="21">C50*C49</f>
        <v>0</v>
      </c>
      <c r="D51" s="53">
        <f t="shared" ca="1" si="21"/>
        <v>0</v>
      </c>
      <c r="E51" s="53">
        <f t="shared" ca="1" si="21"/>
        <v>0</v>
      </c>
      <c r="F51" s="53">
        <f t="shared" ca="1" si="21"/>
        <v>0</v>
      </c>
      <c r="G51" s="54">
        <f t="shared" ca="1" si="21"/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5"/>
      <c r="V51" s="35"/>
      <c r="W51" s="35"/>
      <c r="X51" s="2"/>
      <c r="Y51" s="2"/>
      <c r="Z51" s="2"/>
      <c r="AA51" s="2"/>
      <c r="AB51" s="2"/>
    </row>
    <row r="52" spans="1:28" ht="15.75" customHeight="1">
      <c r="A52" s="2"/>
      <c r="B52" s="30"/>
      <c r="C52" s="19"/>
      <c r="D52" s="19"/>
      <c r="E52" s="19"/>
      <c r="F52" s="19"/>
      <c r="G52" s="2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5"/>
      <c r="V52" s="35"/>
      <c r="W52" s="35"/>
      <c r="X52" s="2"/>
      <c r="Y52" s="2"/>
      <c r="Z52" s="2"/>
      <c r="AA52" s="2"/>
      <c r="AB52" s="2"/>
    </row>
    <row r="53" spans="1:28" ht="15.75" customHeight="1" thickBot="1">
      <c r="A53" s="2"/>
      <c r="B53" s="30"/>
      <c r="C53" s="19"/>
      <c r="D53" s="19"/>
      <c r="E53" s="19"/>
      <c r="F53" s="19"/>
      <c r="G53" s="2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5"/>
      <c r="V53" s="35"/>
      <c r="W53" s="35"/>
      <c r="X53" s="2"/>
      <c r="Y53" s="2"/>
      <c r="Z53" s="2"/>
      <c r="AA53" s="2"/>
      <c r="AB53" s="2"/>
    </row>
    <row r="54" spans="1:28" ht="15.75" customHeight="1" thickBot="1">
      <c r="A54" s="127" t="s">
        <v>10</v>
      </c>
      <c r="B54" s="8" t="s">
        <v>18</v>
      </c>
      <c r="C54" s="9">
        <f t="shared" ref="C54:G54" ca="1" si="22">C49</f>
        <v>0</v>
      </c>
      <c r="D54" s="9">
        <f t="shared" ca="1" si="22"/>
        <v>0</v>
      </c>
      <c r="E54" s="9">
        <f t="shared" ca="1" si="22"/>
        <v>0</v>
      </c>
      <c r="F54" s="9">
        <f t="shared" ca="1" si="22"/>
        <v>0</v>
      </c>
      <c r="G54" s="10">
        <f t="shared" ca="1" si="22"/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5"/>
      <c r="V54" s="35"/>
      <c r="W54" s="35"/>
      <c r="X54" s="2"/>
      <c r="Y54" s="2"/>
      <c r="Z54" s="2"/>
      <c r="AA54" s="2"/>
      <c r="AB54" s="2"/>
    </row>
    <row r="55" spans="1:28" ht="15.75" customHeight="1" thickBot="1">
      <c r="A55" s="127" t="s">
        <v>10</v>
      </c>
      <c r="B55" s="12" t="s">
        <v>19</v>
      </c>
      <c r="C55" s="51">
        <f t="shared" ref="C55:G55" ca="1" si="23">C50</f>
        <v>0</v>
      </c>
      <c r="D55" s="51">
        <f t="shared" ca="1" si="23"/>
        <v>0</v>
      </c>
      <c r="E55" s="51">
        <f t="shared" ca="1" si="23"/>
        <v>0</v>
      </c>
      <c r="F55" s="51">
        <f t="shared" ca="1" si="23"/>
        <v>0</v>
      </c>
      <c r="G55" s="52">
        <f t="shared" ca="1" si="23"/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7"/>
      <c r="V55" s="37"/>
      <c r="W55" s="37"/>
      <c r="X55" s="2"/>
      <c r="Y55" s="2"/>
      <c r="Z55" s="22"/>
      <c r="AA55" s="22"/>
      <c r="AB55" s="22"/>
    </row>
    <row r="56" spans="1:28" ht="15.75" customHeight="1" thickBot="1">
      <c r="A56" s="127" t="s">
        <v>10</v>
      </c>
      <c r="B56" s="15" t="s">
        <v>20</v>
      </c>
      <c r="C56" s="53">
        <f t="shared" ref="C56:G56" ca="1" si="24">C51</f>
        <v>0</v>
      </c>
      <c r="D56" s="53">
        <f t="shared" ca="1" si="24"/>
        <v>0</v>
      </c>
      <c r="E56" s="53">
        <f t="shared" ca="1" si="24"/>
        <v>0</v>
      </c>
      <c r="F56" s="53">
        <f t="shared" ca="1" si="24"/>
        <v>0</v>
      </c>
      <c r="G56" s="54">
        <f t="shared" ca="1" si="24"/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7"/>
      <c r="V56" s="37"/>
      <c r="W56" s="37"/>
      <c r="X56" s="2"/>
      <c r="Y56" s="2"/>
      <c r="Z56" s="22"/>
      <c r="AA56" s="22"/>
      <c r="AB56" s="22"/>
    </row>
    <row r="57" spans="1:28" ht="15.75" customHeight="1">
      <c r="A57" s="2"/>
      <c r="B57" s="30"/>
      <c r="C57" s="38"/>
      <c r="D57" s="19"/>
      <c r="E57" s="19"/>
      <c r="F57" s="19"/>
      <c r="G57" s="2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7"/>
      <c r="V57" s="37"/>
      <c r="W57" s="37"/>
      <c r="X57" s="2"/>
      <c r="Y57" s="2"/>
      <c r="Z57" s="22"/>
      <c r="AA57" s="22"/>
      <c r="AB57" s="22"/>
    </row>
    <row r="58" spans="1:28" ht="15.75" customHeight="1" thickBot="1">
      <c r="A58" s="2"/>
      <c r="B58" s="30"/>
      <c r="C58" s="38"/>
      <c r="D58" s="19"/>
      <c r="E58" s="19"/>
      <c r="F58" s="19"/>
      <c r="G58" s="2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7"/>
      <c r="V58" s="37"/>
      <c r="W58" s="37"/>
      <c r="X58" s="2"/>
      <c r="Y58" s="2"/>
      <c r="Z58" s="22"/>
      <c r="AA58" s="22"/>
      <c r="AB58" s="22"/>
    </row>
    <row r="59" spans="1:28" ht="15.75" customHeight="1" thickBot="1">
      <c r="A59" s="128" t="s">
        <v>11</v>
      </c>
      <c r="B59" s="8" t="s">
        <v>18</v>
      </c>
      <c r="C59" s="21">
        <f t="shared" ref="C59:G59" ca="1" si="25">C54-C49</f>
        <v>0</v>
      </c>
      <c r="D59" s="21">
        <f t="shared" ca="1" si="25"/>
        <v>0</v>
      </c>
      <c r="E59" s="21">
        <f t="shared" ca="1" si="25"/>
        <v>0</v>
      </c>
      <c r="F59" s="21">
        <f t="shared" ca="1" si="25"/>
        <v>0</v>
      </c>
      <c r="G59" s="31">
        <f t="shared" ca="1" si="25"/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7"/>
      <c r="V59" s="37"/>
      <c r="W59" s="37"/>
      <c r="X59" s="2"/>
      <c r="Y59" s="2"/>
      <c r="Z59" s="22"/>
      <c r="AA59" s="22"/>
      <c r="AB59" s="22"/>
    </row>
    <row r="60" spans="1:28" ht="15.75" customHeight="1" thickBot="1">
      <c r="A60" s="128" t="s">
        <v>11</v>
      </c>
      <c r="B60" s="12" t="s">
        <v>19</v>
      </c>
      <c r="C60" s="56">
        <f t="shared" ref="C60:G60" ca="1" si="26">C55-C50</f>
        <v>0</v>
      </c>
      <c r="D60" s="56">
        <f t="shared" ca="1" si="26"/>
        <v>0</v>
      </c>
      <c r="E60" s="56">
        <f t="shared" ca="1" si="26"/>
        <v>0</v>
      </c>
      <c r="F60" s="56">
        <f t="shared" ca="1" si="26"/>
        <v>0</v>
      </c>
      <c r="G60" s="58">
        <f t="shared" ca="1" si="26"/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/>
      <c r="X60" s="2"/>
      <c r="Y60" s="2"/>
      <c r="Z60" s="39"/>
      <c r="AA60" s="39"/>
      <c r="AB60" s="39"/>
    </row>
    <row r="61" spans="1:28" ht="15.75" customHeight="1" thickBot="1">
      <c r="A61" s="128" t="s">
        <v>11</v>
      </c>
      <c r="B61" s="15" t="s">
        <v>20</v>
      </c>
      <c r="C61" s="59">
        <f t="shared" ref="C61:G61" ca="1" si="27">C56-C51</f>
        <v>0</v>
      </c>
      <c r="D61" s="59">
        <f t="shared" ca="1" si="27"/>
        <v>0</v>
      </c>
      <c r="E61" s="59">
        <f t="shared" ca="1" si="27"/>
        <v>0</v>
      </c>
      <c r="F61" s="59">
        <f t="shared" ca="1" si="27"/>
        <v>0</v>
      </c>
      <c r="G61" s="60">
        <f t="shared" ca="1" si="27"/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/>
      <c r="X61" s="2"/>
      <c r="Y61" s="2"/>
      <c r="Z61" s="39"/>
      <c r="AA61" s="39"/>
      <c r="AB61" s="39"/>
    </row>
    <row r="62" spans="1:28" ht="15.75" customHeight="1">
      <c r="A62" s="2"/>
      <c r="B62" s="30"/>
      <c r="C62" s="19"/>
      <c r="D62" s="38"/>
      <c r="E62" s="19"/>
      <c r="F62" s="19"/>
      <c r="G62" s="2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7"/>
      <c r="V62" s="37"/>
      <c r="W62" s="37"/>
      <c r="X62" s="2"/>
      <c r="Y62" s="2"/>
      <c r="Z62" s="22"/>
      <c r="AA62" s="22"/>
      <c r="AB62" s="22"/>
    </row>
    <row r="63" spans="1:28" ht="15.75" customHeight="1">
      <c r="A63" s="2"/>
      <c r="B63" s="30"/>
      <c r="C63" s="38"/>
      <c r="D63" s="38"/>
      <c r="E63" s="19"/>
      <c r="F63" s="19"/>
      <c r="G63" s="2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37"/>
      <c r="X63" s="2"/>
      <c r="Y63" s="2"/>
      <c r="Z63" s="39"/>
      <c r="AA63" s="39"/>
      <c r="AB63" s="22"/>
    </row>
    <row r="64" spans="1:28" ht="15.75" customHeight="1" thickBot="1">
      <c r="A64" s="2"/>
      <c r="B64" s="30"/>
      <c r="C64" s="40"/>
      <c r="D64" s="38"/>
      <c r="E64" s="19"/>
      <c r="F64" s="19"/>
      <c r="G64" s="2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/>
      <c r="X64" s="2"/>
      <c r="Y64" s="2"/>
      <c r="Z64" s="39"/>
      <c r="AA64" s="39"/>
      <c r="AB64" s="39"/>
    </row>
    <row r="65" spans="1:28" ht="20" thickBot="1">
      <c r="A65" s="125" t="s">
        <v>21</v>
      </c>
      <c r="B65" s="8" t="s">
        <v>22</v>
      </c>
      <c r="C65" s="41">
        <f t="shared" ref="C65:G65" ca="1" si="28">C54+C38+C23+C7</f>
        <v>5</v>
      </c>
      <c r="D65" s="41">
        <f t="shared" ca="1" si="28"/>
        <v>50</v>
      </c>
      <c r="E65" s="41">
        <f t="shared" ca="1" si="28"/>
        <v>100</v>
      </c>
      <c r="F65" s="41">
        <f t="shared" ca="1" si="28"/>
        <v>140</v>
      </c>
      <c r="G65" s="41">
        <f t="shared" ca="1" si="28"/>
        <v>190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42"/>
      <c r="W65" s="42"/>
      <c r="X65" s="2"/>
      <c r="Y65" s="2"/>
      <c r="Z65" s="2"/>
      <c r="AA65" s="2"/>
      <c r="AB65" s="2"/>
    </row>
    <row r="66" spans="1:28" ht="20" thickBot="1">
      <c r="A66" s="125" t="s">
        <v>21</v>
      </c>
      <c r="B66" s="12" t="s">
        <v>23</v>
      </c>
      <c r="C66" s="62">
        <f t="shared" ref="C66:G66" ca="1" si="29">C67/C65</f>
        <v>1100</v>
      </c>
      <c r="D66" s="62">
        <f t="shared" ca="1" si="29"/>
        <v>1100</v>
      </c>
      <c r="E66" s="62">
        <f t="shared" ca="1" si="29"/>
        <v>1100</v>
      </c>
      <c r="F66" s="62">
        <f t="shared" ca="1" si="29"/>
        <v>1100</v>
      </c>
      <c r="G66" s="62">
        <f t="shared" ca="1" si="29"/>
        <v>1100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7"/>
      <c r="V66" s="37"/>
      <c r="W66" s="37"/>
      <c r="X66" s="2"/>
      <c r="Y66" s="2"/>
      <c r="Z66" s="2"/>
      <c r="AA66" s="2"/>
      <c r="AB66" s="2"/>
    </row>
    <row r="67" spans="1:28" ht="20" thickBot="1">
      <c r="A67" s="125" t="s">
        <v>21</v>
      </c>
      <c r="B67" s="15" t="s">
        <v>24</v>
      </c>
      <c r="C67" s="63">
        <f t="shared" ref="C67:G67" ca="1" si="30">C56+C40+C20+C9</f>
        <v>5500</v>
      </c>
      <c r="D67" s="63">
        <f t="shared" ca="1" si="30"/>
        <v>55000</v>
      </c>
      <c r="E67" s="63">
        <f t="shared" ca="1" si="30"/>
        <v>110000</v>
      </c>
      <c r="F67" s="63">
        <f t="shared" ca="1" si="30"/>
        <v>154000</v>
      </c>
      <c r="G67" s="63">
        <f t="shared" ca="1" si="30"/>
        <v>209000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7"/>
      <c r="V67" s="37"/>
      <c r="W67" s="37"/>
      <c r="X67" s="2"/>
      <c r="Y67" s="2"/>
      <c r="Z67" s="2"/>
      <c r="AA67" s="2"/>
      <c r="AB67" s="2"/>
    </row>
    <row r="68" spans="1:28" ht="19">
      <c r="A68" s="18"/>
      <c r="B68" s="18"/>
      <c r="C68" s="45"/>
      <c r="D68" s="45"/>
      <c r="E68" s="45"/>
      <c r="F68" s="45"/>
      <c r="G68" s="4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7"/>
      <c r="V68" s="37"/>
      <c r="W68" s="37"/>
      <c r="X68" s="2"/>
      <c r="Y68" s="2"/>
      <c r="Z68" s="2"/>
      <c r="AA68" s="2"/>
      <c r="AB68" s="2"/>
    </row>
    <row r="69" spans="1:28" ht="19">
      <c r="A69" s="18"/>
      <c r="B69" s="2"/>
      <c r="C69" s="39"/>
      <c r="D69" s="2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7"/>
      <c r="V69" s="37"/>
      <c r="W69" s="37"/>
      <c r="X69" s="2"/>
      <c r="Y69" s="2"/>
      <c r="Z69" s="2"/>
      <c r="AA69" s="2"/>
      <c r="AB69" s="2"/>
    </row>
    <row r="70" spans="1:28" ht="15">
      <c r="A70" s="2"/>
      <c r="B70" s="2"/>
      <c r="C70" s="39"/>
      <c r="D70" s="39"/>
      <c r="E70" s="2"/>
      <c r="F70" s="2"/>
      <c r="G70" s="64">
        <f ca="1">D67+E67+F67+G67</f>
        <v>528000</v>
      </c>
      <c r="H70" s="2"/>
      <c r="I70" s="4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7"/>
      <c r="V70" s="37"/>
      <c r="W70" s="37"/>
      <c r="X70" s="2"/>
      <c r="Y70" s="2"/>
      <c r="Z70" s="2"/>
      <c r="AA70" s="2"/>
      <c r="AB70" s="2"/>
    </row>
    <row r="71" spans="1:28" ht="15">
      <c r="A71" s="2"/>
      <c r="B71" s="2"/>
      <c r="C71" s="22"/>
      <c r="D71" s="39"/>
      <c r="E71" s="2"/>
      <c r="F71" s="2"/>
      <c r="G71" s="2"/>
      <c r="H71" s="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7"/>
      <c r="V71" s="37"/>
      <c r="W71" s="37"/>
      <c r="X71" s="2"/>
      <c r="Y71" s="2"/>
      <c r="Z71" s="2"/>
      <c r="AA71" s="2"/>
      <c r="AB71" s="2"/>
    </row>
    <row r="72" spans="1:28" ht="15">
      <c r="A72" s="2"/>
      <c r="B72" s="2"/>
      <c r="C72" s="22"/>
      <c r="D72" s="2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7"/>
      <c r="V72" s="37"/>
      <c r="W72" s="37"/>
      <c r="X72" s="2"/>
      <c r="Y72" s="2"/>
      <c r="Z72" s="2"/>
      <c r="AA72" s="2"/>
      <c r="AB72" s="2"/>
    </row>
    <row r="73" spans="1:28" ht="15">
      <c r="A73" s="2"/>
      <c r="B73" s="2"/>
      <c r="C73" s="22"/>
      <c r="D73" s="2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7"/>
      <c r="V73" s="37"/>
      <c r="W73" s="37"/>
      <c r="X73" s="2"/>
      <c r="Y73" s="2"/>
      <c r="Z73" s="2"/>
      <c r="AA73" s="2"/>
      <c r="AB73" s="2"/>
    </row>
    <row r="74" spans="1:28" ht="15">
      <c r="A74" s="2"/>
      <c r="B74" s="2"/>
      <c r="C74" s="22"/>
      <c r="D74" s="3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/>
      <c r="X74" s="2"/>
      <c r="Y74" s="2"/>
      <c r="Z74" s="2"/>
      <c r="AA74" s="2"/>
      <c r="AB74" s="2"/>
    </row>
    <row r="75" spans="1:28" ht="15">
      <c r="A75" s="2"/>
      <c r="B75" s="2"/>
      <c r="C75" s="3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/>
      <c r="X75" s="2"/>
      <c r="Y75" s="2"/>
      <c r="Z75" s="2"/>
      <c r="AA75" s="2"/>
      <c r="AB75" s="2"/>
    </row>
    <row r="76" spans="1:28" ht="15">
      <c r="A76" s="2"/>
      <c r="B76" s="2"/>
      <c r="C76" s="3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42"/>
      <c r="V76" s="42"/>
      <c r="W76" s="35"/>
      <c r="X76" s="2"/>
      <c r="Y76" s="2"/>
      <c r="Z76" s="2"/>
      <c r="AA76" s="2"/>
      <c r="AB76" s="2"/>
    </row>
    <row r="77" spans="1:28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>
      <c r="A78" s="2"/>
      <c r="B78" s="48"/>
      <c r="C78" s="48"/>
      <c r="D78" s="48"/>
      <c r="E78" s="48"/>
      <c r="F78" s="48"/>
      <c r="G78" s="48"/>
      <c r="H78" s="22"/>
      <c r="I78" s="2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">
      <c r="A79" s="2"/>
      <c r="B79" s="18"/>
      <c r="C79" s="49"/>
      <c r="D79" s="49"/>
      <c r="E79" s="49"/>
      <c r="F79" s="49"/>
      <c r="G79" s="49"/>
      <c r="H79" s="22"/>
      <c r="I79" s="22"/>
      <c r="J79" s="22"/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">
      <c r="A80" s="2"/>
      <c r="B80" s="48"/>
      <c r="C80" s="50"/>
      <c r="D80" s="50"/>
      <c r="E80" s="50"/>
      <c r="F80" s="50"/>
      <c r="G80" s="50"/>
      <c r="H80" s="22"/>
      <c r="I80" s="22"/>
      <c r="J80" s="22"/>
      <c r="K80" s="2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">
      <c r="A81" s="2"/>
      <c r="B81" s="48"/>
      <c r="C81" s="50"/>
      <c r="D81" s="50"/>
      <c r="E81" s="50"/>
      <c r="F81" s="50"/>
      <c r="G81" s="50"/>
      <c r="H81" s="22"/>
      <c r="I81" s="22"/>
      <c r="J81" s="22"/>
      <c r="K81" s="2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>
      <c r="A82" s="2"/>
      <c r="B82" s="2"/>
      <c r="C82" s="2"/>
      <c r="D82" s="2"/>
      <c r="E82" s="2"/>
      <c r="F82" s="2"/>
      <c r="G82" s="2"/>
      <c r="H82" s="22"/>
      <c r="I82" s="22"/>
      <c r="J82" s="22"/>
      <c r="K82" s="2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>
      <c r="A83" s="2"/>
      <c r="B83" s="2"/>
      <c r="C83" s="22"/>
      <c r="D83" s="2"/>
      <c r="E83" s="2"/>
      <c r="F83" s="2"/>
      <c r="G83" s="2"/>
      <c r="H83" s="2"/>
      <c r="I83" s="2"/>
      <c r="J83" s="2"/>
      <c r="K83" s="2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">
      <c r="A84" s="2"/>
      <c r="B84" s="18"/>
      <c r="C84" s="49"/>
      <c r="D84" s="49"/>
      <c r="E84" s="49"/>
      <c r="F84" s="49"/>
      <c r="G84" s="4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">
      <c r="A85" s="2"/>
      <c r="B85" s="18"/>
      <c r="C85" s="50"/>
      <c r="D85" s="50"/>
      <c r="E85" s="50"/>
      <c r="F85" s="50"/>
      <c r="G85" s="50"/>
      <c r="H85" s="22"/>
      <c r="I85" s="2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">
      <c r="A86" s="2"/>
      <c r="B86" s="18"/>
      <c r="C86" s="50"/>
      <c r="D86" s="50"/>
      <c r="E86" s="50"/>
      <c r="F86" s="50"/>
      <c r="G86" s="50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>
      <c r="A88" s="2"/>
      <c r="B88" s="2"/>
      <c r="C88" s="39"/>
      <c r="D88" s="2"/>
      <c r="E88" s="2"/>
      <c r="F88" s="2"/>
      <c r="G88" s="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>
      <c r="A89" s="2"/>
      <c r="B89" s="2"/>
      <c r="C89" s="39"/>
      <c r="D89" s="2"/>
      <c r="E89" s="2"/>
      <c r="F89" s="2"/>
      <c r="G89" s="2"/>
      <c r="H89" s="22"/>
      <c r="I89" s="2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>
      <c r="A90" s="2"/>
      <c r="B90" s="2"/>
      <c r="C90" s="22"/>
      <c r="D90" s="2"/>
      <c r="E90" s="2"/>
      <c r="F90" s="2"/>
      <c r="G90" s="2"/>
      <c r="H90" s="22"/>
      <c r="I90" s="22"/>
      <c r="J90" s="22"/>
      <c r="K90" s="2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>
      <c r="A91" s="2"/>
      <c r="B91" s="2"/>
      <c r="C91" s="39"/>
      <c r="D91" s="2"/>
      <c r="E91" s="2"/>
      <c r="F91" s="2"/>
      <c r="G91" s="2"/>
      <c r="H91" s="22"/>
      <c r="I91" s="22"/>
      <c r="J91" s="22"/>
      <c r="K91" s="2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>
      <c r="A92" s="2"/>
      <c r="B92" s="2"/>
      <c r="C92" s="39"/>
      <c r="D92" s="2"/>
      <c r="E92" s="2"/>
      <c r="F92" s="2"/>
      <c r="G92" s="2"/>
      <c r="H92" s="22"/>
      <c r="I92" s="22"/>
      <c r="J92" s="22"/>
      <c r="K92" s="2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>
      <c r="A93" s="2"/>
      <c r="B93" s="2"/>
      <c r="C93" s="2"/>
      <c r="D93" s="2"/>
      <c r="E93" s="2"/>
      <c r="F93" s="2"/>
      <c r="G93" s="2"/>
      <c r="H93" s="22"/>
      <c r="I93" s="22"/>
      <c r="J93" s="22"/>
      <c r="K93" s="2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>
      <c r="A94" s="2"/>
      <c r="B94" s="2"/>
      <c r="C94" s="22"/>
      <c r="D94" s="2"/>
      <c r="E94" s="2"/>
      <c r="F94" s="2"/>
      <c r="G94" s="2"/>
      <c r="H94" s="22"/>
      <c r="I94" s="22"/>
      <c r="J94" s="22"/>
      <c r="K94" s="2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>
      <c r="A95" s="2"/>
      <c r="B95" s="2"/>
      <c r="C95" s="22"/>
      <c r="D95" s="2"/>
      <c r="E95" s="2"/>
      <c r="F95" s="2"/>
      <c r="G95" s="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>
      <c r="A96" s="2"/>
      <c r="B96" s="2"/>
      <c r="C96" s="22"/>
      <c r="D96" s="2"/>
      <c r="E96" s="2"/>
      <c r="F96" s="2"/>
      <c r="G96" s="2"/>
      <c r="H96" s="22"/>
      <c r="I96" s="22"/>
      <c r="J96" s="39"/>
      <c r="K96" s="2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>
      <c r="A97" s="2"/>
      <c r="B97" s="2"/>
      <c r="C97" s="22"/>
      <c r="D97" s="2"/>
      <c r="E97" s="2"/>
      <c r="F97" s="2"/>
      <c r="G97" s="2"/>
      <c r="H97" s="2"/>
      <c r="I97" s="2"/>
      <c r="J97" s="39"/>
      <c r="K97" s="2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>
      <c r="A102" s="2"/>
      <c r="B102" s="2"/>
      <c r="C102" s="3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>
      <c r="A103" s="2"/>
      <c r="B103" s="2"/>
      <c r="C103" s="3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34"/>
  <sheetViews>
    <sheetView workbookViewId="0"/>
  </sheetViews>
  <sheetFormatPr baseColWidth="10" defaultColWidth="12.6640625" defaultRowHeight="15.75" customHeight="1"/>
  <cols>
    <col min="1" max="1" width="35.33203125" customWidth="1"/>
    <col min="5" max="5" width="16.1640625" customWidth="1"/>
  </cols>
  <sheetData>
    <row r="1" spans="1:6" ht="15.75" customHeight="1">
      <c r="A1" s="1" t="str">
        <f ca="1">IFERROR(__xludf.DUMMYFUNCTION("IMPORTRANGE(""https://docs.google.com/spreadsheets/d/10UYU3y3IjPXZq55W8Vjx-Lk_NCQgyMrPR4v0_SDPsMk/edit#gid=0"", ""Paid ISTs!A1:F31"")"),"")</f>
        <v/>
      </c>
      <c r="B1" s="1" t="str">
        <f ca="1">IFERROR(__xludf.DUMMYFUNCTION("""COMPUTED_VALUE"""),"forecast")</f>
        <v>forecast</v>
      </c>
      <c r="C1" s="1" t="str">
        <f ca="1">IFERROR(__xludf.DUMMYFUNCTION("""COMPUTED_VALUE"""),"forecast")</f>
        <v>forecast</v>
      </c>
      <c r="D1" s="1" t="str">
        <f ca="1">IFERROR(__xludf.DUMMYFUNCTION("""COMPUTED_VALUE"""),"forecast")</f>
        <v>forecast</v>
      </c>
      <c r="E1" s="1" t="str">
        <f ca="1">IFERROR(__xludf.DUMMYFUNCTION("""COMPUTED_VALUE"""),"forecast")</f>
        <v>forecast</v>
      </c>
      <c r="F1" s="1" t="str">
        <f ca="1">IFERROR(__xludf.DUMMYFUNCTION("""COMPUTED_VALUE"""),"forecast")</f>
        <v>forecast</v>
      </c>
    </row>
    <row r="2" spans="1:6" ht="15.75" customHeight="1">
      <c r="A2" s="1"/>
      <c r="B2" s="1" t="str">
        <f ca="1">IFERROR(__xludf.DUMMYFUNCTION("""COMPUTED_VALUE"""),"Q4 2023")</f>
        <v>Q4 2023</v>
      </c>
      <c r="C2" s="1" t="str">
        <f ca="1">IFERROR(__xludf.DUMMYFUNCTION("""COMPUTED_VALUE"""),"Q1 2024")</f>
        <v>Q1 2024</v>
      </c>
      <c r="D2" s="1" t="str">
        <f ca="1">IFERROR(__xludf.DUMMYFUNCTION("""COMPUTED_VALUE"""),"Q2 2022")</f>
        <v>Q2 2022</v>
      </c>
      <c r="E2" s="1" t="str">
        <f ca="1">IFERROR(__xludf.DUMMYFUNCTION("""COMPUTED_VALUE"""),"Q3 202")</f>
        <v>Q3 202</v>
      </c>
      <c r="F2" s="1" t="str">
        <f ca="1">IFERROR(__xludf.DUMMYFUNCTION("""COMPUTED_VALUE"""),"Q4 2024")</f>
        <v>Q4 2024</v>
      </c>
    </row>
    <row r="3" spans="1:6" ht="15.75" customHeight="1">
      <c r="A3" s="1" t="str">
        <f ca="1">IFERROR(__xludf.DUMMYFUNCTION("""COMPUTED_VALUE"""),"G360 CDx/74 genes sample volume forecast")</f>
        <v>G360 CDx/74 genes sample volume forecast</v>
      </c>
      <c r="B3" s="1">
        <f ca="1">IFERROR(__xludf.DUMMYFUNCTION("""COMPUTED_VALUE"""),182)</f>
        <v>182</v>
      </c>
      <c r="C3" s="1">
        <f ca="1">IFERROR(__xludf.DUMMYFUNCTION("""COMPUTED_VALUE"""),128)</f>
        <v>128</v>
      </c>
      <c r="D3" s="1">
        <f ca="1">IFERROR(__xludf.DUMMYFUNCTION("""COMPUTED_VALUE"""),98)</f>
        <v>98</v>
      </c>
      <c r="E3" s="1">
        <f ca="1">IFERROR(__xludf.DUMMYFUNCTION("""COMPUTED_VALUE"""),98)</f>
        <v>98</v>
      </c>
      <c r="F3" s="1">
        <f ca="1">IFERROR(__xludf.DUMMYFUNCTION("""COMPUTED_VALUE"""),98)</f>
        <v>98</v>
      </c>
    </row>
    <row r="4" spans="1:6" ht="15.75" customHeight="1">
      <c r="A4" s="1" t="str">
        <f ca="1">IFERROR(__xludf.DUMMYFUNCTION("""COMPUTED_VALUE"""),"Average Revenue per Case - G360 CDx/74 ")</f>
        <v xml:space="preserve">Average Revenue per Case - G360 CDx/74 </v>
      </c>
      <c r="B4" s="81">
        <f ca="1">IFERROR(__xludf.DUMMYFUNCTION("""COMPUTED_VALUE"""),959.890109890109)</f>
        <v>959.89010989010899</v>
      </c>
      <c r="C4" s="81">
        <f ca="1">IFERROR(__xludf.DUMMYFUNCTION("""COMPUTED_VALUE"""),1115.46875)</f>
        <v>1115.46875</v>
      </c>
      <c r="D4" s="81">
        <f ca="1">IFERROR(__xludf.DUMMYFUNCTION("""COMPUTED_VALUE"""),1075.81632653061)</f>
        <v>1075.81632653061</v>
      </c>
      <c r="E4" s="81">
        <f ca="1">IFERROR(__xludf.DUMMYFUNCTION("""COMPUTED_VALUE"""),1075.81632653061)</f>
        <v>1075.81632653061</v>
      </c>
      <c r="F4" s="81">
        <f ca="1">IFERROR(__xludf.DUMMYFUNCTION("""COMPUTED_VALUE"""),1075.81632653061)</f>
        <v>1075.81632653061</v>
      </c>
    </row>
    <row r="5" spans="1:6" ht="15.75" customHeight="1">
      <c r="A5" s="1" t="str">
        <f ca="1">IFERROR(__xludf.DUMMYFUNCTION("""COMPUTED_VALUE"""),"Revenue per quarter - G360 CDx/74 ")</f>
        <v xml:space="preserve">Revenue per quarter - G360 CDx/74 </v>
      </c>
      <c r="B5" s="81">
        <f ca="1">IFERROR(__xludf.DUMMYFUNCTION("""COMPUTED_VALUE"""),174700)</f>
        <v>174700</v>
      </c>
      <c r="C5" s="81">
        <f ca="1">IFERROR(__xludf.DUMMYFUNCTION("""COMPUTED_VALUE"""),142780)</f>
        <v>142780</v>
      </c>
      <c r="D5" s="81">
        <f ca="1">IFERROR(__xludf.DUMMYFUNCTION("""COMPUTED_VALUE"""),105430)</f>
        <v>105430</v>
      </c>
      <c r="E5" s="81">
        <f ca="1">IFERROR(__xludf.DUMMYFUNCTION("""COMPUTED_VALUE"""),105430)</f>
        <v>105430</v>
      </c>
      <c r="F5" s="81">
        <f ca="1">IFERROR(__xludf.DUMMYFUNCTION("""COMPUTED_VALUE"""),105430)</f>
        <v>105430</v>
      </c>
    </row>
    <row r="6" spans="1:6" ht="15.75" customHeight="1">
      <c r="A6" s="1"/>
      <c r="B6" s="1"/>
      <c r="C6" s="1"/>
      <c r="D6" s="1"/>
      <c r="E6" s="1"/>
      <c r="F6" s="1"/>
    </row>
    <row r="7" spans="1:6" ht="15.75" customHeight="1">
      <c r="A7" s="1"/>
      <c r="B7" s="1"/>
      <c r="C7" s="1"/>
      <c r="D7" s="1"/>
      <c r="E7" s="1"/>
      <c r="F7" s="1"/>
    </row>
    <row r="8" spans="1:6" ht="15.75" customHeight="1">
      <c r="A8" s="1" t="str">
        <f ca="1">IFERROR(__xludf.DUMMYFUNCTION("""COMPUTED_VALUE"""),"G360  83/S3  genes sample volume forecast")</f>
        <v>G360  83/S3  genes sample volume forecast</v>
      </c>
      <c r="B8" s="1">
        <f ca="1">IFERROR(__xludf.DUMMYFUNCTION("""COMPUTED_VALUE"""),30)</f>
        <v>30</v>
      </c>
      <c r="C8" s="1">
        <f ca="1">IFERROR(__xludf.DUMMYFUNCTION("""COMPUTED_VALUE"""),30)</f>
        <v>30</v>
      </c>
      <c r="D8" s="1">
        <f ca="1">IFERROR(__xludf.DUMMYFUNCTION("""COMPUTED_VALUE"""),30)</f>
        <v>30</v>
      </c>
      <c r="E8" s="1">
        <f ca="1">IFERROR(__xludf.DUMMYFUNCTION("""COMPUTED_VALUE"""),30)</f>
        <v>30</v>
      </c>
      <c r="F8" s="1">
        <f ca="1">IFERROR(__xludf.DUMMYFUNCTION("""COMPUTED_VALUE"""),30)</f>
        <v>30</v>
      </c>
    </row>
    <row r="9" spans="1:6" ht="15.75" customHeight="1">
      <c r="A9" s="1" t="str">
        <f ca="1">IFERROR(__xludf.DUMMYFUNCTION("""COMPUTED_VALUE"""),"Average Revenue per Case - G360  84 genes ")</f>
        <v xml:space="preserve">Average Revenue per Case - G360  84 genes </v>
      </c>
      <c r="B9" s="81">
        <f ca="1">IFERROR(__xludf.DUMMYFUNCTION("""COMPUTED_VALUE"""),453.333333333333)</f>
        <v>453.33333333333297</v>
      </c>
      <c r="C9" s="81">
        <f ca="1">IFERROR(__xludf.DUMMYFUNCTION("""COMPUTED_VALUE"""),0)</f>
        <v>0</v>
      </c>
      <c r="D9" s="81">
        <f ca="1">IFERROR(__xludf.DUMMYFUNCTION("""COMPUTED_VALUE"""),0)</f>
        <v>0</v>
      </c>
      <c r="E9" s="81">
        <f ca="1">IFERROR(__xludf.DUMMYFUNCTION("""COMPUTED_VALUE"""),0)</f>
        <v>0</v>
      </c>
      <c r="F9" s="81">
        <f ca="1">IFERROR(__xludf.DUMMYFUNCTION("""COMPUTED_VALUE"""),0)</f>
        <v>0</v>
      </c>
    </row>
    <row r="10" spans="1:6" ht="15.75" customHeight="1">
      <c r="A10" s="1" t="str">
        <f ca="1">IFERROR(__xludf.DUMMYFUNCTION("""COMPUTED_VALUE"""),"Revenue per quarter - G360  84 genes ")</f>
        <v xml:space="preserve">Revenue per quarter - G360  84 genes </v>
      </c>
      <c r="B10" s="81">
        <f ca="1">IFERROR(__xludf.DUMMYFUNCTION("""COMPUTED_VALUE"""),13600)</f>
        <v>13600</v>
      </c>
      <c r="C10" s="81">
        <f ca="1">IFERROR(__xludf.DUMMYFUNCTION("""COMPUTED_VALUE"""),13600)</f>
        <v>13600</v>
      </c>
      <c r="D10" s="81">
        <f ca="1">IFERROR(__xludf.DUMMYFUNCTION("""COMPUTED_VALUE"""),13600)</f>
        <v>13600</v>
      </c>
      <c r="E10" s="81">
        <f ca="1">IFERROR(__xludf.DUMMYFUNCTION("""COMPUTED_VALUE"""),13600)</f>
        <v>13600</v>
      </c>
      <c r="F10" s="81">
        <f ca="1">IFERROR(__xludf.DUMMYFUNCTION("""COMPUTED_VALUE"""),13600)</f>
        <v>13600</v>
      </c>
    </row>
    <row r="11" spans="1:6" ht="15.75" customHeight="1">
      <c r="A11" s="1"/>
      <c r="B11" s="1"/>
      <c r="C11" s="1"/>
      <c r="D11" s="1"/>
      <c r="E11" s="1"/>
      <c r="F11" s="1"/>
    </row>
    <row r="12" spans="1:6" ht="15.75" customHeight="1">
      <c r="A12" s="1"/>
      <c r="B12" s="1"/>
      <c r="C12" s="1"/>
      <c r="D12" s="1"/>
      <c r="E12" s="1"/>
      <c r="F12" s="1"/>
    </row>
    <row r="13" spans="1:6" ht="15.75" customHeight="1">
      <c r="A13" s="1" t="str">
        <f ca="1">IFERROR(__xludf.DUMMYFUNCTION("""COMPUTED_VALUE"""),"Reveal/Reveal Infinity sample volume forecast")</f>
        <v>Reveal/Reveal Infinity sample volume forecast</v>
      </c>
      <c r="B13" s="1">
        <f ca="1">IFERROR(__xludf.DUMMYFUNCTION("""COMPUTED_VALUE"""),84)</f>
        <v>84</v>
      </c>
      <c r="C13" s="1">
        <f ca="1">IFERROR(__xludf.DUMMYFUNCTION("""COMPUTED_VALUE"""),0)</f>
        <v>0</v>
      </c>
      <c r="D13" s="1">
        <f ca="1">IFERROR(__xludf.DUMMYFUNCTION("""COMPUTED_VALUE"""),0)</f>
        <v>0</v>
      </c>
      <c r="E13" s="1">
        <f ca="1">IFERROR(__xludf.DUMMYFUNCTION("""COMPUTED_VALUE"""),0)</f>
        <v>0</v>
      </c>
      <c r="F13" s="1">
        <f ca="1">IFERROR(__xludf.DUMMYFUNCTION("""COMPUTED_VALUE"""),0)</f>
        <v>0</v>
      </c>
    </row>
    <row r="14" spans="1:6" ht="15.75" customHeight="1">
      <c r="A14" s="1" t="str">
        <f ca="1">IFERROR(__xludf.DUMMYFUNCTION("""COMPUTED_VALUE"""),"Average Revenue per Case -  Reveal")</f>
        <v>Average Revenue per Case -  Reveal</v>
      </c>
      <c r="B14" s="81">
        <f ca="1">IFERROR(__xludf.DUMMYFUNCTION("""COMPUTED_VALUE"""),1700)</f>
        <v>1700</v>
      </c>
      <c r="C14" s="81">
        <f ca="1">IFERROR(__xludf.DUMMYFUNCTION("""COMPUTED_VALUE"""),0)</f>
        <v>0</v>
      </c>
      <c r="D14" s="81">
        <f ca="1">IFERROR(__xludf.DUMMYFUNCTION("""COMPUTED_VALUE"""),0)</f>
        <v>0</v>
      </c>
      <c r="E14" s="81">
        <f ca="1">IFERROR(__xludf.DUMMYFUNCTION("""COMPUTED_VALUE"""),0)</f>
        <v>0</v>
      </c>
      <c r="F14" s="81">
        <f ca="1">IFERROR(__xludf.DUMMYFUNCTION("""COMPUTED_VALUE"""),0)</f>
        <v>0</v>
      </c>
    </row>
    <row r="15" spans="1:6" ht="15.75" customHeight="1">
      <c r="A15" s="1" t="str">
        <f ca="1">IFERROR(__xludf.DUMMYFUNCTION("""COMPUTED_VALUE""")," Revenue per quarter Reveal")</f>
        <v xml:space="preserve"> Revenue per quarter Reveal</v>
      </c>
      <c r="B15" s="81">
        <f ca="1">IFERROR(__xludf.DUMMYFUNCTION("""COMPUTED_VALUE"""),142800)</f>
        <v>142800</v>
      </c>
      <c r="C15" s="81">
        <f ca="1">IFERROR(__xludf.DUMMYFUNCTION("""COMPUTED_VALUE"""),0)</f>
        <v>0</v>
      </c>
      <c r="D15" s="81">
        <f ca="1">IFERROR(__xludf.DUMMYFUNCTION("""COMPUTED_VALUE"""),0)</f>
        <v>0</v>
      </c>
      <c r="E15" s="81">
        <f ca="1">IFERROR(__xludf.DUMMYFUNCTION("""COMPUTED_VALUE"""),0)</f>
        <v>0</v>
      </c>
      <c r="F15" s="81">
        <f ca="1">IFERROR(__xludf.DUMMYFUNCTION("""COMPUTED_VALUE"""),0)</f>
        <v>0</v>
      </c>
    </row>
    <row r="16" spans="1:6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" t="str">
        <f ca="1">IFERROR(__xludf.DUMMYFUNCTION("""COMPUTED_VALUE"""),"Shield volume forecast")</f>
        <v>Shield volume forecast</v>
      </c>
      <c r="B18" s="1">
        <f ca="1">IFERROR(__xludf.DUMMYFUNCTION("""COMPUTED_VALUE"""),0)</f>
        <v>0</v>
      </c>
      <c r="C18" s="1">
        <f ca="1">IFERROR(__xludf.DUMMYFUNCTION("""COMPUTED_VALUE"""),0)</f>
        <v>0</v>
      </c>
      <c r="D18" s="1">
        <f ca="1">IFERROR(__xludf.DUMMYFUNCTION("""COMPUTED_VALUE"""),0)</f>
        <v>0</v>
      </c>
      <c r="E18" s="1">
        <f ca="1">IFERROR(__xludf.DUMMYFUNCTION("""COMPUTED_VALUE"""),0)</f>
        <v>0</v>
      </c>
      <c r="F18" s="1">
        <f ca="1">IFERROR(__xludf.DUMMYFUNCTION("""COMPUTED_VALUE"""),0)</f>
        <v>0</v>
      </c>
    </row>
    <row r="19" spans="1:6" ht="15.75" customHeight="1">
      <c r="A19" s="1" t="str">
        <f ca="1">IFERROR(__xludf.DUMMYFUNCTION("""COMPUTED_VALUE"""),"Average Revenue per Case -Shield")</f>
        <v>Average Revenue per Case -Shield</v>
      </c>
      <c r="B19" s="82">
        <f ca="1">IFERROR(__xludf.DUMMYFUNCTION("""COMPUTED_VALUE"""),0)</f>
        <v>0</v>
      </c>
      <c r="C19" s="82">
        <f ca="1">IFERROR(__xludf.DUMMYFUNCTION("""COMPUTED_VALUE"""),0)</f>
        <v>0</v>
      </c>
      <c r="D19" s="82">
        <f ca="1">IFERROR(__xludf.DUMMYFUNCTION("""COMPUTED_VALUE"""),0)</f>
        <v>0</v>
      </c>
      <c r="E19" s="82">
        <f ca="1">IFERROR(__xludf.DUMMYFUNCTION("""COMPUTED_VALUE"""),0)</f>
        <v>0</v>
      </c>
      <c r="F19" s="82">
        <f ca="1">IFERROR(__xludf.DUMMYFUNCTION("""COMPUTED_VALUE"""),0)</f>
        <v>0</v>
      </c>
    </row>
    <row r="20" spans="1:6" ht="15.75" customHeight="1">
      <c r="A20" s="1" t="str">
        <f ca="1">IFERROR(__xludf.DUMMYFUNCTION("""COMPUTED_VALUE"""),"Revenue per quarter  Shield ")</f>
        <v xml:space="preserve">Revenue per quarter  Shield </v>
      </c>
      <c r="B20" s="82">
        <f ca="1">IFERROR(__xludf.DUMMYFUNCTION("""COMPUTED_VALUE"""),0)</f>
        <v>0</v>
      </c>
      <c r="C20" s="82">
        <f ca="1">IFERROR(__xludf.DUMMYFUNCTION("""COMPUTED_VALUE"""),0)</f>
        <v>0</v>
      </c>
      <c r="D20" s="82">
        <f ca="1">IFERROR(__xludf.DUMMYFUNCTION("""COMPUTED_VALUE"""),0)</f>
        <v>0</v>
      </c>
      <c r="E20" s="82">
        <f ca="1">IFERROR(__xludf.DUMMYFUNCTION("""COMPUTED_VALUE"""),0)</f>
        <v>0</v>
      </c>
      <c r="F20" s="82">
        <f ca="1">IFERROR(__xludf.DUMMYFUNCTION("""COMPUTED_VALUE"""),0)</f>
        <v>0</v>
      </c>
    </row>
    <row r="21" spans="1:6" ht="15.75" customHeight="1">
      <c r="A21" s="1"/>
      <c r="B21" s="1"/>
      <c r="C21" s="1"/>
      <c r="D21" s="1"/>
      <c r="E21" s="1"/>
      <c r="F21" s="1"/>
    </row>
    <row r="22" spans="1:6" ht="15.75" customHeight="1">
      <c r="A22" s="1"/>
      <c r="B22" s="1"/>
      <c r="C22" s="1"/>
      <c r="D22" s="1"/>
      <c r="E22" s="1"/>
      <c r="F22" s="1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"/>
      <c r="B25" s="1"/>
      <c r="C25" s="1"/>
      <c r="D25" s="1"/>
      <c r="E25" s="1"/>
      <c r="F25" s="1"/>
    </row>
    <row r="26" spans="1:6" ht="15.75" customHeight="1">
      <c r="A26" s="1"/>
      <c r="B26" s="1"/>
      <c r="C26" s="1"/>
      <c r="D26" s="1"/>
      <c r="E26" s="1"/>
      <c r="F26" s="1"/>
    </row>
    <row r="27" spans="1:6" ht="15.75" customHeight="1">
      <c r="A27" s="1"/>
      <c r="B27" s="1"/>
      <c r="C27" s="1"/>
      <c r="D27" s="1"/>
      <c r="E27" s="1"/>
      <c r="F27" s="1"/>
    </row>
    <row r="28" spans="1:6" ht="15.75" customHeight="1">
      <c r="A28" s="1"/>
      <c r="B28" s="1"/>
      <c r="C28" s="1"/>
      <c r="D28" s="1"/>
      <c r="E28" s="1"/>
      <c r="F28" s="1"/>
    </row>
    <row r="29" spans="1:6" ht="15.75" customHeight="1">
      <c r="A29" s="1" t="str">
        <f ca="1">IFERROR(__xludf.DUMMYFUNCTION("""COMPUTED_VALUE""")," Total volume")</f>
        <v xml:space="preserve"> Total volume</v>
      </c>
      <c r="B29" s="1">
        <f ca="1">IFERROR(__xludf.DUMMYFUNCTION("""COMPUTED_VALUE"""),296)</f>
        <v>296</v>
      </c>
      <c r="C29" s="83">
        <f ca="1">IFERROR(__xludf.DUMMYFUNCTION("""COMPUTED_VALUE"""),158)</f>
        <v>158</v>
      </c>
      <c r="D29" s="83">
        <f ca="1">IFERROR(__xludf.DUMMYFUNCTION("""COMPUTED_VALUE"""),128)</f>
        <v>128</v>
      </c>
      <c r="E29" s="83">
        <f ca="1">IFERROR(__xludf.DUMMYFUNCTION("""COMPUTED_VALUE"""),128)</f>
        <v>128</v>
      </c>
      <c r="F29" s="83">
        <f ca="1">IFERROR(__xludf.DUMMYFUNCTION("""COMPUTED_VALUE"""),128)</f>
        <v>128</v>
      </c>
    </row>
    <row r="30" spans="1:6" ht="15.75" customHeight="1">
      <c r="A30" s="1" t="str">
        <f ca="1">IFERROR(__xludf.DUMMYFUNCTION("""COMPUTED_VALUE"""),"Total arc ")</f>
        <v xml:space="preserve">Total arc </v>
      </c>
      <c r="B30" s="82">
        <f ca="1">IFERROR(__xludf.DUMMYFUNCTION("""COMPUTED_VALUE"""),1118.58108108108)</f>
        <v>1118.5810810810799</v>
      </c>
      <c r="C30" s="82">
        <f ca="1">IFERROR(__xludf.DUMMYFUNCTION("""COMPUTED_VALUE"""),989.746835443038)</f>
        <v>989.74683544303798</v>
      </c>
      <c r="D30" s="82">
        <f ca="1">IFERROR(__xludf.DUMMYFUNCTION("""COMPUTED_VALUE"""),929.921875)</f>
        <v>929.921875</v>
      </c>
      <c r="E30" s="82">
        <f ca="1">IFERROR(__xludf.DUMMYFUNCTION("""COMPUTED_VALUE"""),929.921875)</f>
        <v>929.921875</v>
      </c>
      <c r="F30" s="82">
        <f ca="1">IFERROR(__xludf.DUMMYFUNCTION("""COMPUTED_VALUE"""),929.921875)</f>
        <v>929.921875</v>
      </c>
    </row>
    <row r="31" spans="1:6" ht="15.75" customHeight="1">
      <c r="A31" s="1" t="str">
        <f ca="1">IFERROR(__xludf.DUMMYFUNCTION("""COMPUTED_VALUE"""),"Total revenue")</f>
        <v>Total revenue</v>
      </c>
      <c r="B31" s="82">
        <f ca="1">IFERROR(__xludf.DUMMYFUNCTION("""COMPUTED_VALUE"""),331100)</f>
        <v>331100</v>
      </c>
      <c r="C31" s="82">
        <f ca="1">IFERROR(__xludf.DUMMYFUNCTION("""COMPUTED_VALUE"""),156380)</f>
        <v>156380</v>
      </c>
      <c r="D31" s="82">
        <f ca="1">IFERROR(__xludf.DUMMYFUNCTION("""COMPUTED_VALUE"""),119030)</f>
        <v>119030</v>
      </c>
      <c r="E31" s="82">
        <f ca="1">IFERROR(__xludf.DUMMYFUNCTION("""COMPUTED_VALUE"""),119030)</f>
        <v>119030</v>
      </c>
      <c r="F31" s="82">
        <f ca="1">IFERROR(__xludf.DUMMYFUNCTION("""COMPUTED_VALUE"""),119030)</f>
        <v>119030</v>
      </c>
    </row>
    <row r="33" spans="5:5" ht="15.75" customHeight="1">
      <c r="E33" s="1" t="s">
        <v>30</v>
      </c>
    </row>
    <row r="34" spans="5:5" ht="15.75" customHeight="1">
      <c r="E34" s="82">
        <f ca="1">C31+D31+E31+F31</f>
        <v>513470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23"/>
  <sheetViews>
    <sheetView workbookViewId="0"/>
  </sheetViews>
  <sheetFormatPr baseColWidth="10" defaultColWidth="12.6640625" defaultRowHeight="15.75" customHeight="1"/>
  <cols>
    <col min="1" max="1" width="43.5" customWidth="1"/>
    <col min="2" max="2" width="46" customWidth="1"/>
    <col min="3" max="3" width="16.6640625" customWidth="1"/>
    <col min="4" max="6" width="14.6640625" customWidth="1"/>
    <col min="7" max="7" width="16.6640625" customWidth="1"/>
  </cols>
  <sheetData>
    <row r="1" spans="1:8" ht="15.75" customHeight="1">
      <c r="A1" s="2">
        <f ca="1">' Euaa commercial'!C38+'Paid ISTs'!B13</f>
        <v>114</v>
      </c>
      <c r="B1" s="3"/>
      <c r="C1" s="4" t="s">
        <v>0</v>
      </c>
      <c r="D1" s="4" t="s">
        <v>0</v>
      </c>
      <c r="E1" s="4" t="s">
        <v>0</v>
      </c>
      <c r="F1" s="4" t="s">
        <v>0</v>
      </c>
      <c r="G1" s="5" t="s">
        <v>0</v>
      </c>
    </row>
    <row r="2" spans="1:8" ht="15.75" customHeight="1">
      <c r="A2" s="2"/>
      <c r="B2" s="3"/>
      <c r="C2" s="6" t="s">
        <v>1</v>
      </c>
      <c r="D2" s="6" t="s">
        <v>2</v>
      </c>
      <c r="E2" s="6" t="s">
        <v>28</v>
      </c>
      <c r="F2" s="7" t="s">
        <v>29</v>
      </c>
      <c r="G2" s="6" t="s">
        <v>5</v>
      </c>
    </row>
    <row r="3" spans="1:8" ht="15.75" customHeight="1">
      <c r="A3" s="146" t="s">
        <v>36</v>
      </c>
      <c r="B3" s="8" t="s">
        <v>7</v>
      </c>
      <c r="C3" s="84">
        <f ca="1">' Euaa commercial'!C7+'Paid ISTs'!B3</f>
        <v>498</v>
      </c>
      <c r="D3" s="84">
        <f ca="1">' Euaa commercial'!D7+'Paid ISTs'!C3</f>
        <v>566</v>
      </c>
      <c r="E3" s="84">
        <f ca="1">' Euaa commercial'!E7+'Paid ISTs'!D3</f>
        <v>667</v>
      </c>
      <c r="F3" s="84">
        <f ca="1">' Euaa commercial'!F7+'Paid ISTs'!E3</f>
        <v>777</v>
      </c>
      <c r="G3" s="84">
        <f ca="1">' Euaa commercial'!G7+'Paid ISTs'!F3</f>
        <v>924</v>
      </c>
      <c r="H3" s="84"/>
    </row>
    <row r="4" spans="1:8" ht="15.75" customHeight="1">
      <c r="A4" s="137"/>
      <c r="B4" s="8" t="s">
        <v>12</v>
      </c>
      <c r="C4" s="84">
        <f ca="1">' Euaa commercial'!C23+'Paid ISTs'!B8</f>
        <v>87</v>
      </c>
      <c r="D4" s="84">
        <f ca="1">' Euaa commercial'!D23+'Paid ISTs'!C8</f>
        <v>99</v>
      </c>
      <c r="E4" s="84">
        <f ca="1">' Euaa commercial'!E23+'Paid ISTs'!D8</f>
        <v>115</v>
      </c>
      <c r="F4" s="84">
        <f ca="1">' Euaa commercial'!F23+'Paid ISTs'!E8</f>
        <v>127</v>
      </c>
      <c r="G4" s="84">
        <f ca="1">' Euaa commercial'!G23+'Paid ISTs'!F8</f>
        <v>136</v>
      </c>
    </row>
    <row r="5" spans="1:8" ht="15.75" customHeight="1">
      <c r="A5" s="137"/>
      <c r="B5" s="8" t="s">
        <v>15</v>
      </c>
      <c r="C5" s="84">
        <f ca="1">' Euaa commercial'!C38+'Paid ISTs'!B13</f>
        <v>114</v>
      </c>
      <c r="D5" s="84">
        <f ca="1">' Euaa commercial'!D38+'Paid ISTs'!C13</f>
        <v>40</v>
      </c>
      <c r="E5" s="84">
        <f ca="1">' Euaa commercial'!E38+'Paid ISTs'!D13</f>
        <v>55</v>
      </c>
      <c r="F5" s="84">
        <f ca="1">' Euaa commercial'!F38+'Paid ISTs'!E13</f>
        <v>75</v>
      </c>
      <c r="G5" s="84">
        <f ca="1">' Euaa commercial'!G38+'Paid ISTs'!F13</f>
        <v>95</v>
      </c>
    </row>
    <row r="6" spans="1:8" ht="15.75" customHeight="1">
      <c r="A6" s="137"/>
      <c r="B6" s="8" t="s">
        <v>18</v>
      </c>
      <c r="C6" s="84">
        <f ca="1">' Euaa commercial'!C54+'Paid ISTs'!B18</f>
        <v>0</v>
      </c>
      <c r="D6" s="84">
        <f ca="1">' Euaa commercial'!D54+'Paid ISTs'!C18</f>
        <v>5</v>
      </c>
      <c r="E6" s="84">
        <f ca="1">' Euaa commercial'!E54+'Paid ISTs'!D18</f>
        <v>10</v>
      </c>
      <c r="F6" s="84">
        <f ca="1">' Euaa commercial'!F54+'Paid ISTs'!E18</f>
        <v>15</v>
      </c>
      <c r="G6" s="84">
        <f ca="1">' Euaa commercial'!G54+'Paid ISTs'!F18</f>
        <v>20</v>
      </c>
    </row>
    <row r="7" spans="1:8" ht="15.75" customHeight="1">
      <c r="A7" s="137"/>
      <c r="B7" s="8" t="s">
        <v>21</v>
      </c>
      <c r="C7" s="101">
        <f t="shared" ref="C7:G7" ca="1" si="0">SUM(C3:C6)</f>
        <v>699</v>
      </c>
      <c r="D7" s="101">
        <f t="shared" ca="1" si="0"/>
        <v>710</v>
      </c>
      <c r="E7" s="101">
        <f t="shared" ca="1" si="0"/>
        <v>847</v>
      </c>
      <c r="F7" s="101">
        <f t="shared" ca="1" si="0"/>
        <v>994</v>
      </c>
      <c r="G7" s="101">
        <f t="shared" ca="1" si="0"/>
        <v>1175</v>
      </c>
    </row>
    <row r="9" spans="1:8" ht="15.75" customHeight="1">
      <c r="B9" s="8" t="s">
        <v>37</v>
      </c>
      <c r="C9" s="102">
        <f ca="1">' Euaa commercial'!C9+'Paid ISTs'!B5</f>
        <v>723209.2</v>
      </c>
      <c r="D9" s="102">
        <f ca="1">' Euaa commercial'!D9+'Paid ISTs'!C5</f>
        <v>884469.2</v>
      </c>
      <c r="E9" s="102">
        <f ca="1">' Euaa commercial'!E9+'Paid ISTs'!D5</f>
        <v>1046078.64</v>
      </c>
      <c r="F9" s="102">
        <f ca="1">' Euaa commercial'!F9+'Paid ISTs'!E5</f>
        <v>1214838.56</v>
      </c>
      <c r="G9" s="102">
        <f ca="1">' Euaa commercial'!G9+'Paid ISTs'!F5</f>
        <v>1442068.08</v>
      </c>
    </row>
    <row r="10" spans="1:8" ht="15.75" customHeight="1">
      <c r="B10" s="8" t="s">
        <v>38</v>
      </c>
      <c r="C10" s="102">
        <f ca="1">' Euaa commercial'!C25+'Paid ISTs'!B10</f>
        <v>147465</v>
      </c>
      <c r="D10" s="102">
        <f ca="1">' Euaa commercial'!D25+'Paid ISTs'!C10</f>
        <v>182860</v>
      </c>
      <c r="E10" s="102">
        <f ca="1">' Euaa commercial'!E25+'Paid ISTs'!D10</f>
        <v>219850</v>
      </c>
      <c r="F10" s="102">
        <f ca="1">' Euaa commercial'!F25+'Paid ISTs'!E10</f>
        <v>248145</v>
      </c>
      <c r="G10" s="102">
        <f ca="1">' Euaa commercial'!G25+'Paid ISTs'!F10</f>
        <v>267740</v>
      </c>
    </row>
    <row r="11" spans="1:8" ht="15.75" customHeight="1">
      <c r="B11" s="8" t="s">
        <v>39</v>
      </c>
      <c r="C11" s="102">
        <f ca="1">' Euaa commercial'!C40+'Paid ISTs'!B15</f>
        <v>210000</v>
      </c>
      <c r="D11" s="102">
        <f ca="1">' Euaa commercial'!D40+'Paid ISTs'!C15</f>
        <v>92525</v>
      </c>
      <c r="E11" s="102">
        <f ca="1">' Euaa commercial'!E40+'Paid ISTs'!D15</f>
        <v>125090</v>
      </c>
      <c r="F11" s="102">
        <f ca="1">' Euaa commercial'!F40+'Paid ISTs'!E15</f>
        <v>170155</v>
      </c>
      <c r="G11" s="102">
        <f ca="1">' Euaa commercial'!G40+'Paid ISTs'!F15</f>
        <v>213950</v>
      </c>
    </row>
    <row r="12" spans="1:8" ht="15.75" customHeight="1">
      <c r="B12" s="8" t="s">
        <v>40</v>
      </c>
      <c r="C12" s="102">
        <f ca="1">' Euaa commercial'!C56+'Paid ISTs'!B20</f>
        <v>0</v>
      </c>
      <c r="D12" s="102">
        <f ca="1">' Euaa commercial'!D56+'Paid ISTs'!C20</f>
        <v>4475</v>
      </c>
      <c r="E12" s="102">
        <f ca="1">' Euaa commercial'!E56+'Paid ISTs'!D20</f>
        <v>8950</v>
      </c>
      <c r="F12" s="102">
        <f ca="1">' Euaa commercial'!F56+'Paid ISTs'!E20</f>
        <v>13425</v>
      </c>
      <c r="G12" s="102">
        <f ca="1">' Euaa commercial'!G56+'Paid ISTs'!F20</f>
        <v>17900</v>
      </c>
    </row>
    <row r="13" spans="1:8" ht="15.75" customHeight="1">
      <c r="B13" s="1" t="s">
        <v>21</v>
      </c>
      <c r="C13" s="103">
        <f t="shared" ref="C13:G13" ca="1" si="1">SUM(C9:C12)</f>
        <v>1080674.2</v>
      </c>
      <c r="D13" s="103">
        <f t="shared" ca="1" si="1"/>
        <v>1164329.2</v>
      </c>
      <c r="E13" s="103">
        <f t="shared" ca="1" si="1"/>
        <v>1399968.6400000001</v>
      </c>
      <c r="F13" s="103">
        <f t="shared" ca="1" si="1"/>
        <v>1646563.56</v>
      </c>
      <c r="G13" s="103">
        <f t="shared" ca="1" si="1"/>
        <v>1941658.08</v>
      </c>
    </row>
    <row r="16" spans="1:8" ht="15.75" customHeight="1">
      <c r="G16" s="1" t="s">
        <v>41</v>
      </c>
    </row>
    <row r="17" spans="7:10" ht="15.75" customHeight="1">
      <c r="G17" s="103">
        <f ca="1">D13+E13+F13+G13</f>
        <v>6152519.4800000004</v>
      </c>
    </row>
    <row r="23" spans="7:10" ht="15.75" customHeight="1">
      <c r="J23" s="104"/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Free ISTs</vt:lpstr>
      <vt:lpstr>Opportunities &amp; Risks</vt:lpstr>
      <vt:lpstr>5QRF by product line</vt:lpstr>
      <vt:lpstr>5 QRF forecast by segment</vt:lpstr>
      <vt:lpstr>PPPs</vt:lpstr>
      <vt:lpstr> Euaa commercial</vt:lpstr>
      <vt:lpstr>Canada</vt:lpstr>
      <vt:lpstr>Spain</vt:lpstr>
      <vt:lpstr>UK</vt:lpstr>
      <vt:lpstr>Turkey</vt:lpstr>
      <vt:lpstr>Latam</vt:lpstr>
      <vt:lpstr>Italy</vt:lpstr>
      <vt:lpstr>Rest</vt:lpstr>
      <vt:lpstr>France</vt:lpstr>
      <vt:lpstr>Paid ISTs</vt:lpstr>
      <vt:lpstr>EUAA Commercial &amp; Paid 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Hausch</cp:lastModifiedBy>
  <dcterms:created xsi:type="dcterms:W3CDTF">2023-09-06T08:46:27Z</dcterms:created>
  <dcterms:modified xsi:type="dcterms:W3CDTF">2023-10-30T06:17:09Z</dcterms:modified>
</cp:coreProperties>
</file>