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filterPrivacy="1"/>
  <xr:revisionPtr revIDLastSave="0" documentId="8_{DF846548-7FB2-CC48-B4BA-152E36CBC88F}" xr6:coauthVersionLast="47" xr6:coauthVersionMax="47" xr10:uidLastSave="{00000000-0000-0000-0000-000000000000}"/>
  <bookViews>
    <workbookView xWindow="0" yWindow="500" windowWidth="20480" windowHeight="12300" xr2:uid="{00000000-000D-0000-FFFF-FFFF00000000}"/>
  </bookViews>
  <sheets>
    <sheet name="Instructions" sheetId="1" r:id="rId1"/>
    <sheet name="Summary" sheetId="2" r:id="rId2"/>
    <sheet name="List of Services" sheetId="3" r:id="rId3"/>
    <sheet name="Code Scanning Tools" sheetId="4" r:id="rId4"/>
    <sheet name="I. General" sheetId="5" r:id="rId5"/>
    <sheet name="II. Compute" sheetId="6" r:id="rId6"/>
    <sheet name="III. Storage" sheetId="7" r:id="rId7"/>
    <sheet name="IV. Databases" sheetId="8" r:id="rId8"/>
    <sheet name="V. Network &amp; Delivery" sheetId="9" r:id="rId9"/>
    <sheet name="VI. Management &amp; Governance" sheetId="10" r:id="rId10"/>
    <sheet name="VII. Machine Learning" sheetId="11" r:id="rId11"/>
    <sheet name="VIII. Analytics" sheetId="12" r:id="rId12"/>
    <sheet name="IX. Security &amp; Compliance" sheetId="13" r:id="rId13"/>
    <sheet name="X. Serverless" sheetId="14" r:id="rId14"/>
    <sheet name="XI. Application Integration" sheetId="15" r:id="rId15"/>
    <sheet name="XII. Media Services" sheetId="16" r:id="rId16"/>
    <sheet name="XIII. Developer Tools" sheetId="17" r:id="rId17"/>
    <sheet name="XIV. Internet of Things" sheetId="18" r:id="rId18"/>
    <sheet name="Release Notes" sheetId="19" r:id="rId19"/>
  </sheets>
  <definedNames>
    <definedName name="AMAZON_LEXInUse">'List of Services'!$E$33</definedName>
    <definedName name="AMAZON_REKOGNITIONInUse">'List of Services'!$E$35</definedName>
    <definedName name="AMAZON_S3InUse">'List of Services'!$B$20</definedName>
    <definedName name="ANALYTICSTotalAnswered">'VIII. Analytics'!$U$3</definedName>
    <definedName name="ANALYTICSTotalAnsweredNo">'VIII. Analytics'!$U$4</definedName>
    <definedName name="ANALYTICSTotalIdentified">'VIII. Analytics'!$U$2</definedName>
    <definedName name="ANALYTICSTotalReviewedRiskMitigated">'VIII. Analytics'!$U$5</definedName>
    <definedName name="ANALYTICSTotalReviewedRiskNotMitigated">'VIII. Analytics'!$U$6</definedName>
    <definedName name="API_GATEWAYInUse">'List of Services'!$E$11</definedName>
    <definedName name="APPLICATION_INTEGRATIONTotalAnswered">'XI. Application Integration'!$U$3</definedName>
    <definedName name="APPLICATION_INTEGRATIONTotalAnsweredNo">'XI. Application Integration'!$U$4</definedName>
    <definedName name="APPLICATION_INTEGRATIONTotalIdentified">'XI. Application Integration'!$U$2</definedName>
    <definedName name="APPLICATION_INTEGRATIONTotalReviewedRiskMitigated">'XI. Application Integration'!$U$5</definedName>
    <definedName name="APPLICATION_INTEGRATIONTotalReviewedRiskNotMitigated">'XI. Application Integration'!$U$6</definedName>
    <definedName name="APPSYNCInUse">'List of Services'!$H$30</definedName>
    <definedName name="ATHENAInUse">'List of Services'!$H$9</definedName>
    <definedName name="AUTO_SCALINGInUse">'List of Services'!$E$21</definedName>
    <definedName name="AWS_NETWORK_MANAGERInUse">'List of Services'!$E$14</definedName>
    <definedName name="AWS_ORGANIZATIONSInUse">'List of Services'!$H$25</definedName>
    <definedName name="AWS_RESOURCE_ACCESS_MANAGERInUse">'List of Services'!$H$27</definedName>
    <definedName name="AWS_SECURITY_TOKEN_SERVICEInUse">'List of Services'!$H$26</definedName>
    <definedName name="AWS_SYSTEM_MANAGER_AUTOMATION_DOCUMENTInUse">'List of Services'!$E$23</definedName>
    <definedName name="BATCHInUse">'List of Services'!$B$13</definedName>
    <definedName name="CLOUD_FORMATIONInUse">'List of Services'!$E$20</definedName>
    <definedName name="CLOUD9InUse">'List of Services'!$K$32</definedName>
    <definedName name="CLOUDFRONTInUse">'List of Services'!$E$10</definedName>
    <definedName name="CLOUDWATCHInUse">'List of Services'!$E$22</definedName>
    <definedName name="CODE_BUILDInUse">'List of Services'!$K$30</definedName>
    <definedName name="CODE_COMMITInUse">'List of Services'!$K$31</definedName>
    <definedName name="COGNITOInUse">'List of Services'!$H$21</definedName>
    <definedName name="COMPREHENDInUse">'List of Services'!$E$30</definedName>
    <definedName name="COMPUTETotalAnswered">'II. Compute'!$U$3</definedName>
    <definedName name="COMPUTETotalAnsweredNo">'II. Compute'!$U$4</definedName>
    <definedName name="COMPUTETotalIdentified">'II. Compute'!$U$2</definedName>
    <definedName name="COMPUTETotalReviewedRiskMitigated">'II. Compute'!$U$5</definedName>
    <definedName name="COMPUTETotalReviewedRiskNotMitigated">'II. Compute'!$U$6</definedName>
    <definedName name="DATABASESTotalAnswered">'IV. Databases'!$U$3</definedName>
    <definedName name="DATABASESTotalAnsweredNo">'IV. Databases'!$U$4</definedName>
    <definedName name="DATABASESTotalIdentified">'IV. Databases'!$U$2</definedName>
    <definedName name="DATABASESTotalReviewedRiskMitigated">'IV. Databases'!$U$5</definedName>
    <definedName name="DATABASESTotalReviewedRiskNotMitigated">'IV. Databases'!$U$6</definedName>
    <definedName name="DEVELOPER_TOOLSTotalAnswered">'XIII. Developer Tools'!$U$3</definedName>
    <definedName name="DEVELOPER_TOOLSTotalAnsweredNo">'XIII. Developer Tools'!$U$4</definedName>
    <definedName name="DEVELOPER_TOOLSTotalIdentified">'XIII. Developer Tools'!$U$2</definedName>
    <definedName name="DEVELOPER_TOOLSTotalReviewedRiskMitigated">'XIII. Developer Tools'!$U$5</definedName>
    <definedName name="DEVELOPER_TOOLSTotalReviewedRiskNotMitigated">'XIII. Developer Tools'!$U$6</definedName>
    <definedName name="DOCUMENT_DBInUse">'List of Services'!$B$35</definedName>
    <definedName name="DYNAMO_DBInUse">'List of Services'!$B$31</definedName>
    <definedName name="EC2InUse">'List of Services'!$B$9</definedName>
    <definedName name="ECRInUse">'List of Services'!$B$10</definedName>
    <definedName name="ECSInUse">'List of Services'!$B$11</definedName>
    <definedName name="EFSInUse">'List of Services'!$B$21</definedName>
    <definedName name="EKSInUse">'List of Services'!$B$12</definedName>
    <definedName name="ELASTIC_BEANSTALKInUse">'List of Services'!$B$14</definedName>
    <definedName name="ELASTIC_LOAD_BALANCINGInUse">'List of Services'!$B$15</definedName>
    <definedName name="ELASTIC_MAP_REDUCEInUse">'List of Services'!$H$11</definedName>
    <definedName name="ELASTICACHEInUse">'List of Services'!$B$32</definedName>
    <definedName name="EVENT_BRIDGEInUse">'List of Services'!$K$9</definedName>
    <definedName name="FORECASTInUse">'List of Services'!$E$32</definedName>
    <definedName name="FSX_NInUse">'List of Services'!$B$23</definedName>
    <definedName name="FSXInUse">'List of Services'!$B$22</definedName>
    <definedName name="GENERALTotalAnswered">'I. General'!$U$3</definedName>
    <definedName name="GENERALTotalAnsweredNo">'I. General'!$U$4</definedName>
    <definedName name="GENERALTotalIdentified">'I. General'!$U$2</definedName>
    <definedName name="GENERALTotalReviewedRiskMitigated">'I. General'!$U$5</definedName>
    <definedName name="GENERALTotalReviewedRiskNotMitigated">'I. General'!$U$6</definedName>
    <definedName name="GLUEInUse">'List of Services'!$H$10</definedName>
    <definedName name="IAMInUse">'List of Services'!$H$20</definedName>
    <definedName name="INTERNET_OF_THINGSTotalAnswered">'XIV. Internet of Things'!$U$3</definedName>
    <definedName name="INTERNET_OF_THINGSTotalAnsweredNo">'XIV. Internet of Things'!$U$4</definedName>
    <definedName name="INTERNET_OF_THINGSTotalIdentified">'XIV. Internet of Things'!$U$2</definedName>
    <definedName name="INTERNET_OF_THINGSTotalReviewedRiskMitigated">'XIV. Internet of Things'!$U$5</definedName>
    <definedName name="INTERNET_OF_THINGSTotalReviewedRiskNotMitigated">'XIV. Internet of Things'!$U$6</definedName>
    <definedName name="IOT_COREInUse">'List of Services'!$N$9</definedName>
    <definedName name="KEY_MANAGEMENT_SERVICEInUse">'List of Services'!$H$23</definedName>
    <definedName name="KINESIS_DATA_ANALYTICSInUse">'List of Services'!$H$13</definedName>
    <definedName name="KINESIS_DATA_FIREHOSEInUse">'List of Services'!$H$17</definedName>
    <definedName name="KINESIS_DATA_STREAMInUse">'List of Services'!$H$14</definedName>
    <definedName name="LAMBDAInUse">'List of Services'!$H$31</definedName>
    <definedName name="MACHINE_LEARNINGTotalAnswered">'VII. Machine Learning'!$U$3</definedName>
    <definedName name="MACHINE_LEARNINGTotalAnsweredNo">'VII. Machine Learning'!$U$4</definedName>
    <definedName name="MACHINE_LEARNINGTotalIdentified">'VII. Machine Learning'!$U$2</definedName>
    <definedName name="MACHINE_LEARNINGTotalReviewedRiskMitigated">'VII. Machine Learning'!$U$5</definedName>
    <definedName name="MACHINE_LEARNINGTotalReviewedRiskNotMitigated">'VII. Machine Learning'!$U$6</definedName>
    <definedName name="MANAGED_STREAMING_FOR_APACHE_KAFKAInUse">'List of Services'!$H$15</definedName>
    <definedName name="MANAGEMENT_AND_GOVERNANCETotalAnswered">'VI. Management &amp; Governance'!$U$3</definedName>
    <definedName name="MANAGEMENT_AND_GOVERNANCETotalAnsweredNo">'VI. Management &amp; Governance'!$U$4</definedName>
    <definedName name="MANAGEMENT_AND_GOVERNANCETotalIdentified">'VI. Management &amp; Governance'!$U$2</definedName>
    <definedName name="MANAGEMENT_AND_GOVERNANCETotalReviewedRiskMitigated">'VI. Management &amp; Governance'!$U$5</definedName>
    <definedName name="MANAGEMENT_AND_GOVERNANCETotalReviewedRiskNotMitigated">'VI. Management &amp; Governance'!$U$6</definedName>
    <definedName name="MEDIA_LIVEInUse">'List of Services'!$K$21</definedName>
    <definedName name="MEDIA_SERVICESTotalAnswered">'XII. Media Services'!$U$3</definedName>
    <definedName name="MEDIA_SERVICESTotalAnsweredNo">'XII. Media Services'!$U$4</definedName>
    <definedName name="MEDIA_SERVICESTotalIdentified">'XII. Media Services'!$U$2</definedName>
    <definedName name="MEDIA_SERVICESTotalReviewedRiskMitigated">'XII. Media Services'!$U$5</definedName>
    <definedName name="MEDIA_SERVICESTotalReviewedRiskNotMitigated">'XII. Media Services'!$U$6</definedName>
    <definedName name="MEDIA_STOREInUse">'List of Services'!$K$20</definedName>
    <definedName name="NEPTUNEInUse">'List of Services'!$B$33</definedName>
    <definedName name="NETWORK_AND_DELIVERYTotalAnswered">'V. Network &amp; Delivery'!$U$3</definedName>
    <definedName name="NETWORK_AND_DELIVERYTotalAnsweredNo">'V. Network &amp; Delivery'!$U$4</definedName>
    <definedName name="NETWORK_AND_DELIVERYTotalIdentified">'V. Network &amp; Delivery'!$U$2</definedName>
    <definedName name="NETWORK_AND_DELIVERYTotalReviewedRiskMitigated">'V. Network &amp; Delivery'!$U$5</definedName>
    <definedName name="NETWORK_AND_DELIVERYTotalReviewedRiskNotMitigated">'V. Network &amp; Delivery'!$U$6</definedName>
    <definedName name="NETWORK_FIREWALLInUse">'List of Services'!$E$13</definedName>
    <definedName name="OPENSEARCHInUse">'List of Services'!$H$12</definedName>
    <definedName name="PARAMETER_STOREInUse">'List of Services'!$H$24</definedName>
    <definedName name="PERSONALIZEInUse">'List of Services'!$E$34</definedName>
    <definedName name="QUICKSIGHTInUse">'List of Services'!$H$16</definedName>
    <definedName name="RDSInUse">'List of Services'!$B$30</definedName>
    <definedName name="REDSHIFTInUse">'List of Services'!$B$34</definedName>
    <definedName name="SAGEMAKERInUse">'List of Services'!$E$31</definedName>
    <definedName name="SECRETS_MANAGERInUse">'List of Services'!$H$22</definedName>
    <definedName name="SECURITY_AND_COMPLIANCETotalAnswered">'IX. Security &amp; Compliance'!$U$3</definedName>
    <definedName name="SECURITY_AND_COMPLIANCETotalAnsweredNo">'IX. Security &amp; Compliance'!$U$4</definedName>
    <definedName name="SECURITY_AND_COMPLIANCETotalIdentified">'IX. Security &amp; Compliance'!$U$2</definedName>
    <definedName name="SECURITY_AND_COMPLIANCETotalReviewedRiskMitigated">'IX. Security &amp; Compliance'!$U$5</definedName>
    <definedName name="SECURITY_AND_COMPLIANCETotalReviewedRiskNotMitigated">'IX. Security &amp; Compliance'!$U$6</definedName>
    <definedName name="SERVERLESSTotalAnswered">'X. Serverless'!$U$3</definedName>
    <definedName name="SERVERLESSTotalAnsweredNo">'X. Serverless'!$U$4</definedName>
    <definedName name="SERVERLESSTotalIdentified">'X. Serverless'!$U$2</definedName>
    <definedName name="SERVERLESSTotalReviewedRiskMitigated">'X. Serverless'!$U$5</definedName>
    <definedName name="SERVERLESSTotalReviewedRiskNotMitigated">'X. Serverless'!$U$6</definedName>
    <definedName name="SLTotalAnswered">'List of Services'!$U$3</definedName>
    <definedName name="SLTotalIdentified">'List of Services'!$U$2</definedName>
    <definedName name="SNSInUse">'List of Services'!$K$10</definedName>
    <definedName name="SQSInUse">'List of Services'!$K$11</definedName>
    <definedName name="STEP_FUNCTIONSInUse">'List of Services'!$H$32</definedName>
    <definedName name="STORAGETotalAnswered">'III. Storage'!$U$3</definedName>
    <definedName name="STORAGETotalAnsweredNo">'III. Storage'!$U$4</definedName>
    <definedName name="STORAGETotalIdentified">'III. Storage'!$U$2</definedName>
    <definedName name="STORAGETotalReviewedRiskMitigated">'III. Storage'!$U$5</definedName>
    <definedName name="STORAGETotalReviewedRiskNotMitigated">'III. Storage'!$U$6</definedName>
    <definedName name="TIMESTREAMInUse">'List of Services'!$B$36</definedName>
    <definedName name="TRANSIT_GATEWAYInUse">'List of Services'!$E$12</definedName>
    <definedName name="VPCInUse">'List of Services'!$E$9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8" l="1"/>
  <c r="F30" i="18" s="1"/>
  <c r="C29" i="18"/>
  <c r="F29" i="18" s="1"/>
  <c r="C28" i="18"/>
  <c r="F28" i="18" s="1"/>
  <c r="C27" i="18"/>
  <c r="F27" i="18" s="1"/>
  <c r="C26" i="18"/>
  <c r="F26" i="18" s="1"/>
  <c r="C25" i="18"/>
  <c r="F25" i="18" s="1"/>
  <c r="C24" i="18"/>
  <c r="F24" i="18" s="1"/>
  <c r="C23" i="18"/>
  <c r="F23" i="18" s="1"/>
  <c r="C22" i="18"/>
  <c r="F22" i="18" s="1"/>
  <c r="C21" i="18"/>
  <c r="F21" i="18" s="1"/>
  <c r="C20" i="18"/>
  <c r="F20" i="18" s="1"/>
  <c r="C19" i="18"/>
  <c r="F19" i="18" s="1"/>
  <c r="C18" i="18"/>
  <c r="F18" i="18" s="1"/>
  <c r="C17" i="18"/>
  <c r="F17" i="18" s="1"/>
  <c r="C16" i="18"/>
  <c r="F16" i="18" s="1"/>
  <c r="C15" i="18"/>
  <c r="F15" i="18" s="1"/>
  <c r="C14" i="18"/>
  <c r="F14" i="18" s="1"/>
  <c r="C13" i="18"/>
  <c r="F13" i="18" s="1"/>
  <c r="C12" i="18"/>
  <c r="F12" i="18" s="1"/>
  <c r="C11" i="18"/>
  <c r="F11" i="18" s="1"/>
  <c r="C10" i="18"/>
  <c r="F10" i="18" s="1"/>
  <c r="C9" i="18"/>
  <c r="F9" i="18" s="1"/>
  <c r="C8" i="18"/>
  <c r="F8" i="18" s="1"/>
  <c r="C7" i="18"/>
  <c r="F7" i="18" s="1"/>
  <c r="U6" i="18"/>
  <c r="C6" i="18"/>
  <c r="F6" i="18" s="1"/>
  <c r="U5" i="18"/>
  <c r="F24" i="2" s="1"/>
  <c r="C5" i="18"/>
  <c r="F5" i="18" s="1"/>
  <c r="U4" i="18"/>
  <c r="C4" i="18"/>
  <c r="F4" i="18" s="1"/>
  <c r="U3" i="18"/>
  <c r="C3" i="18"/>
  <c r="F3" i="18" s="1"/>
  <c r="C2" i="18"/>
  <c r="C7" i="17"/>
  <c r="F7" i="17" s="1"/>
  <c r="U6" i="17"/>
  <c r="C6" i="17"/>
  <c r="F6" i="17" s="1"/>
  <c r="U5" i="17"/>
  <c r="C5" i="17"/>
  <c r="F5" i="17" s="1"/>
  <c r="U4" i="17"/>
  <c r="C4" i="17"/>
  <c r="F4" i="17" s="1"/>
  <c r="U3" i="17"/>
  <c r="C3" i="17"/>
  <c r="F3" i="17" s="1"/>
  <c r="C2" i="17"/>
  <c r="F2" i="17" s="1"/>
  <c r="C19" i="16"/>
  <c r="F19" i="16" s="1"/>
  <c r="C18" i="16"/>
  <c r="F18" i="16" s="1"/>
  <c r="C17" i="16"/>
  <c r="F17" i="16" s="1"/>
  <c r="C16" i="16"/>
  <c r="F16" i="16" s="1"/>
  <c r="C15" i="16"/>
  <c r="F15" i="16" s="1"/>
  <c r="C14" i="16"/>
  <c r="F14" i="16" s="1"/>
  <c r="C13" i="16"/>
  <c r="F13" i="16" s="1"/>
  <c r="C12" i="16"/>
  <c r="F12" i="16" s="1"/>
  <c r="C11" i="16"/>
  <c r="F11" i="16" s="1"/>
  <c r="C10" i="16"/>
  <c r="F10" i="16" s="1"/>
  <c r="C9" i="16"/>
  <c r="F9" i="16" s="1"/>
  <c r="C8" i="16"/>
  <c r="F8" i="16" s="1"/>
  <c r="C7" i="16"/>
  <c r="F7" i="16" s="1"/>
  <c r="U6" i="16"/>
  <c r="C6" i="16"/>
  <c r="F6" i="16" s="1"/>
  <c r="U5" i="16"/>
  <c r="C5" i="16"/>
  <c r="F5" i="16" s="1"/>
  <c r="U4" i="16"/>
  <c r="C4" i="16"/>
  <c r="F4" i="16" s="1"/>
  <c r="U3" i="16"/>
  <c r="C3" i="16"/>
  <c r="F3" i="16" s="1"/>
  <c r="C2" i="16"/>
  <c r="F2" i="16" s="1"/>
  <c r="C10" i="15"/>
  <c r="F10" i="15" s="1"/>
  <c r="C9" i="15"/>
  <c r="F9" i="15" s="1"/>
  <c r="C8" i="15"/>
  <c r="F8" i="15" s="1"/>
  <c r="C7" i="15"/>
  <c r="F7" i="15" s="1"/>
  <c r="U6" i="15"/>
  <c r="C6" i="15"/>
  <c r="F6" i="15" s="1"/>
  <c r="U5" i="15"/>
  <c r="C5" i="15"/>
  <c r="F5" i="15" s="1"/>
  <c r="U4" i="15"/>
  <c r="C4" i="15"/>
  <c r="F4" i="15" s="1"/>
  <c r="U3" i="15"/>
  <c r="C3" i="15"/>
  <c r="F3" i="15" s="1"/>
  <c r="C2" i="15"/>
  <c r="F2" i="15" s="1"/>
  <c r="C13" i="14"/>
  <c r="F13" i="14" s="1"/>
  <c r="C12" i="14"/>
  <c r="F12" i="14" s="1"/>
  <c r="C11" i="14"/>
  <c r="C10" i="14"/>
  <c r="C9" i="14"/>
  <c r="C8" i="14"/>
  <c r="C7" i="14"/>
  <c r="U6" i="14"/>
  <c r="G20" i="2" s="1"/>
  <c r="C6" i="14"/>
  <c r="U5" i="14"/>
  <c r="F20" i="2" s="1"/>
  <c r="C5" i="14"/>
  <c r="U4" i="14"/>
  <c r="C4" i="14"/>
  <c r="U3" i="14"/>
  <c r="C3" i="14"/>
  <c r="F3" i="14" s="1"/>
  <c r="C2" i="14"/>
  <c r="F2" i="14" s="1"/>
  <c r="C32" i="13"/>
  <c r="F32" i="13" s="1"/>
  <c r="F31" i="13"/>
  <c r="C31" i="13"/>
  <c r="C30" i="13"/>
  <c r="F30" i="13" s="1"/>
  <c r="C29" i="13"/>
  <c r="F29" i="13" s="1"/>
  <c r="C28" i="13"/>
  <c r="F28" i="13" s="1"/>
  <c r="C27" i="13"/>
  <c r="F27" i="13" s="1"/>
  <c r="C26" i="13"/>
  <c r="F26" i="13" s="1"/>
  <c r="C25" i="13"/>
  <c r="F25" i="13" s="1"/>
  <c r="C24" i="13"/>
  <c r="F24" i="13" s="1"/>
  <c r="C23" i="13"/>
  <c r="F23" i="13" s="1"/>
  <c r="F22" i="13"/>
  <c r="C22" i="13"/>
  <c r="C21" i="13"/>
  <c r="F21" i="13" s="1"/>
  <c r="C20" i="13"/>
  <c r="F20" i="13" s="1"/>
  <c r="C19" i="13"/>
  <c r="F19" i="13" s="1"/>
  <c r="C18" i="13"/>
  <c r="F18" i="13" s="1"/>
  <c r="C17" i="13"/>
  <c r="F17" i="13" s="1"/>
  <c r="C16" i="13"/>
  <c r="F16" i="13" s="1"/>
  <c r="C15" i="13"/>
  <c r="F15" i="13" s="1"/>
  <c r="C14" i="13"/>
  <c r="F14" i="13" s="1"/>
  <c r="C13" i="13"/>
  <c r="F13" i="13" s="1"/>
  <c r="C12" i="13"/>
  <c r="F12" i="13" s="1"/>
  <c r="C11" i="13"/>
  <c r="F11" i="13" s="1"/>
  <c r="C10" i="13"/>
  <c r="F10" i="13" s="1"/>
  <c r="C9" i="13"/>
  <c r="F9" i="13" s="1"/>
  <c r="C8" i="13"/>
  <c r="F8" i="13" s="1"/>
  <c r="C7" i="13"/>
  <c r="U6" i="13"/>
  <c r="G19" i="2" s="1"/>
  <c r="C6" i="13"/>
  <c r="U5" i="13"/>
  <c r="F19" i="2" s="1"/>
  <c r="C5" i="13"/>
  <c r="U4" i="13"/>
  <c r="C4" i="13"/>
  <c r="U3" i="13"/>
  <c r="C3" i="13"/>
  <c r="C2" i="13"/>
  <c r="C46" i="12"/>
  <c r="F46" i="12" s="1"/>
  <c r="C45" i="12"/>
  <c r="F45" i="12" s="1"/>
  <c r="C44" i="12"/>
  <c r="F44" i="12" s="1"/>
  <c r="C43" i="12"/>
  <c r="F43" i="12" s="1"/>
  <c r="C42" i="12"/>
  <c r="F42" i="12" s="1"/>
  <c r="C41" i="12"/>
  <c r="F41" i="12" s="1"/>
  <c r="C40" i="12"/>
  <c r="F40" i="12" s="1"/>
  <c r="C39" i="12"/>
  <c r="F39" i="12" s="1"/>
  <c r="C38" i="12"/>
  <c r="F38" i="12" s="1"/>
  <c r="C37" i="12"/>
  <c r="F37" i="12" s="1"/>
  <c r="C36" i="12"/>
  <c r="F36" i="12" s="1"/>
  <c r="C35" i="12"/>
  <c r="F35" i="12" s="1"/>
  <c r="C34" i="12"/>
  <c r="F34" i="12" s="1"/>
  <c r="C33" i="12"/>
  <c r="F33" i="12" s="1"/>
  <c r="C32" i="12"/>
  <c r="F32" i="12" s="1"/>
  <c r="C31" i="12"/>
  <c r="F31" i="12" s="1"/>
  <c r="F30" i="12"/>
  <c r="C30" i="12"/>
  <c r="C29" i="12"/>
  <c r="F29" i="12" s="1"/>
  <c r="C28" i="12"/>
  <c r="F28" i="12" s="1"/>
  <c r="C27" i="12"/>
  <c r="F27" i="12" s="1"/>
  <c r="C26" i="12"/>
  <c r="F26" i="12" s="1"/>
  <c r="C25" i="12"/>
  <c r="F25" i="12" s="1"/>
  <c r="C24" i="12"/>
  <c r="F24" i="12" s="1"/>
  <c r="C23" i="12"/>
  <c r="F23" i="12" s="1"/>
  <c r="C22" i="12"/>
  <c r="F22" i="12" s="1"/>
  <c r="C21" i="12"/>
  <c r="F21" i="12" s="1"/>
  <c r="C20" i="12"/>
  <c r="F20" i="12" s="1"/>
  <c r="C19" i="12"/>
  <c r="F19" i="12" s="1"/>
  <c r="C18" i="12"/>
  <c r="F18" i="12" s="1"/>
  <c r="C17" i="12"/>
  <c r="F17" i="12" s="1"/>
  <c r="C16" i="12"/>
  <c r="F16" i="12" s="1"/>
  <c r="C15" i="12"/>
  <c r="F15" i="12" s="1"/>
  <c r="C14" i="12"/>
  <c r="F14" i="12" s="1"/>
  <c r="C13" i="12"/>
  <c r="F13" i="12" s="1"/>
  <c r="C12" i="12"/>
  <c r="F12" i="12" s="1"/>
  <c r="C11" i="12"/>
  <c r="F11" i="12" s="1"/>
  <c r="C10" i="12"/>
  <c r="F10" i="12" s="1"/>
  <c r="C9" i="12"/>
  <c r="F9" i="12" s="1"/>
  <c r="C8" i="12"/>
  <c r="F8" i="12" s="1"/>
  <c r="F7" i="12"/>
  <c r="C7" i="12"/>
  <c r="U6" i="12"/>
  <c r="F6" i="12"/>
  <c r="C6" i="12"/>
  <c r="U5" i="12"/>
  <c r="F18" i="2" s="1"/>
  <c r="C5" i="12"/>
  <c r="F5" i="12" s="1"/>
  <c r="U4" i="12"/>
  <c r="C4" i="12"/>
  <c r="F4" i="12" s="1"/>
  <c r="U3" i="12"/>
  <c r="C3" i="12"/>
  <c r="F3" i="12" s="1"/>
  <c r="C2" i="12"/>
  <c r="C16" i="11"/>
  <c r="C15" i="11"/>
  <c r="C14" i="11"/>
  <c r="C13" i="11"/>
  <c r="F12" i="11"/>
  <c r="C12" i="11"/>
  <c r="C11" i="11"/>
  <c r="F11" i="11" s="1"/>
  <c r="C10" i="11"/>
  <c r="F10" i="11" s="1"/>
  <c r="C9" i="11"/>
  <c r="F9" i="11" s="1"/>
  <c r="C8" i="11"/>
  <c r="F8" i="11" s="1"/>
  <c r="C7" i="11"/>
  <c r="F7" i="11" s="1"/>
  <c r="U6" i="11"/>
  <c r="G17" i="2" s="1"/>
  <c r="C6" i="11"/>
  <c r="F6" i="11" s="1"/>
  <c r="U5" i="11"/>
  <c r="F17" i="2" s="1"/>
  <c r="C5" i="11"/>
  <c r="F5" i="11" s="1"/>
  <c r="U4" i="11"/>
  <c r="C4" i="11"/>
  <c r="F4" i="11" s="1"/>
  <c r="U3" i="11"/>
  <c r="C3" i="11"/>
  <c r="F3" i="11" s="1"/>
  <c r="C2" i="11"/>
  <c r="F2" i="11" s="1"/>
  <c r="C17" i="10"/>
  <c r="F17" i="10" s="1"/>
  <c r="C16" i="10"/>
  <c r="F16" i="10" s="1"/>
  <c r="C15" i="10"/>
  <c r="F15" i="10" s="1"/>
  <c r="C14" i="10"/>
  <c r="F14" i="10" s="1"/>
  <c r="C13" i="10"/>
  <c r="F13" i="10" s="1"/>
  <c r="C12" i="10"/>
  <c r="F12" i="10" s="1"/>
  <c r="C11" i="10"/>
  <c r="F11" i="10" s="1"/>
  <c r="C10" i="10"/>
  <c r="C9" i="10"/>
  <c r="F9" i="10" s="1"/>
  <c r="C8" i="10"/>
  <c r="F8" i="10" s="1"/>
  <c r="C7" i="10"/>
  <c r="F7" i="10" s="1"/>
  <c r="U6" i="10"/>
  <c r="G16" i="2" s="1"/>
  <c r="C6" i="10"/>
  <c r="F6" i="10" s="1"/>
  <c r="U5" i="10"/>
  <c r="F16" i="2" s="1"/>
  <c r="C5" i="10"/>
  <c r="F5" i="10" s="1"/>
  <c r="U4" i="10"/>
  <c r="C4" i="10"/>
  <c r="F4" i="10" s="1"/>
  <c r="U3" i="10"/>
  <c r="C3" i="10"/>
  <c r="C2" i="10"/>
  <c r="C27" i="9"/>
  <c r="F27" i="9" s="1"/>
  <c r="C26" i="9"/>
  <c r="F26" i="9" s="1"/>
  <c r="C25" i="9"/>
  <c r="F25" i="9" s="1"/>
  <c r="C24" i="9"/>
  <c r="F24" i="9" s="1"/>
  <c r="C23" i="9"/>
  <c r="C22" i="9"/>
  <c r="C21" i="9"/>
  <c r="C20" i="9"/>
  <c r="C19" i="9"/>
  <c r="C18" i="9"/>
  <c r="C17" i="9"/>
  <c r="C16" i="9"/>
  <c r="C15" i="9"/>
  <c r="C14" i="9"/>
  <c r="F14" i="9" s="1"/>
  <c r="F13" i="9"/>
  <c r="C13" i="9"/>
  <c r="C12" i="9"/>
  <c r="F12" i="9" s="1"/>
  <c r="C11" i="9"/>
  <c r="F11" i="9" s="1"/>
  <c r="C10" i="9"/>
  <c r="F10" i="9" s="1"/>
  <c r="C9" i="9"/>
  <c r="F9" i="9" s="1"/>
  <c r="C8" i="9"/>
  <c r="F8" i="9" s="1"/>
  <c r="C7" i="9"/>
  <c r="F7" i="9" s="1"/>
  <c r="U6" i="9"/>
  <c r="G15" i="2" s="1"/>
  <c r="C6" i="9"/>
  <c r="F6" i="9" s="1"/>
  <c r="U5" i="9"/>
  <c r="F15" i="2" s="1"/>
  <c r="C5" i="9"/>
  <c r="F5" i="9" s="1"/>
  <c r="U4" i="9"/>
  <c r="C4" i="9"/>
  <c r="F4" i="9" s="1"/>
  <c r="U3" i="9"/>
  <c r="C3" i="9"/>
  <c r="F3" i="9" s="1"/>
  <c r="C2" i="9"/>
  <c r="C51" i="8"/>
  <c r="F51" i="8" s="1"/>
  <c r="C50" i="8"/>
  <c r="F50" i="8" s="1"/>
  <c r="C49" i="8"/>
  <c r="F49" i="8" s="1"/>
  <c r="C48" i="8"/>
  <c r="F48" i="8" s="1"/>
  <c r="C47" i="8"/>
  <c r="F47" i="8" s="1"/>
  <c r="C46" i="8"/>
  <c r="F46" i="8" s="1"/>
  <c r="C45" i="8"/>
  <c r="F45" i="8" s="1"/>
  <c r="C44" i="8"/>
  <c r="F44" i="8" s="1"/>
  <c r="C43" i="8"/>
  <c r="F43" i="8" s="1"/>
  <c r="C42" i="8"/>
  <c r="F42" i="8" s="1"/>
  <c r="C41" i="8"/>
  <c r="F41" i="8" s="1"/>
  <c r="C40" i="8"/>
  <c r="F40" i="8" s="1"/>
  <c r="C39" i="8"/>
  <c r="F39" i="8" s="1"/>
  <c r="C38" i="8"/>
  <c r="F38" i="8" s="1"/>
  <c r="C37" i="8"/>
  <c r="F37" i="8" s="1"/>
  <c r="C36" i="8"/>
  <c r="F36" i="8" s="1"/>
  <c r="C35" i="8"/>
  <c r="F35" i="8" s="1"/>
  <c r="C34" i="8"/>
  <c r="F34" i="8" s="1"/>
  <c r="C33" i="8"/>
  <c r="F33" i="8" s="1"/>
  <c r="C32" i="8"/>
  <c r="F32" i="8" s="1"/>
  <c r="C31" i="8"/>
  <c r="F31" i="8" s="1"/>
  <c r="C30" i="8"/>
  <c r="F30" i="8" s="1"/>
  <c r="C29" i="8"/>
  <c r="F29" i="8" s="1"/>
  <c r="C28" i="8"/>
  <c r="F28" i="8" s="1"/>
  <c r="C27" i="8"/>
  <c r="F27" i="8" s="1"/>
  <c r="C26" i="8"/>
  <c r="F26" i="8" s="1"/>
  <c r="C25" i="8"/>
  <c r="F25" i="8" s="1"/>
  <c r="F24" i="8"/>
  <c r="C24" i="8"/>
  <c r="C23" i="8"/>
  <c r="F23" i="8" s="1"/>
  <c r="C22" i="8"/>
  <c r="F22" i="8" s="1"/>
  <c r="C21" i="8"/>
  <c r="F21" i="8" s="1"/>
  <c r="C20" i="8"/>
  <c r="F20" i="8" s="1"/>
  <c r="C19" i="8"/>
  <c r="F19" i="8" s="1"/>
  <c r="C18" i="8"/>
  <c r="F18" i="8" s="1"/>
  <c r="C17" i="8"/>
  <c r="F17" i="8" s="1"/>
  <c r="C16" i="8"/>
  <c r="F16" i="8" s="1"/>
  <c r="C15" i="8"/>
  <c r="F15" i="8" s="1"/>
  <c r="C14" i="8"/>
  <c r="F14" i="8" s="1"/>
  <c r="C13" i="8"/>
  <c r="F13" i="8" s="1"/>
  <c r="C12" i="8"/>
  <c r="F12" i="8" s="1"/>
  <c r="C11" i="8"/>
  <c r="F11" i="8" s="1"/>
  <c r="C10" i="8"/>
  <c r="F10" i="8" s="1"/>
  <c r="C9" i="8"/>
  <c r="F9" i="8" s="1"/>
  <c r="C8" i="8"/>
  <c r="F8" i="8" s="1"/>
  <c r="C7" i="8"/>
  <c r="F7" i="8" s="1"/>
  <c r="U6" i="8"/>
  <c r="C6" i="8"/>
  <c r="F6" i="8" s="1"/>
  <c r="U5" i="8"/>
  <c r="C5" i="8"/>
  <c r="F5" i="8" s="1"/>
  <c r="U4" i="8"/>
  <c r="C4" i="8"/>
  <c r="F4" i="8" s="1"/>
  <c r="U3" i="8"/>
  <c r="C3" i="8"/>
  <c r="F3" i="8" s="1"/>
  <c r="C2" i="8"/>
  <c r="F2" i="8" s="1"/>
  <c r="F29" i="7"/>
  <c r="C29" i="7"/>
  <c r="C28" i="7"/>
  <c r="F28" i="7" s="1"/>
  <c r="C27" i="7"/>
  <c r="F27" i="7" s="1"/>
  <c r="C26" i="7"/>
  <c r="F26" i="7" s="1"/>
  <c r="C25" i="7"/>
  <c r="F25" i="7" s="1"/>
  <c r="F24" i="7"/>
  <c r="C24" i="7"/>
  <c r="C23" i="7"/>
  <c r="F23" i="7" s="1"/>
  <c r="C22" i="7"/>
  <c r="F22" i="7" s="1"/>
  <c r="C21" i="7"/>
  <c r="F21" i="7" s="1"/>
  <c r="C20" i="7"/>
  <c r="F20" i="7" s="1"/>
  <c r="C19" i="7"/>
  <c r="F19" i="7" s="1"/>
  <c r="C18" i="7"/>
  <c r="F18" i="7" s="1"/>
  <c r="C17" i="7"/>
  <c r="F17" i="7" s="1"/>
  <c r="C16" i="7"/>
  <c r="F16" i="7" s="1"/>
  <c r="C15" i="7"/>
  <c r="F15" i="7" s="1"/>
  <c r="C14" i="7"/>
  <c r="F14" i="7" s="1"/>
  <c r="C13" i="7"/>
  <c r="F13" i="7" s="1"/>
  <c r="C12" i="7"/>
  <c r="F12" i="7" s="1"/>
  <c r="C11" i="7"/>
  <c r="F11" i="7" s="1"/>
  <c r="C10" i="7"/>
  <c r="F10" i="7" s="1"/>
  <c r="C9" i="7"/>
  <c r="F9" i="7" s="1"/>
  <c r="C8" i="7"/>
  <c r="F8" i="7" s="1"/>
  <c r="C7" i="7"/>
  <c r="F7" i="7" s="1"/>
  <c r="U6" i="7"/>
  <c r="G13" i="2" s="1"/>
  <c r="C6" i="7"/>
  <c r="F6" i="7" s="1"/>
  <c r="U5" i="7"/>
  <c r="C5" i="7"/>
  <c r="F5" i="7" s="1"/>
  <c r="U4" i="7"/>
  <c r="C4" i="7"/>
  <c r="F4" i="7" s="1"/>
  <c r="U3" i="7"/>
  <c r="C3" i="7"/>
  <c r="F3" i="7" s="1"/>
  <c r="C2" i="7"/>
  <c r="F2" i="7" s="1"/>
  <c r="F66" i="6"/>
  <c r="C66" i="6"/>
  <c r="C65" i="6"/>
  <c r="F65" i="6" s="1"/>
  <c r="C64" i="6"/>
  <c r="F64" i="6" s="1"/>
  <c r="C63" i="6"/>
  <c r="F63" i="6" s="1"/>
  <c r="C62" i="6"/>
  <c r="F62" i="6" s="1"/>
  <c r="C61" i="6"/>
  <c r="F61" i="6" s="1"/>
  <c r="C60" i="6"/>
  <c r="F60" i="6" s="1"/>
  <c r="C59" i="6"/>
  <c r="F59" i="6" s="1"/>
  <c r="C58" i="6"/>
  <c r="F58" i="6" s="1"/>
  <c r="C57" i="6"/>
  <c r="F57" i="6" s="1"/>
  <c r="C56" i="6"/>
  <c r="F56" i="6" s="1"/>
  <c r="C55" i="6"/>
  <c r="F55" i="6" s="1"/>
  <c r="C54" i="6"/>
  <c r="F54" i="6" s="1"/>
  <c r="C53" i="6"/>
  <c r="F53" i="6" s="1"/>
  <c r="C52" i="6"/>
  <c r="F52" i="6" s="1"/>
  <c r="C51" i="6"/>
  <c r="F51" i="6" s="1"/>
  <c r="C50" i="6"/>
  <c r="F50" i="6" s="1"/>
  <c r="C49" i="6"/>
  <c r="F49" i="6" s="1"/>
  <c r="C48" i="6"/>
  <c r="F48" i="6" s="1"/>
  <c r="C47" i="6"/>
  <c r="F47" i="6" s="1"/>
  <c r="C46" i="6"/>
  <c r="F46" i="6" s="1"/>
  <c r="C45" i="6"/>
  <c r="F45" i="6" s="1"/>
  <c r="C44" i="6"/>
  <c r="F44" i="6" s="1"/>
  <c r="C43" i="6"/>
  <c r="F43" i="6" s="1"/>
  <c r="C42" i="6"/>
  <c r="F42" i="6" s="1"/>
  <c r="C41" i="6"/>
  <c r="F41" i="6" s="1"/>
  <c r="C40" i="6"/>
  <c r="F40" i="6" s="1"/>
  <c r="C39" i="6"/>
  <c r="F39" i="6" s="1"/>
  <c r="C38" i="6"/>
  <c r="F38" i="6" s="1"/>
  <c r="C37" i="6"/>
  <c r="F37" i="6" s="1"/>
  <c r="C36" i="6"/>
  <c r="F36" i="6" s="1"/>
  <c r="C35" i="6"/>
  <c r="F35" i="6" s="1"/>
  <c r="C34" i="6"/>
  <c r="F34" i="6" s="1"/>
  <c r="C33" i="6"/>
  <c r="F33" i="6" s="1"/>
  <c r="C32" i="6"/>
  <c r="F32" i="6" s="1"/>
  <c r="C31" i="6"/>
  <c r="F31" i="6" s="1"/>
  <c r="C30" i="6"/>
  <c r="F30" i="6" s="1"/>
  <c r="C29" i="6"/>
  <c r="F29" i="6" s="1"/>
  <c r="C28" i="6"/>
  <c r="F28" i="6" s="1"/>
  <c r="C27" i="6"/>
  <c r="F27" i="6" s="1"/>
  <c r="C26" i="6"/>
  <c r="F26" i="6" s="1"/>
  <c r="C25" i="6"/>
  <c r="F25" i="6" s="1"/>
  <c r="C24" i="6"/>
  <c r="F24" i="6" s="1"/>
  <c r="C23" i="6"/>
  <c r="F23" i="6" s="1"/>
  <c r="F22" i="6"/>
  <c r="C22" i="6"/>
  <c r="C21" i="6"/>
  <c r="F21" i="6" s="1"/>
  <c r="C20" i="6"/>
  <c r="F20" i="6" s="1"/>
  <c r="C19" i="6"/>
  <c r="F19" i="6" s="1"/>
  <c r="C18" i="6"/>
  <c r="F18" i="6" s="1"/>
  <c r="C17" i="6"/>
  <c r="F17" i="6" s="1"/>
  <c r="C16" i="6"/>
  <c r="F16" i="6" s="1"/>
  <c r="C15" i="6"/>
  <c r="F15" i="6" s="1"/>
  <c r="C14" i="6"/>
  <c r="F14" i="6" s="1"/>
  <c r="C13" i="6"/>
  <c r="F13" i="6" s="1"/>
  <c r="C12" i="6"/>
  <c r="F12" i="6" s="1"/>
  <c r="C11" i="6"/>
  <c r="F11" i="6" s="1"/>
  <c r="C10" i="6"/>
  <c r="F10" i="6" s="1"/>
  <c r="C9" i="6"/>
  <c r="F9" i="6" s="1"/>
  <c r="C8" i="6"/>
  <c r="F8" i="6" s="1"/>
  <c r="C7" i="6"/>
  <c r="F7" i="6" s="1"/>
  <c r="U6" i="6"/>
  <c r="G12" i="2" s="1"/>
  <c r="C6" i="6"/>
  <c r="F6" i="6" s="1"/>
  <c r="U5" i="6"/>
  <c r="F12" i="2" s="1"/>
  <c r="C5" i="6"/>
  <c r="F5" i="6" s="1"/>
  <c r="U4" i="6"/>
  <c r="C4" i="6"/>
  <c r="F4" i="6" s="1"/>
  <c r="U3" i="6"/>
  <c r="C3" i="6"/>
  <c r="F3" i="6" s="1"/>
  <c r="C2" i="6"/>
  <c r="F18" i="5"/>
  <c r="F17" i="5"/>
  <c r="F16" i="5"/>
  <c r="F15" i="5"/>
  <c r="F14" i="5"/>
  <c r="F13" i="5"/>
  <c r="F12" i="5"/>
  <c r="F11" i="5"/>
  <c r="F10" i="5"/>
  <c r="F9" i="5"/>
  <c r="F8" i="5"/>
  <c r="F7" i="5"/>
  <c r="U6" i="5"/>
  <c r="G11" i="2" s="1"/>
  <c r="F6" i="5"/>
  <c r="U5" i="5"/>
  <c r="F11" i="2" s="1"/>
  <c r="F5" i="5"/>
  <c r="U4" i="5"/>
  <c r="F4" i="5"/>
  <c r="U3" i="5"/>
  <c r="F3" i="5"/>
  <c r="U2" i="5"/>
  <c r="F2" i="5"/>
  <c r="U3" i="3"/>
  <c r="G24" i="2"/>
  <c r="G23" i="2"/>
  <c r="F23" i="2"/>
  <c r="G22" i="2"/>
  <c r="F22" i="2"/>
  <c r="G21" i="2"/>
  <c r="F21" i="2"/>
  <c r="G18" i="2"/>
  <c r="G14" i="2"/>
  <c r="F14" i="2"/>
  <c r="F13" i="2"/>
  <c r="E11" i="2"/>
  <c r="E10" i="2"/>
  <c r="F26" i="2" l="1"/>
  <c r="G26" i="2"/>
  <c r="U2" i="7"/>
  <c r="E13" i="2" s="1"/>
  <c r="I13" i="2" s="1"/>
  <c r="U2" i="14"/>
  <c r="E20" i="2" s="1"/>
  <c r="U2" i="18"/>
  <c r="E24" i="2" s="1"/>
  <c r="I24" i="2" s="1"/>
  <c r="U2" i="9"/>
  <c r="E15" i="2" s="1"/>
  <c r="I15" i="2" s="1"/>
  <c r="U2" i="6"/>
  <c r="E12" i="2" s="1"/>
  <c r="I12" i="2" s="1"/>
  <c r="F2" i="6"/>
  <c r="U2" i="11"/>
  <c r="E17" i="2" s="1"/>
  <c r="U2" i="17"/>
  <c r="E23" i="2" s="1"/>
  <c r="U2" i="8"/>
  <c r="E14" i="2" s="1"/>
  <c r="U2" i="13"/>
  <c r="E19" i="2" s="1"/>
  <c r="I11" i="2"/>
  <c r="U2" i="16"/>
  <c r="E22" i="2" s="1"/>
  <c r="H11" i="2"/>
  <c r="U2" i="10"/>
  <c r="E16" i="2" s="1"/>
  <c r="U2" i="15"/>
  <c r="E21" i="2" s="1"/>
  <c r="F2" i="9"/>
  <c r="U2" i="12"/>
  <c r="E18" i="2" s="1"/>
  <c r="F2" i="12"/>
  <c r="F2" i="18"/>
  <c r="H13" i="2" l="1"/>
  <c r="I20" i="2"/>
  <c r="H20" i="2"/>
  <c r="H24" i="2"/>
  <c r="H15" i="2"/>
  <c r="E26" i="2"/>
  <c r="I26" i="2" s="1"/>
  <c r="H12" i="2"/>
  <c r="I16" i="2"/>
  <c r="H16" i="2"/>
  <c r="I17" i="2"/>
  <c r="H17" i="2"/>
  <c r="H14" i="2"/>
  <c r="I14" i="2"/>
  <c r="H23" i="2"/>
  <c r="I23" i="2"/>
  <c r="H22" i="2"/>
  <c r="I22" i="2"/>
  <c r="I21" i="2"/>
  <c r="H21" i="2"/>
  <c r="H18" i="2"/>
  <c r="I18" i="2"/>
  <c r="I19" i="2"/>
  <c r="H19" i="2"/>
  <c r="H26" i="2" l="1"/>
</calcChain>
</file>

<file path=xl/sharedStrings.xml><?xml version="1.0" encoding="utf-8"?>
<sst xmlns="http://schemas.openxmlformats.org/spreadsheetml/2006/main" count="4359" uniqueCount="1459">
  <si>
    <r>
      <rPr>
        <b/>
        <sz val="22"/>
        <rFont val="Calibri"/>
        <family val="2"/>
      </rPr>
      <t>Deliverable Security Review</t>
    </r>
    <r>
      <rPr>
        <b/>
        <sz val="22"/>
        <rFont val="Calibri"/>
        <family val="2"/>
      </rPr>
      <t xml:space="preserve"> 
</t>
    </r>
    <r>
      <rPr>
        <sz val="16"/>
        <rFont val="Calibri"/>
        <family val="2"/>
      </rPr>
      <t xml:space="preserve">Deliverable Security Reviews (DSRs) protect customers by reviewing code and architecture for security best practices before we give them to customers. Security is top priority at AWS and that means looking at everything we give to customers with an eye for security. This document is a roadmap to help you complete the security review. You will scan your code, consider your customer's risks, and plan security mitigations for risks that relate your project. The context and content of this security review is the deliverable that we are producing for the customer: the </t>
    </r>
    <r>
      <rPr>
        <b/>
        <sz val="16"/>
        <rFont val="Calibri"/>
        <family val="2"/>
      </rPr>
      <t>code</t>
    </r>
    <r>
      <rPr>
        <sz val="16"/>
        <rFont val="Calibri"/>
        <family val="2"/>
      </rPr>
      <t xml:space="preserve"> we write, the </t>
    </r>
    <r>
      <rPr>
        <b/>
        <sz val="16"/>
        <rFont val="Calibri"/>
        <family val="2"/>
      </rPr>
      <t>architecture</t>
    </r>
    <r>
      <rPr>
        <sz val="16"/>
        <rFont val="Calibri"/>
        <family val="2"/>
      </rPr>
      <t xml:space="preserve"> we provide, the </t>
    </r>
    <r>
      <rPr>
        <b/>
        <sz val="16"/>
        <rFont val="Calibri"/>
        <family val="2"/>
      </rPr>
      <t>guidance</t>
    </r>
    <r>
      <rPr>
        <sz val="16"/>
        <rFont val="Calibri"/>
        <family val="2"/>
      </rPr>
      <t xml:space="preserve"> or </t>
    </r>
    <r>
      <rPr>
        <b/>
        <sz val="16"/>
        <rFont val="Calibri"/>
        <family val="2"/>
      </rPr>
      <t>other outputs</t>
    </r>
    <r>
      <rPr>
        <sz val="16"/>
        <rFont val="Calibri"/>
        <family val="2"/>
      </rPr>
      <t xml:space="preserve"> that the customer receives from us. The customer's running environment might be in scope, but it might not. We are not asking you to assess the entire cloud environment (unless the deliverable of the engagement is the entire cloud environment). Think of this spreadsheet like sheet music: it tells you what to sing and a bit about how to sing it, but it's still your job to sing the song.</t>
    </r>
    <r>
      <rPr>
        <sz val="16"/>
        <rFont val="Calibri"/>
        <family val="2"/>
      </rPr>
      <t xml:space="preserve"> 
</t>
    </r>
    <r>
      <rPr>
        <b/>
        <sz val="16"/>
        <rFont val="Calibri"/>
        <family val="2"/>
      </rPr>
      <t>General Guidelines:</t>
    </r>
    <r>
      <rPr>
        <sz val="16"/>
        <rFont val="Calibri"/>
        <family val="2"/>
      </rPr>
      <t xml:space="preserve"> When the end customer doesn't know what security controls they need, the consultant should implement security controls such as encryption in-transit and at-rest, logging as default controls. Always inform the customer of the security decisions you are making in the project and if it satisfies customer's needs. (When in doubt, always take high security bar). End customer can choose to not implement security controls we deem critical, and in those cases we must document the customer's decision and reasoning.</t>
    </r>
    <r>
      <rPr>
        <sz val="16"/>
        <rFont val="Calibri"/>
        <family val="2"/>
      </rPr>
      <t xml:space="preserve"> 
</t>
    </r>
    <r>
      <rPr>
        <b/>
        <sz val="20.5"/>
        <rFont val="Calibri"/>
        <family val="2"/>
      </rPr>
      <t>How to use this Security Matrix:</t>
    </r>
    <r>
      <rPr>
        <b/>
        <sz val="20.5"/>
        <rFont val="Calibri"/>
        <family val="2"/>
      </rPr>
      <t xml:space="preserve"> 
</t>
    </r>
    <r>
      <rPr>
        <sz val="16"/>
        <rFont val="Calibri"/>
        <family val="2"/>
      </rPr>
      <t xml:space="preserve">1. </t>
    </r>
    <r>
      <rPr>
        <sz val="16"/>
        <rFont val="Calibri"/>
        <family val="2"/>
      </rPr>
      <t>Start by populating the fields in the "Summary" tab.</t>
    </r>
    <r>
      <rPr>
        <sz val="16"/>
        <rFont val="Calibri"/>
        <family val="2"/>
      </rPr>
      <t xml:space="preserve"> 
</t>
    </r>
    <r>
      <rPr>
        <sz val="16"/>
        <rFont val="Calibri"/>
        <family val="2"/>
      </rPr>
      <t xml:space="preserve">2. </t>
    </r>
    <r>
      <rPr>
        <sz val="16"/>
        <rFont val="Calibri"/>
        <family val="2"/>
      </rPr>
      <t xml:space="preserve">Go to the "List of Services" tab. Select the services used in your project. </t>
    </r>
    <r>
      <rPr>
        <sz val="16"/>
        <rFont val="Calibri"/>
        <family val="2"/>
      </rPr>
      <t xml:space="preserve"> 
</t>
    </r>
    <r>
      <rPr>
        <sz val="16"/>
        <rFont val="Calibri"/>
        <family val="2"/>
      </rPr>
      <t xml:space="preserve">3. </t>
    </r>
    <r>
      <rPr>
        <sz val="16"/>
        <rFont val="Calibri"/>
        <family val="2"/>
      </rPr>
      <t xml:space="preserve">Is there source code already developed for the solution? 
</t>
    </r>
    <r>
      <rPr>
        <sz val="16"/>
        <rFont val="Calibri"/>
        <family val="2"/>
      </rPr>
      <t xml:space="preserve">    a. </t>
    </r>
    <r>
      <rPr>
        <sz val="16"/>
        <rFont val="Calibri"/>
        <family val="2"/>
      </rPr>
      <t>If Yes, visit the "Code Scanning Tools" tab. You will run some applicable security scanners (ASH or Probe recommended). You will need to remediate the findings before sending the code to the customer.</t>
    </r>
    <r>
      <rPr>
        <sz val="16"/>
        <rFont val="Calibri"/>
        <family val="2"/>
      </rPr>
      <t xml:space="preserve"> 
</t>
    </r>
    <r>
      <rPr>
        <sz val="16"/>
        <rFont val="Calibri"/>
        <family val="2"/>
      </rPr>
      <t xml:space="preserve">    b. </t>
    </r>
    <r>
      <rPr>
        <sz val="16"/>
        <rFont val="Calibri"/>
        <family val="2"/>
      </rPr>
      <t>If No, plan to incorporate security code scanning tools into your delivery mechanisms</t>
    </r>
    <r>
      <rPr>
        <sz val="16"/>
        <rFont val="Calibri"/>
        <family val="2"/>
      </rPr>
      <t xml:space="preserve"> 
</t>
    </r>
    <r>
      <rPr>
        <sz val="16"/>
        <rFont val="Calibri"/>
        <family val="2"/>
      </rPr>
      <t xml:space="preserve">4. </t>
    </r>
    <r>
      <rPr>
        <sz val="16"/>
        <rFont val="Calibri"/>
        <family val="2"/>
      </rPr>
      <t>Move to "I. General" tab and others as applicable to the services being used by your project.</t>
    </r>
    <r>
      <rPr>
        <sz val="16"/>
        <rFont val="Calibri"/>
        <family val="2"/>
      </rPr>
      <t xml:space="preserve"> 
</t>
    </r>
    <r>
      <rPr>
        <sz val="16"/>
        <rFont val="Calibri"/>
        <family val="2"/>
      </rPr>
      <t xml:space="preserve">5. </t>
    </r>
    <r>
      <rPr>
        <sz val="16"/>
        <rFont val="Calibri"/>
        <family val="2"/>
      </rPr>
      <t>Add relevant details in the 'Column F' 'Comments' to facilitate the review with the security reviewer.</t>
    </r>
    <r>
      <rPr>
        <sz val="16"/>
        <rFont val="Calibri"/>
        <family val="2"/>
      </rPr>
      <t xml:space="preserve"> 
</t>
    </r>
    <r>
      <rPr>
        <sz val="16"/>
        <rFont val="Calibri"/>
        <family val="2"/>
      </rPr>
      <t xml:space="preserve">6. </t>
    </r>
    <r>
      <rPr>
        <sz val="16"/>
        <rFont val="Calibri"/>
        <family val="2"/>
      </rPr>
      <t>Under Column E "Answer", do not select "Yes, validated with cdk_nag" as that value is meant to be automatically selected when you have used CDK-NAG as discussed in point number 2 above.</t>
    </r>
    <r>
      <rPr>
        <sz val="16"/>
        <rFont val="Calibri"/>
        <family val="2"/>
      </rPr>
      <t xml:space="preserve"> 
</t>
    </r>
    <r>
      <rPr>
        <sz val="16"/>
        <rFont val="Calibri"/>
        <family val="2"/>
      </rPr>
      <t xml:space="preserve">7. </t>
    </r>
    <r>
      <rPr>
        <sz val="16"/>
        <rFont val="Calibri"/>
        <family val="2"/>
      </rPr>
      <t>Under Column G, any security control identified as a Release Blocker is critical and will require discussion with your security reviewer.</t>
    </r>
    <r>
      <rPr>
        <sz val="16"/>
        <rFont val="Calibri"/>
        <family val="2"/>
      </rPr>
      <t xml:space="preserve"> 
</t>
    </r>
    <r>
      <rPr>
        <sz val="16"/>
        <rFont val="Calibri"/>
        <family val="2"/>
      </rPr>
      <t xml:space="preserve">8. </t>
    </r>
    <r>
      <rPr>
        <sz val="16"/>
        <rFont val="Calibri"/>
        <family val="2"/>
      </rPr>
      <t>Attach the completed version of this spreadsheet to the SIM ticket, so your security reviewer can review and document the outcome of the review.</t>
    </r>
  </si>
  <si>
    <r>
      <rPr>
        <b/>
        <sz val="14"/>
        <rFont val="Calibri"/>
        <family val="2"/>
      </rPr>
      <t>Project Name</t>
    </r>
  </si>
  <si>
    <r>
      <rPr>
        <b/>
        <sz val="14"/>
        <rFont val="Calibri"/>
        <family val="2"/>
      </rPr>
      <t>Project ID</t>
    </r>
  </si>
  <si>
    <r>
      <rPr>
        <b/>
        <sz val="14"/>
        <rFont val="Calibri"/>
        <family val="2"/>
      </rPr>
      <t>Version</t>
    </r>
  </si>
  <si>
    <t/>
  </si>
  <si>
    <t>Index</t>
  </si>
  <si>
    <t>Identified</t>
  </si>
  <si>
    <t>Mitigated</t>
  </si>
  <si>
    <t>Not Mitigated</t>
  </si>
  <si>
    <t>Mitigation Progress</t>
  </si>
  <si>
    <t>Assessment Progress</t>
  </si>
  <si>
    <t>Specify services in use</t>
  </si>
  <si>
    <t>-</t>
  </si>
  <si>
    <t>I. General</t>
  </si>
  <si>
    <t>II. Compute</t>
  </si>
  <si>
    <t>III. Storage</t>
  </si>
  <si>
    <t>IV. Databases</t>
  </si>
  <si>
    <t>V. Network &amp; Delivery</t>
  </si>
  <si>
    <t>VI. Management &amp; Governance</t>
  </si>
  <si>
    <t>VII. Machine Learning</t>
  </si>
  <si>
    <t>VIII. Analytics</t>
  </si>
  <si>
    <t>IX. Security &amp; Compliance</t>
  </si>
  <si>
    <t>X. Serverless</t>
  </si>
  <si>
    <t>XI. Application Integration</t>
  </si>
  <si>
    <t>XII. Media Services</t>
  </si>
  <si>
    <t>XIII. Developer Tools</t>
  </si>
  <si>
    <t>XIV. Internet of Things</t>
  </si>
  <si>
    <t>Total</t>
  </si>
  <si>
    <t>Version: 6f39632</t>
  </si>
  <si>
    <t xml:space="preserve">Need to submit changes(e.g. add a new AWS Service?) to the Security Matrix template? Here is the process: https://tiny.amazon.com/f0a0hokr </t>
  </si>
  <si>
    <t>Does your prototype use one or more AWS Services not covered below?</t>
  </si>
  <si>
    <t>No</t>
  </si>
  <si>
    <t>If the answer is YES, list them HERE:</t>
  </si>
  <si>
    <t>Answered</t>
  </si>
  <si>
    <r>
      <rPr>
        <b/>
        <sz val="11"/>
        <rFont val="Calibri"/>
        <family val="2"/>
      </rPr>
      <t>In Use?</t>
    </r>
  </si>
  <si>
    <t>EC2</t>
  </si>
  <si>
    <t>VPC</t>
  </si>
  <si>
    <t>Athena</t>
  </si>
  <si>
    <t>EventBridge</t>
  </si>
  <si>
    <t>IoT Core</t>
  </si>
  <si>
    <t>ECR</t>
  </si>
  <si>
    <t>CloudFront</t>
  </si>
  <si>
    <t>Glue</t>
  </si>
  <si>
    <t>SNS</t>
  </si>
  <si>
    <t>ECS</t>
  </si>
  <si>
    <t>API Gateway</t>
  </si>
  <si>
    <t>Elastic Map Reduce</t>
  </si>
  <si>
    <t>SQS</t>
  </si>
  <si>
    <t>EKS</t>
  </si>
  <si>
    <t>Transit Gateway</t>
  </si>
  <si>
    <t>OpenSearch</t>
  </si>
  <si>
    <t>Batch</t>
  </si>
  <si>
    <t>Network Firewall</t>
  </si>
  <si>
    <t>Kinesis Data Analytics</t>
  </si>
  <si>
    <t>Elastic Beanstalk</t>
  </si>
  <si>
    <t>AWS Network Manager</t>
  </si>
  <si>
    <t>Kinesis Data Stream</t>
  </si>
  <si>
    <t>Elastic Load Balancing</t>
  </si>
  <si>
    <t>Managed Streaming For Apache Kafka</t>
  </si>
  <si>
    <t>QuickSight</t>
  </si>
  <si>
    <t>Kinesis Data Firehose</t>
  </si>
  <si>
    <t>Amazon S3</t>
  </si>
  <si>
    <t>CloudFormation</t>
  </si>
  <si>
    <t>IAM</t>
  </si>
  <si>
    <t>MediaStore</t>
  </si>
  <si>
    <t>EFS</t>
  </si>
  <si>
    <t>Auto Scaling</t>
  </si>
  <si>
    <t>Cognito</t>
  </si>
  <si>
    <t>MediaLive</t>
  </si>
  <si>
    <t>FSx*</t>
  </si>
  <si>
    <t>CloudWatch</t>
  </si>
  <si>
    <t>Secrets Manager</t>
  </si>
  <si>
    <t>FSxN</t>
  </si>
  <si>
    <t>AWS System Manager Automation Document</t>
  </si>
  <si>
    <t>Key Management Service</t>
  </si>
  <si>
    <t>Parameter Store</t>
  </si>
  <si>
    <t>AWS Organisations</t>
  </si>
  <si>
    <t>AWS Security Token Service</t>
  </si>
  <si>
    <t>AWS Resource Access Manager</t>
  </si>
  <si>
    <t>RDS</t>
  </si>
  <si>
    <t>Comprehend</t>
  </si>
  <si>
    <t>AppSync</t>
  </si>
  <si>
    <t>CodeBuild</t>
  </si>
  <si>
    <t>Dynamo DB</t>
  </si>
  <si>
    <t>SageMaker</t>
  </si>
  <si>
    <t>Lambda</t>
  </si>
  <si>
    <t>CodeCommit</t>
  </si>
  <si>
    <t>ElastiCache</t>
  </si>
  <si>
    <t>Forecast</t>
  </si>
  <si>
    <t>Step Functions</t>
  </si>
  <si>
    <t>Cloud9</t>
  </si>
  <si>
    <t>Neptune</t>
  </si>
  <si>
    <t>Amazon Lex</t>
  </si>
  <si>
    <t>Redshift</t>
  </si>
  <si>
    <t>Personalize</t>
  </si>
  <si>
    <t>Document DB</t>
  </si>
  <si>
    <t>Amazon Rekognition</t>
  </si>
  <si>
    <t>Timestream</t>
  </si>
  <si>
    <r>
      <rPr>
        <b/>
        <sz val="18"/>
        <color rgb="FFFF0000"/>
        <rFont val="Calibri"/>
        <family val="2"/>
      </rPr>
      <t>Code Scanning is a minimum requirement for all engagement delivering code.</t>
    </r>
    <r>
      <rPr>
        <b/>
        <sz val="18"/>
        <rFont val="Calibri"/>
        <family val="2"/>
      </rPr>
      <t xml:space="preserve"> 
</t>
    </r>
    <r>
      <rPr>
        <sz val="12"/>
        <rFont val="Calibri"/>
        <family val="2"/>
      </rPr>
      <t xml:space="preserve">For all projects, you have to scan with a secrets scanner, 3rd party vulnerability scanner and your language specific scanner. 
</t>
    </r>
    <r>
      <rPr>
        <b/>
        <u/>
        <sz val="12"/>
        <rFont val="Calibri"/>
        <family val="2"/>
      </rPr>
      <t>Select your languages or frameworks used in your solution so you get clear guidance on what scanners to use.</t>
    </r>
  </si>
  <si>
    <r>
      <rPr>
        <sz val="12"/>
        <rFont val="Calibri"/>
        <family val="2"/>
      </rPr>
      <t>If you can use one of the multiscanners highlighted in orange below, then you don’t need to run language specific scanners individually. 
If you cannot use either of the scanners highlighted in orange. 
Then use the table below to see which specific scanners you need to run depending on the languages you selected.</t>
    </r>
  </si>
  <si>
    <r>
      <rPr>
        <b/>
        <sz val="16"/>
        <rFont val="Calibri"/>
        <family val="2"/>
      </rPr>
      <t>Framework of multiple scanners (If you can use either of them, you can skip individual scanner list below)</t>
    </r>
  </si>
  <si>
    <r>
      <rPr>
        <b/>
        <sz val="11"/>
        <rFont val="Calibri"/>
        <family val="2"/>
      </rPr>
      <t>Recommended</t>
    </r>
  </si>
  <si>
    <t>ASH</t>
  </si>
  <si>
    <r>
      <rPr>
        <sz val="12"/>
        <rFont val="Calibri"/>
        <family val="2"/>
      </rPr>
      <t>This scanning framework detects what type of code and language framework (CDK, CloudFormation, TerraForm, Python, Jupyter notebooks) your project uses and triggers multiple scanners to cover different scans. Runs checkov, cdk_nag and cfn_nag on Infrastructure as Code (CloudFormation, Terraform). It also includes scanning for git secrets, 3rd party dependancy vulnerabilities. It runs Bandit and Safety on Python code. Runs git-secrets to detect secrets leak. It also runs cdk_nag on existing CloudFormation so you get the coverage for DSR security matrix validation.</t>
    </r>
  </si>
  <si>
    <t>ASH External Link</t>
  </si>
  <si>
    <t>Probe</t>
  </si>
  <si>
    <r>
      <rPr>
        <sz val="12"/>
        <rFont val="Calibri"/>
        <family val="2"/>
      </rPr>
      <t>This standalone can be used to run on your workstation or configured into your build pipeline. It detects what type of code and language framework (CloudFormation, TerraForm, Python, Go) your project uses and triggers multiple scanners to cover different scans. Runs checkov, cfn_nag on Infrastructure as Code (CloudFormation, Terraform). It also includes scanning for git secrets, 3rd party dependancy vulnerabilities. It runs Bandit and Safety on Python code. Runs git-secrets to detect secrets leak.</t>
    </r>
  </si>
  <si>
    <r>
      <rPr>
        <sz val="12"/>
        <rFont val="Calibri"/>
        <family val="2"/>
      </rPr>
      <t>If you cannot use the either of the scanners listed above, run all the applicable scanner marked as "Required" from the table below and attach your results to the DSR review ticket.</t>
    </r>
  </si>
  <si>
    <r>
      <rPr>
        <b/>
        <sz val="16"/>
        <rFont val="Calibri"/>
        <family val="2"/>
      </rPr>
      <t>Usage</t>
    </r>
  </si>
  <si>
    <r>
      <rPr>
        <b/>
        <sz val="16"/>
        <rFont val="Calibri"/>
        <family val="2"/>
      </rPr>
      <t>Tool Name</t>
    </r>
  </si>
  <si>
    <r>
      <rPr>
        <b/>
        <sz val="16"/>
        <rFont val="Calibri"/>
        <family val="2"/>
      </rPr>
      <t>Notes/Instructions</t>
    </r>
  </si>
  <si>
    <r>
      <rPr>
        <b/>
        <sz val="16"/>
        <rFont val="Calibri"/>
        <family val="2"/>
      </rPr>
      <t>CDK Templates</t>
    </r>
  </si>
  <si>
    <r>
      <rPr>
        <b/>
        <sz val="11"/>
        <rFont val="Calibri"/>
        <family val="2"/>
      </rPr>
      <t>Required</t>
    </r>
  </si>
  <si>
    <t>cdk_nag</t>
  </si>
  <si>
    <t>The cdk-nag module looks for security compliance with security patterns in CDK projects. It has built in rules for AWS services under AWS Solutions Library. It also supports scanning for PCI, NIST frameworks. The AWS Solutions Library directly maps to the DSR Security Controls in Matrix.</t>
  </si>
  <si>
    <r>
      <rPr>
        <b/>
        <sz val="16"/>
        <rFont val="Calibri"/>
        <family val="2"/>
      </rPr>
      <t>Secrets Scanner</t>
    </r>
  </si>
  <si>
    <t>git-secrets</t>
  </si>
  <si>
    <r>
      <rPr>
        <sz val="12"/>
        <rFont val="Calibri"/>
        <family val="2"/>
      </rPr>
      <t>Prevents you from committing secrets and credentials into git repositories.</t>
    </r>
  </si>
  <si>
    <r>
      <rPr>
        <b/>
        <sz val="16"/>
        <rFont val="Calibri"/>
        <family val="2"/>
      </rPr>
      <t>CloudFormation Templates</t>
    </r>
  </si>
  <si>
    <t>cfn_nag</t>
  </si>
  <si>
    <r>
      <rPr>
        <sz val="12"/>
        <rFont val="Calibri"/>
        <family val="2"/>
      </rPr>
      <t>The cfn-nag tool looks for patterns in CloudFormation templates that may indicate insecure infrastructure. Roughly speaking, it will look for IAM rules that are too permissive (wildcards), security group rules that are too permissive (wildcards), access logs that aren't enabled, encryption that isn't enabled, and password literals</t>
    </r>
  </si>
  <si>
    <t>Optional</t>
  </si>
  <si>
    <t>cfn_lint</t>
  </si>
  <si>
    <t>Validate AWS CloudFormation yaml/json templates against the AWS CloudFormation Resource Specification and additional checks. Includes checking valid values for resource properties and best practices.</t>
  </si>
  <si>
    <t>cfn_guard</t>
  </si>
  <si>
    <r>
      <rPr>
        <sz val="12"/>
        <rFont val="Calibri"/>
        <family val="2"/>
      </rPr>
      <t>Checks AWS CloudFormation templates for policy compliance using a simple, policy-as-code, declarative syntax.</t>
    </r>
  </si>
  <si>
    <t>AWS Security Designer</t>
  </si>
  <si>
    <t>IAM Policy Linter</t>
  </si>
  <si>
    <r>
      <rPr>
        <b/>
        <sz val="16"/>
        <rFont val="Calibri"/>
        <family val="2"/>
      </rPr>
      <t>JavaScript Code</t>
    </r>
  </si>
  <si>
    <t>Semgrep</t>
  </si>
  <si>
    <r>
      <rPr>
        <sz val="12"/>
        <rFont val="Calibri"/>
        <family val="2"/>
      </rPr>
      <t>Semgrep is a static code analysis tool that support javascript, typescript and many other languages</t>
    </r>
  </si>
  <si>
    <t>npm-audit</t>
  </si>
  <si>
    <r>
      <rPr>
        <sz val="12"/>
        <rFont val="Calibri"/>
        <family val="2"/>
      </rPr>
      <t>retire.js has deprecated its node.js support and now recommends npm audit instead.</t>
    </r>
  </si>
  <si>
    <t>Drek</t>
  </si>
  <si>
    <r>
      <rPr>
        <sz val="12"/>
        <rFont val="Calibri"/>
        <family val="2"/>
      </rPr>
      <t>A static-code-analysis tool that can be used to perform security-focused code reviews. It enables an auditor to swiftly map the attack-surface of a large application, with an emphasis on identifying development anti-patterns and footguns.</t>
    </r>
  </si>
  <si>
    <t>Jshint</t>
  </si>
  <si>
    <r>
      <rPr>
        <sz val="12"/>
        <rFont val="Calibri"/>
        <family val="2"/>
      </rPr>
      <t>A community-driven tool that detects errors and potential problems in JavaScript code.</t>
    </r>
  </si>
  <si>
    <r>
      <rPr>
        <b/>
        <sz val="16"/>
        <rFont val="Calibri"/>
        <family val="2"/>
      </rPr>
      <t>GoLang Code</t>
    </r>
  </si>
  <si>
    <r>
      <rPr>
        <sz val="12"/>
        <rFont val="Calibri"/>
        <family val="2"/>
      </rPr>
      <t>Semgrep is a static code analysis tool that support GoLang and many other languages</t>
    </r>
  </si>
  <si>
    <r>
      <rPr>
        <b/>
        <sz val="16"/>
        <rFont val="Calibri"/>
        <family val="2"/>
      </rPr>
      <t>Python Code</t>
    </r>
  </si>
  <si>
    <t>Bandit</t>
  </si>
  <si>
    <r>
      <rPr>
        <sz val="12"/>
        <rFont val="Calibri"/>
        <family val="2"/>
      </rPr>
      <t>Bandit is a tool designed to find common security issues in Python code. To do this Bandit processes each file, builds an AST from it, and runs appropriate plugins against the AST nodes.</t>
    </r>
  </si>
  <si>
    <r>
      <rPr>
        <sz val="12"/>
        <rFont val="Calibri"/>
        <family val="2"/>
      </rPr>
      <t>CodeGuru</t>
    </r>
  </si>
  <si>
    <t>pip-audit</t>
  </si>
  <si>
    <r>
      <rPr>
        <sz val="12"/>
        <rFont val="Calibri"/>
        <family val="2"/>
      </rPr>
      <t>pip-audit checks your python installed dependencies for known security vulnerabilities.</t>
    </r>
  </si>
  <si>
    <r>
      <rPr>
        <b/>
        <sz val="16"/>
        <rFont val="Calibri"/>
        <family val="2"/>
      </rPr>
      <t>Terraform Templates</t>
    </r>
  </si>
  <si>
    <t>Checkov</t>
  </si>
  <si>
    <r>
      <rPr>
        <sz val="12"/>
        <rFont val="Calibri"/>
        <family val="2"/>
      </rPr>
      <t xml:space="preserve">A static code analysis tool for infrastructure-as-code. It scans cloud infrastructure provisioned using Terraform, Terraform plan, Cloudformation, Kubernetes, Serverless or ARM Templates and detects security and compliance misconfigurations. </t>
    </r>
    <r>
      <rPr>
        <b/>
        <sz val="12"/>
        <rFont val="Calibri"/>
        <family val="2"/>
      </rPr>
      <t>Note: Use of the Bridgecrew Dashboard and API functionality is prohibited.</t>
    </r>
  </si>
  <si>
    <t>Kics</t>
  </si>
  <si>
    <r>
      <rPr>
        <sz val="12"/>
        <rFont val="Calibri"/>
        <family val="2"/>
      </rPr>
      <t>Find security vulnerabilities, compliance issues, and infrastructure misconfigurations early in the development cycle of your infrastructure-as-code with KICS by Checkmarx.</t>
    </r>
  </si>
  <si>
    <t>tfsec</t>
  </si>
  <si>
    <r>
      <rPr>
        <sz val="12"/>
        <rFont val="Calibri"/>
        <family val="2"/>
      </rPr>
      <t>Terraform code scanner by AquaSec for security vulnerabilities, compliance issues, and infrastructure misconfigurations.</t>
    </r>
  </si>
  <si>
    <t>Terrascan</t>
  </si>
  <si>
    <r>
      <rPr>
        <sz val="12"/>
        <rFont val="Calibri"/>
        <family val="2"/>
      </rPr>
      <t>Terraform code scanner by Accurics for security vulnerabilities, compliance issues, and infrastructure misconfigurations.</t>
    </r>
  </si>
  <si>
    <r>
      <rPr>
        <b/>
        <sz val="16"/>
        <rFont val="Calibri"/>
        <family val="2"/>
      </rPr>
      <t>AI/ML Jupyter Notebook</t>
    </r>
  </si>
  <si>
    <r>
      <rPr>
        <sz val="12"/>
        <rFont val="Calibri"/>
        <family val="2"/>
      </rPr>
      <t>the ASH scanner automatically converts jupyter notebooks to python and runs python scans on them.</t>
    </r>
  </si>
  <si>
    <t>Recommended</t>
  </si>
  <si>
    <t>nbconvert</t>
  </si>
  <si>
    <r>
      <rPr>
        <sz val="12"/>
        <rFont val="Calibri"/>
        <family val="2"/>
      </rPr>
      <t>nbconvert converts the jupyter notebooks to python and then you have to refer to python section in this list to run relevant tools. This tool just converts the .ipynb file to python code.</t>
    </r>
  </si>
  <si>
    <r>
      <rPr>
        <b/>
        <sz val="16"/>
        <rFont val="Calibri"/>
        <family val="2"/>
      </rPr>
      <t>Component Vulnerability Scanner for Third-Party Libraries</t>
    </r>
  </si>
  <si>
    <t>Grype</t>
  </si>
  <si>
    <r>
      <rPr>
        <sz val="12"/>
        <rFont val="Calibri"/>
        <family val="2"/>
      </rPr>
      <t>Grype scans filesystem and container images for vulnerabilities from third parties dependancies. It supports docker, oci, ruby, java, javascript, python.</t>
    </r>
  </si>
  <si>
    <r>
      <rPr>
        <b/>
        <sz val="11"/>
        <rFont val="Calibri"/>
        <family val="2"/>
      </rPr>
      <t>Required (Open Source licenses review)</t>
    </r>
  </si>
  <si>
    <t>Approved List of Open Source Licenses for Distribution</t>
  </si>
  <si>
    <r>
      <rPr>
        <sz val="12"/>
        <rFont val="Calibri"/>
        <family val="2"/>
      </rPr>
      <t>You should only use the open source libraries with licenses which are in this list: 
The list of pre-approved licenses are: 
    * Apache 2.0 
    * BSD (Variants: Apache-1.1, BSD-3-Clause, BSD-2-Clause, BSD-2-Clause-FreeBSD, BSD-3-Clause-Attribution, BSD-1-Clause, BSD-Source-Code, 0BSD, EDL, HDF5, OLDAP-2.8) 
    * MIT (Variants: ISC, X11, BouncyCastle, Boost, PostgreSQL, PIL, curl, NTP) 
    * Zlib (Variants: zlib-acknowledgement, libpng, bzip2, Spencer-94) 
    * Python 2.0 
    * Python 2.1.1 
    * OpenSSL 
    * JSON 
    * libjpeg 
    * WTFPL (Variants, WTFPL, WTFPL-2.0, WT*PL) 
    * Unicode Data Files (Variants: Unicode-DFS-2015, Unicode-DFS-2016) 
    * Specific Public Domain licenses 
        * CC-Zero 
        * SQLite 
        * Unlicense 
        * ODC Public Domain Dedication and Licence 1.0 
    * Realm SDK License 
    * SIL Open Font License 1.1</t>
    </r>
    <r>
      <rPr>
        <sz val="12"/>
        <rFont val="Calibri"/>
        <family val="2"/>
      </rPr>
      <t xml:space="preserve"> 
</t>
    </r>
    <r>
      <rPr>
        <sz val="12"/>
        <rFont val="Calibri"/>
        <family val="2"/>
      </rPr>
      <t>Specific projects which are reapproved are: 
    * The ICU4J and the ICU4C and the ICU4C-DATA licenses contains many BSD like licenses: [1]. License can be treated as BSD. 
    * The Python Imaging Library has a project specific BSD-like license which can be treated as BSD. 
    * The Python Imaging Library fork Pillow has the same license, but with different attributions which can be treated as BSD. 
    * The FreeType Project have a project specific license license which can be treated as BSD. 
    * The KhronosGroup/SPIRV-Headers project has a MIT-like license that includes language warning that modifications may violate standards. Treat as MIT, but do not modify this package without first working with the Business Line Lawyer and the Open Source Approvers. 
    * The libtiff project has a project specific MIT-like license that can be treated as MIT. 
    * The HDF Group project has a project specific BSD-like license that can be treated as BSD. 
    * The Bitstream Vera fonts are under a project specific license that can be treated as SIL OFL. However, no copies of the fonts may be offered for sale by themselves without working first with your business line lawyer.</t>
    </r>
  </si>
  <si>
    <r>
      <rPr>
        <sz val="12"/>
        <rFont val="Calibri"/>
        <family val="2"/>
      </rPr>
      <t>Instructions for generating list of all licenses used in your project</t>
    </r>
  </si>
  <si>
    <r>
      <rPr>
        <sz val="12"/>
        <rFont val="Calibri"/>
        <family val="2"/>
      </rPr>
      <t>Instructions for Python:</t>
    </r>
    <r>
      <rPr>
        <sz val="12"/>
        <rFont val="Calibri"/>
        <family val="2"/>
      </rPr>
      <t xml:space="preserve"> 
</t>
    </r>
    <r>
      <rPr>
        <sz val="12"/>
        <rFont val="Monaco"/>
        <family val="3"/>
      </rPr>
      <t>pip3 install pipreqs pip-licenses 
pipreqs . 
pip3 install -r requirements.txt 
pip-licenses &gt; licenses.txt</t>
    </r>
    <r>
      <rPr>
        <sz val="12"/>
        <rFont val="Calibri"/>
        <family val="2"/>
      </rPr>
      <t xml:space="preserve"> 
</t>
    </r>
    <r>
      <rPr>
        <sz val="12"/>
        <rFont val="Calibri"/>
        <family val="2"/>
      </rPr>
      <t>Instructions for Javascript (nodejs):</t>
    </r>
    <r>
      <rPr>
        <sz val="12"/>
        <rFont val="Calibri"/>
        <family val="2"/>
      </rPr>
      <t xml:space="preserve"> 
</t>
    </r>
    <r>
      <rPr>
        <sz val="12"/>
        <rFont val="Monaco"/>
        <family val="3"/>
      </rPr>
      <t>npm install –g license-report 
license-report –-output=table</t>
    </r>
    <r>
      <rPr>
        <sz val="12"/>
        <rFont val="Calibri"/>
        <family val="2"/>
      </rPr>
      <t xml:space="preserve"> 
</t>
    </r>
    <r>
      <rPr>
        <sz val="12"/>
        <rFont val="Calibri"/>
        <family val="2"/>
      </rPr>
      <t>For Java projects:</t>
    </r>
    <r>
      <rPr>
        <sz val="12"/>
        <rFont val="Calibri"/>
        <family val="2"/>
      </rPr>
      <t xml:space="preserve"> 
</t>
    </r>
    <r>
      <rPr>
        <sz val="12"/>
        <rFont val="Monaco"/>
        <family val="3"/>
      </rPr>
      <t>mvn site 
mvn project-info-reports:dependencies 
mvn project-info-reports:licenses</t>
    </r>
  </si>
  <si>
    <t>OWASP Dependency-Check</t>
  </si>
  <si>
    <r>
      <rPr>
        <sz val="12"/>
        <rFont val="Calibri"/>
        <family val="2"/>
      </rPr>
      <t>The OWASP Dependancy-check validates third parties dependancies against NVD for java, javascript, ruby. Python can be enabled using --enableExperimental flag</t>
    </r>
  </si>
  <si>
    <t>trivy</t>
  </si>
  <si>
    <r>
      <rPr>
        <sz val="12"/>
        <rFont val="Calibri"/>
        <family val="2"/>
      </rPr>
      <t>Trivy scans container images, filesystems, git repositories and support Bundler, Composer, Pipenv, Poetry, npm, yarn, Cargo, NuGet, Maven, and Go.</t>
    </r>
  </si>
  <si>
    <t>Recommended for javascript projects</t>
  </si>
  <si>
    <r>
      <rPr>
        <sz val="12"/>
        <rFont val="Calibri"/>
        <family val="2"/>
      </rPr>
      <t>If you are not using the above recommended scanners which cover multiple languages anf formats, you need to atleast use npm-audit, which specifically scans your javascript dependencies for known security vulnerabilities.</t>
    </r>
  </si>
  <si>
    <t>Recommended for python projects</t>
  </si>
  <si>
    <r>
      <rPr>
        <sz val="12"/>
        <rFont val="Calibri"/>
        <family val="2"/>
      </rPr>
      <t>nIf you are not using the above recommended scanners which cover multiple languages anf formats, you need to atleast use pip-audit, which specifically scans your python dependencies for known security vulnerabilities.</t>
    </r>
  </si>
  <si>
    <t>Dependabot</t>
  </si>
  <si>
    <t>Snyk Vulernability DB</t>
  </si>
  <si>
    <r>
      <rPr>
        <sz val="12"/>
        <rFont val="Calibri"/>
        <family val="2"/>
      </rPr>
      <t>Detailed information and remediation guidance for known vulnerabilities.</t>
    </r>
  </si>
  <si>
    <t>CVE Details</t>
  </si>
  <si>
    <r>
      <rPr>
        <b/>
        <sz val="16"/>
        <rFont val="Calibri"/>
        <family val="2"/>
      </rPr>
      <t>Antivirus</t>
    </r>
  </si>
  <si>
    <t>ClamAV</t>
  </si>
  <si>
    <t>Clara</t>
  </si>
  <si>
    <r>
      <rPr>
        <b/>
        <sz val="16"/>
        <rFont val="Calibri"/>
        <family val="2"/>
      </rPr>
      <t>Containers</t>
    </r>
  </si>
  <si>
    <t>Trivy</t>
  </si>
  <si>
    <r>
      <rPr>
        <sz val="12"/>
        <rFont val="Calibri"/>
        <family val="2"/>
      </rPr>
      <t>A simple and comprehensive vulnerability scanner for containers and other artifacts...[it] detects vulnerabilities of OS packages (Alpine, RHEL, CentOS, etc.) and application dependencies (Bundler, Composer, npm, yarn, etc.).</t>
    </r>
  </si>
  <si>
    <r>
      <rPr>
        <b/>
        <sz val="16"/>
        <rFont val="Calibri"/>
        <family val="2"/>
      </rPr>
      <t>TypeScript Code</t>
    </r>
  </si>
  <si>
    <r>
      <rPr>
        <b/>
        <sz val="16"/>
        <rFont val="Calibri"/>
        <family val="2"/>
      </rPr>
      <t>Other Scanners</t>
    </r>
  </si>
  <si>
    <r>
      <rPr>
        <sz val="12"/>
        <rFont val="Calibri"/>
        <family val="2"/>
      </rPr>
      <t>Semgrep is a static code analysis tool which can scan multiple languages: C#, Go, Java, JavaScript, JSX, JSON, PHP, Python, Ruby, Scala, TypeScript, TSX and many other languages and scripts (Shell, Bash etc) in experimental mode.</t>
    </r>
  </si>
  <si>
    <t>IAM Simulator</t>
  </si>
  <si>
    <r>
      <rPr>
        <sz val="12"/>
        <rFont val="Calibri"/>
        <family val="2"/>
      </rPr>
      <t>With the IAM policy simulator, you can test and troubleshoot identity-based policies, IAM permissions boundaries, Organizations service control policies (SCPs), and resource-based policies.</t>
    </r>
  </si>
  <si>
    <r>
      <rPr>
        <sz val="12"/>
        <rFont val="Calibri"/>
        <family val="2"/>
      </rPr>
      <t>IAM policy Linter reports security issues as well as syntax or quality control suggestion for your IAM policy.</t>
    </r>
  </si>
  <si>
    <t>Design Inspector</t>
  </si>
  <si>
    <t>ACAT</t>
  </si>
  <si>
    <r>
      <rPr>
        <sz val="12"/>
        <rFont val="Calibri"/>
        <family val="2"/>
      </rPr>
      <t>Internally hosted tool for code scanning. AppSec requires use either this tool or Fortify.</t>
    </r>
  </si>
  <si>
    <t>Fortify</t>
  </si>
  <si>
    <r>
      <rPr>
        <sz val="12"/>
        <rFont val="Calibri"/>
        <family val="2"/>
      </rPr>
      <t>Internally hosted tool for code scanning. AppSec requires use either this tool or ACAT.</t>
    </r>
  </si>
  <si>
    <t>Aristotle</t>
  </si>
  <si>
    <r>
      <rPr>
        <sz val="12"/>
        <rFont val="Calibri"/>
        <family val="2"/>
      </rPr>
      <t>Internally hosted tool used to create a threat model.</t>
    </r>
  </si>
  <si>
    <t>ScoutSuite</t>
  </si>
  <si>
    <r>
      <rPr>
        <sz val="12"/>
        <rFont val="Calibri"/>
        <family val="2"/>
      </rPr>
      <t>Scout Suite is an open source security-auditing tool, which enables security posture assessment of cloud environments. It provides a point-in-time security-oriented view of the cloud account it is run in.</t>
    </r>
  </si>
  <si>
    <t>Category</t>
  </si>
  <si>
    <t>ID</t>
  </si>
  <si>
    <t>Question in Scope?</t>
  </si>
  <si>
    <t>Question</t>
  </si>
  <si>
    <t>Reason</t>
  </si>
  <si>
    <t>Response Outstanding</t>
  </si>
  <si>
    <t>Response</t>
  </si>
  <si>
    <t>Comments on Response</t>
  </si>
  <si>
    <t>Response Action</t>
  </si>
  <si>
    <t>Release Blocker</t>
  </si>
  <si>
    <t>Risk</t>
  </si>
  <si>
    <t>Reviewer Comments</t>
  </si>
  <si>
    <t>PREREQ</t>
  </si>
  <si>
    <t>P1</t>
  </si>
  <si>
    <t>Yes</t>
  </si>
  <si>
    <t>If you will be open sourcing, have you followed the process to open source the solution?</t>
  </si>
  <si>
    <t>Please follow the require organizational process for open sourcing a solution.</t>
  </si>
  <si>
    <t>No: Release Blocker</t>
  </si>
  <si>
    <t>Not Assessed Yet</t>
  </si>
  <si>
    <t>P2</t>
  </si>
  <si>
    <t>Are all open source licenses blessed?</t>
  </si>
  <si>
    <t>Please follow your organization policies regarding open source licenses usage and check if a pre-approved license list exist. If your open source license does not comply with your organization policy, do not use it unless you get explicit approval or an exception.</t>
  </si>
  <si>
    <t>P3</t>
  </si>
  <si>
    <t>Does the solution have all third-party licenses and dependencies documented?</t>
  </si>
  <si>
    <t>The solution must have a NOTICE file with a defined license attestation for all third party licenses, and a software built of materials (SBOM) for all external third-party dependencies. Never deliver a third-party package embedded in your solution, rather add it at build time dependency.</t>
  </si>
  <si>
    <t>Answered No</t>
  </si>
  <si>
    <t>SCOPE</t>
  </si>
  <si>
    <t>SC1</t>
  </si>
  <si>
    <t>I confirm that any web UI or API part of the solution have been pentested. NOTE: This control is primarily for AWS internal - SA Solutions Builder Team. On ProServe engagement, you should make this recommendation to the Customer.</t>
  </si>
  <si>
    <t>Web Uis and APIs carry a greater security risk. As a result, it is recommended to perform static code analysis and pen-testing.</t>
  </si>
  <si>
    <t>No: Discuss with your reviewer</t>
  </si>
  <si>
    <t>SC2</t>
  </si>
  <si>
    <t>Are every input parameters validated for malicious input?</t>
  </si>
  <si>
    <t>Never trust an input as malicious users may try to pass unexpected values. Always use server-side validation.</t>
  </si>
  <si>
    <t>SC4</t>
  </si>
  <si>
    <t>I confirm that I'm not moving data (S3 objects, DDB records, EBS snapshots, AMIs, OS-level files and information, etc..) between AWS regions and/or accounts.</t>
  </si>
  <si>
    <t>You need to protect customer's data, and make sure any action on it is clear to the user and intentional. Consider legal, regulatory, and compliance implications to the customer.</t>
  </si>
  <si>
    <t>SC5</t>
  </si>
  <si>
    <t xml:space="preserve">I confirm that the solution or deployment template handle sensitive data, such as passwords via AWS Secrets Manager. </t>
  </si>
  <si>
    <t>These input parameters should be implemented via AWS Secrets Manager. The should be manual implementation steps for the customer to add secure parameters for the solution. NOTE: Parameter Store with secure string could also be used. However, for sensitive data such as passwords, AWS Secrets Manager is a better option as it provides the ability to rotate secrets.</t>
  </si>
  <si>
    <t>SC6</t>
  </si>
  <si>
    <t>I confirm that the solution does not allow modification of any existing network access controls (security groups, NACLs, route tables, etc)</t>
  </si>
  <si>
    <t>Solutions should not be allowed to modify existing network access controls.</t>
  </si>
  <si>
    <t>SC10</t>
  </si>
  <si>
    <t xml:space="preserve">If there are service integrations with one or more AWS Services that supports tracing (e.g. Lambda, Step Functions), is X-ray enabled to support tracing for the customer?. see: https://docs.aws.amazon.com/xray/latest/devguide/xray-services.html </t>
  </si>
  <si>
    <t xml:space="preserve"> X-ray should be enabled in upstream services (where applicable)  to enable tracing.</t>
  </si>
  <si>
    <t>SC12</t>
  </si>
  <si>
    <t>I confirm that this project is planning to use the applicable security code scanning tools. (Into a continuous build pipeline if applicable)</t>
  </si>
  <si>
    <t>You need to run static code analysis and/or software composition analysis tools on your code. Refer to the Code Scanning Tools tab for reference.</t>
  </si>
  <si>
    <t>SC13</t>
  </si>
  <si>
    <t>I confirm that this project will not handle regulated data such as PCI, HIPAA, GDPR once deployed in production.</t>
  </si>
  <si>
    <t>If regulated data will be handle in production then you must do a threat model.</t>
  </si>
  <si>
    <t>IDEMPOTENCY AND RESOURCE INTEGRITY</t>
  </si>
  <si>
    <t>R1</t>
  </si>
  <si>
    <t>I confirm that the solution is an atomic deployment and handles rollback if it cannot deploy successfully</t>
  </si>
  <si>
    <t>The solution leaves the customer's account in a known state based on the potential inputs and invocation modes. Atomicity means a deployment that has been either executed completely or in case of failure, it should rollback changes to original state.</t>
  </si>
  <si>
    <t>R2</t>
  </si>
  <si>
    <t>I confirm that any related existing resources is not affected by this solution.</t>
  </si>
  <si>
    <t>A mutating action may have a cascade effect to other existing AWS resources, i.e. deleting an AMI used by a launch configuration breaks future instances created by ASG.</t>
  </si>
  <si>
    <t>R3</t>
  </si>
  <si>
    <t>I confirm that the customer is aware of the files/artifacts/resources this solution creates in the customer's account.</t>
  </si>
  <si>
    <t>It needs to be clear what resources are created by solution to avoid confusion and unexpected charges.</t>
  </si>
  <si>
    <t>R5</t>
  </si>
  <si>
    <t>I confirm that multiple deployments of the same solution with the same parameters does not leave any resources or the account in an unknown state?</t>
  </si>
  <si>
    <t>With mutating actions, it is important to consider what happens if multiple changes (or the same change) is requested multiple times against the same resource(s). It may be necessary to implement mechanisms to protect the resource while a change is in progress.</t>
  </si>
  <si>
    <t>R6</t>
  </si>
  <si>
    <t>I confirm that multiple/concurrent deployments are not in scope or are prevented. If not, how are you defining the resource's state in order to avoid such scenario (i.e. are you using tags to know if the resource was previously created/touched by the solution)?</t>
  </si>
  <si>
    <t>Some APIs are idempotent, other are not. Or, if multiple steps are required to implement a change, using a tag or an SSM parameter can help lock the resource while the change is in progress.</t>
  </si>
  <si>
    <t>R7</t>
  </si>
  <si>
    <t>I confirm that the solution does not mutate any resources belonging to an existing CloudFormation stack? i.e. are we making any out-of-band changes? (This includes modifications to resource tags)</t>
  </si>
  <si>
    <t>Changes to existing CloudFormation resources cause a drift between the resource state and its definition in the stack, and should only occur via CloudFormation.</t>
  </si>
  <si>
    <t>EC21</t>
  </si>
  <si>
    <t>Is interactive access to the EC2 instances within the solution tightly controlled and not using any default users?</t>
  </si>
  <si>
    <t xml:space="preserve">Interactive access is typically either provided through emergency-only, break-glass scenarios, or managed through a central directory service. For users and apps that require regular access to instances, make sure to configure them with least privileges. </t>
  </si>
  <si>
    <t>EC22</t>
  </si>
  <si>
    <t>If the solution accesses additional AWS services, is it using an IAM role for EC2 to eliminate the need to distribute and rotate long-term credentials on the instances?</t>
  </si>
  <si>
    <t>The recommended approach for granting EC2-based applications AWS permissions is with an IAM role for EC2 because this eliminates the need to distribute and rotate long-term credentials on EC2 instances. When creating IAM roles, associate least-privilege IAM policies that restrict access to the specific API calls the application requires.</t>
  </si>
  <si>
    <t>EC23</t>
  </si>
  <si>
    <t>I confirm that EC2 security groups do not allow 0.0.0.0/0 inbound access</t>
  </si>
  <si>
    <t>Large port ranges, when open, expose instances to unwanted attacks. More than that, they make traceability of vulnerabilities very difficult. For instance, your web servers may only require 80 and 443 ports to be open, but not all. One of the most common mistakes observed is when  all ports for 0.0.0.0/0 range are open in a rush to access the instance. EC2 instances must expose only to those ports enabled on the corresponding security group level.</t>
  </si>
  <si>
    <t>EC24</t>
  </si>
  <si>
    <t>Are ELB's SGs used to restrict Internet access to EC2 instances?</t>
  </si>
  <si>
    <t>Even though a web server's port 80 or 443 needs access to 0.0.0.0/0, it need not be open directly. Use an AWS ELB or ALB to receive all incoming traffic from the Internet and forward it to EC2s, then allow these EC2s to intake incoming traffic from the ELB only. Lockdown ingress rules for these instances to the ELB SG.</t>
  </si>
  <si>
    <t>EC25</t>
  </si>
  <si>
    <t>Are outbound (egress) rules set for miminum required outbound access?</t>
  </si>
  <si>
    <t>Egress rules need attention and definition too. SGs attached to an application layer should only allow egress connections to the layer where it needs to connect. For instance, if the web layer is only authorized to initiate connections to the application layer, the egress rules should only point to application-specific ports and specific subnetworks</t>
  </si>
  <si>
    <t>EC26</t>
  </si>
  <si>
    <t>Do the EBS volumes have encryption enabled?</t>
  </si>
  <si>
    <t>AWS provides encrypted Elastic Block Storage (EBS) volumes to protect data at rest.</t>
  </si>
  <si>
    <t>EC27</t>
  </si>
  <si>
    <t>Do the security groups have descriptions?</t>
  </si>
  <si>
    <t>Solutions must ensure that all the rules defined for EC2 security groups have a description to help simplify operations and remove any opportunities for operator errors.</t>
  </si>
  <si>
    <t>EC28</t>
  </si>
  <si>
    <t>Is detailed monitoring enabled on the instance?</t>
  </si>
  <si>
    <t xml:space="preserve">Solutions must enable detailed monitoring for EC2 instances in order to have enough monitoring data to help customers make better decisions on architecting and managing compute resources within thier AWS account. </t>
  </si>
  <si>
    <t>EC29</t>
  </si>
  <si>
    <t>Is termination protection enabled for instances outside of an ASG?</t>
  </si>
  <si>
    <t>Solutions with EC2 instances provisioned outside of the AWS Auto Scaling Groups (ASGs) must have Termination Protection safety feature enabled in order to protect the instances from being accidentally terminated.</t>
  </si>
  <si>
    <t>EC210</t>
  </si>
  <si>
    <t>Are additional security groups or ENIs used to control management traffic separately from regular application traffic?</t>
  </si>
  <si>
    <t xml:space="preserve">This allows specific IAM policies to control changes to specific security groups or automated rule-verification scripts to more easily audit security group rules. Separate ENIs allow customers to combine host-based routing policies with VPC subnet routing rules to control network traffic. </t>
  </si>
  <si>
    <t>EC211</t>
  </si>
  <si>
    <t>Are external applications limited to those necessary for the solution and are the licenses approved?</t>
  </si>
  <si>
    <t>Install only the required OS components and applications for the solution.</t>
  </si>
  <si>
    <t>EC212</t>
  </si>
  <si>
    <t>Does the solution have a mechanism in place to keep the instances up-to-date?</t>
  </si>
  <si>
    <t xml:space="preserve">Having a mechanism in place tha regularly patch your instances is a good security practice. </t>
  </si>
  <si>
    <t>ECR1</t>
  </si>
  <si>
    <t>Ensure that any created repository does not allow open access</t>
  </si>
  <si>
    <t>Make sure that the ECR image published in registry has restricted permission to allow access to authorized users only.</t>
  </si>
  <si>
    <t>ECR2</t>
  </si>
  <si>
    <t>Ensure that the ECR repository is not configured for cross account access to unauthorized AWS account.</t>
  </si>
  <si>
    <t>Ensure that the ECR repositories are limited to the account hosting it. If cross account access is required or requested by the customer, it needs to be vetted with the customer as a trusted AWS account(s).</t>
  </si>
  <si>
    <t>ECR3</t>
  </si>
  <si>
    <t>Configure VPC endpoints to access the repository</t>
  </si>
  <si>
    <t>Solutions creating repos for resources in a VPC should configure Amazon ECR to use an interface VPC endpoint. VPC endpoints are powered by AWS PrivateLink, a technology that enables you to privately access Amazon ECR APIs through private IP addresses. For Amazon ECS tasks using the Fargate launch type, the VPC endpoint enables the task to pull private images from Amazon ECR without assigning a public IP address to the task.</t>
  </si>
  <si>
    <t>ECS1</t>
  </si>
  <si>
    <t>Is the cluster provisioned in a private subnet with ALB/ELB for access to prevent direct Internet access?</t>
  </si>
  <si>
    <t>Load Balancers should be your gateway to the cluster. When running an Internet facing service, make sure the solution cluster is in a private subnet and the containers cannot be accessed directly from the Internet. Ideally, the internal container should expose a random, ephemeral port which is bound to a target group. Make sure also that traffic is only allowed from the Load Balancer's Security Group.</t>
  </si>
  <si>
    <t>ECS2</t>
  </si>
  <si>
    <t>Are environment variables being stored in SSM Parameter Store?</t>
  </si>
  <si>
    <t>In container's task definition a solution can specify environment variables directly, however, it's not the best way to pass config variables to the container. It's not secure, it couples infrastructure with env variables, changing them requires the customer to change task definition and perform a new deployment. Instead, environment variables should be rather injected during start from AWS SSM (Simple Systems Manager) Parameter Store.</t>
  </si>
  <si>
    <t>ECS3</t>
  </si>
  <si>
    <t>Is the ECS cluster deployed with a Multi-AZ architecture in a VPC?</t>
  </si>
  <si>
    <t>Design for high availability and prevention of denial of service.</t>
  </si>
  <si>
    <t>ECS4</t>
  </si>
  <si>
    <t>Is CloudWatch Container Insights enabled on the cluster?</t>
  </si>
  <si>
    <t xml:space="preserve">All solutions should have CloudWatch Container Insights enabled in order to allow the customer to gain a better perspective on how the cluster’s applications and microservices are performing. </t>
  </si>
  <si>
    <t>ECS5</t>
  </si>
  <si>
    <t>Is the Task Execution role defined with least-privilege policies?</t>
  </si>
  <si>
    <t>When assigning Task Execution roles, follow the standard security advice of granting least privilege, or granting only the permissions required to perform a task. Determine what the role needs to do and then craft policies that allow it to perform only those tasks.</t>
  </si>
  <si>
    <t>ECS6</t>
  </si>
  <si>
    <t>Is the IAM Role for tasks defined with least-privilege policies?</t>
  </si>
  <si>
    <t>When assigning IAM roles to tasks, follow the standard security advice of granting least privilege, or granting only the permissions required to perform a task. Determine what the role needs to do and then craft policies that allow it to perform only those tasks.</t>
  </si>
  <si>
    <t>ECS7</t>
  </si>
  <si>
    <t>Is logging enabled for the ECS Task Definition and at mimimum using awslogs?</t>
  </si>
  <si>
    <t>All Solutions must define log configuration for containers.</t>
  </si>
  <si>
    <t>ECS8</t>
  </si>
  <si>
    <t>I confirm that no senstive data or secret is being logged from any given container</t>
  </si>
  <si>
    <t>No sensitive data or secrets should be logged.</t>
  </si>
  <si>
    <t>ECS9</t>
  </si>
  <si>
    <t>Are all third-party libraries licenses approved?</t>
  </si>
  <si>
    <t>This should be approved by the customer. If it is an internal development then the open source or third party libraries/licenses must be blessed as per internal policy.</t>
  </si>
  <si>
    <t>ECS10</t>
  </si>
  <si>
    <t xml:space="preserve">Does the assigned container role contain least privileges required for functional purpose of the service interaction? </t>
  </si>
  <si>
    <t>When assigning roles to container, follow the standard security advice of granting least privilege, or granting only the permissions required to perform a task. Determine what the role needs to do and then craft policies that allow it to perform only those tasks.</t>
  </si>
  <si>
    <t>EKS1</t>
  </si>
  <si>
    <t>I confirm that there are not publicly accessible Kubernetes APIs in the solution EKS cluster.</t>
  </si>
  <si>
    <t>A solutions cluster's Kubernetes API server endpoint should not be publicly accessible from the Internet in order to avoid exposing private data and minimizing security risks. Solutions should only provide the API server endpoints be accessible from within a AWS Virtual Private Cloud (VPC).</t>
  </si>
  <si>
    <t>EKS2</t>
  </si>
  <si>
    <t>Does the cluster have control plane logs enabled?</t>
  </si>
  <si>
    <t xml:space="preserve">A solutions cluster(s) must have control plane logs enabled in order to publish API, audit, controller manager, scheduler or authenticator logs to AWS CloudWatch Logs. </t>
  </si>
  <si>
    <t>EKS3</t>
  </si>
  <si>
    <t xml:space="preserve">Are the cluster security groups configured to allow inbound traffic only on port 443? </t>
  </si>
  <si>
    <t>The security groups associated with a solution cluster(s) should be configured to allow inbound traffic only on TCP port 443 (HTTPS) in order to protect the cluster(s) against malicious activities such as brute-force attacks.</t>
  </si>
  <si>
    <t>EKS4</t>
  </si>
  <si>
    <t>Is the cluster using the latest stable version of the Kubernetes container-orchestration system?</t>
  </si>
  <si>
    <t>All solution clusters must be using the latest stable version of Kubernetes container-orchestration system, in order to follow AWS best practices, receive the latest Kubernetes features, design updates and bug fixes, and benefit from better security and performance.</t>
  </si>
  <si>
    <t>EKS5</t>
  </si>
  <si>
    <t>Are there accounts and account Users to separate tenants in a shared Kubernetes cluster?</t>
  </si>
  <si>
    <t>User accounts are for humans. Service accounts are for processes, which run in pods. User accounts are intended to be global. Names must be unique across all namespaces of a cluster. Service accounts are namespaced. If the Cluster is shared, differents services account and users have to be created for the namespace.</t>
  </si>
  <si>
    <t>EKS6</t>
  </si>
  <si>
    <t>Is there end-to-end encryption within the cluster, between pod and AWS Resources?</t>
  </si>
  <si>
    <t>Make sure the cluster is using TLS encryption for the communication between pod. This can be done using AWS ACM or other sercices.</t>
  </si>
  <si>
    <t>EKS7</t>
  </si>
  <si>
    <t>Is there a self-Service Namespace Provisioning for account users?</t>
  </si>
  <si>
    <t>Kubernetes is designed as a single-tenant platform, which makes it hard for cluster admins
 to host multiple tenants in a single Kubernetes cluster. However, sharing a cluster has many advantages,
 e.g. more efficient resource utilization, less admin/configuration effort 
 or easier sharing of cluster-internal resources among different tenants.
 Use a solution like kiosk to Manage you accounts
- Namespace Templates for secure tenant isolation and self-service namespace initialization
- Use resource quota to limit resources like cpu,memory, storage, and services. Resource Quotas</t>
  </si>
  <si>
    <t>EKS8</t>
  </si>
  <si>
    <t>Do you leverage IRSA to access AWS resources from the container?</t>
  </si>
  <si>
    <t>OpenID Connect allows Clients to verify the identity of the End-User based on the authentication performed by an Authorization Server, as well as to obtain basic profile information about the End-User in an interoperable and REST-like manner.
OIDC federation access allows you to assume IAM roles via the Secure Token Service (STS), enabling authentication with an OIDC provider, receiving a JSON Web Token (JWT), which in turn can be used to assume an IAM role. Kubernetes, on the other hand, can issue so-called projected service account tokens, which happen to be valid OIDC JWTs for pods.</t>
  </si>
  <si>
    <t>EKS9</t>
  </si>
  <si>
    <t>Is role-based access control (RBAC) enabled for the solution?</t>
  </si>
  <si>
    <t>EKS10</t>
  </si>
  <si>
    <t>Is Open Policy Agent (OPA) &amp; Gatekeeper configured for the cluster?</t>
  </si>
  <si>
    <t>Gatekeeper is a Kubernetes admission controller that enforces policies created with OPA. With OPA you can create a policy that runs pods from tenants on separate instances or at a higher priority than other tenants. A collection of common OPA policies can be found in the GitHub repository for this project.</t>
  </si>
  <si>
    <t>EKS11</t>
  </si>
  <si>
    <t>Is there a mecanism to isolate tenant workloads to specific nodes?</t>
  </si>
  <si>
    <t>Restricting tenant workloads to run on specific nodes can be used to increase isolation in the soft multi-tenancy model. With this approach, tenant-specific workloads are only run on nodes provisioned for the respective tenants.
Affinity and anti-affinity is the simplest way to contrain pods to nodes with specific labels.</t>
  </si>
  <si>
    <t>EKS12</t>
  </si>
  <si>
    <t>Is the least privileges enforce to access AWS Resources?</t>
  </si>
  <si>
    <t>An IAM User does not need to be assigned privileges to AWS resources to access the Kubernetes API. If you need to grant an IAM user access to an EKS cluster, create an entry in the aws-auth ConfigMap for that user that maps to a specific Kubernetes RBAC group.
Grant least privileges IAM Best practices
 Use Access Policy Advisor to review and refine access granted to AWS Resources
 Use Action Hero to assist with creating least privileges IAM Policies</t>
  </si>
  <si>
    <t>EKS13</t>
  </si>
  <si>
    <t>Is EKS Cluster private endpoint?</t>
  </si>
  <si>
    <t>Leave the cluster endpoint public and specify which CIDR blocks can communicate with the cluster endpoint
 Configure the EKS cluster endpoint to be private.
 Configure public access with a set of whitelisted CIDR blocks and set private endpoint access to enabled.</t>
  </si>
  <si>
    <t>EKS14</t>
  </si>
  <si>
    <t>Is the access restricted to the instance profile assigned to the worker node?</t>
  </si>
  <si>
    <t>Recommended that you block access instance metadata to minimize the blast radius of a breach. You can also block a pod's access to EC2 metadata by manipulating iptables on the node.</t>
  </si>
  <si>
    <t>EKS15</t>
  </si>
  <si>
    <t>Are the application within the cluster running as a non-root user?</t>
  </si>
  <si>
    <t xml:space="preserve">Containers run as root by default. While this allows them to read the web identity token file, running a container as root is not considered a best practice. </t>
  </si>
  <si>
    <t>EKS16</t>
  </si>
  <si>
    <t>Is audit logs enabled for the control plane?</t>
  </si>
  <si>
    <t>You must enable each log type individually to send logs for your cluster.
 CloudWatch Logs ingestion, archive storage, and data scanning rates apply to enabled control plane logs.
 Auditing tools:
 - kubeaudit
 - MKIT</t>
  </si>
  <si>
    <t>EKS17</t>
  </si>
  <si>
    <t>Is there any alerts created for the Cluster?</t>
  </si>
  <si>
    <t>Create an alarm to automatically alert you where there is an increase in 403 Forbidden 
 and 401 Unauthorized responses, and then use attributes like host, sourceIPs, and k8s_user.username to find out where those requests are coming from.
 AWS Custom Config Rules for Kubernetes
*eks-netPolCheck-rule* Checks that there is a network policy defined for each namespace in the cluster
*eks-privEscalation-rule* Checks that there are no pods running containers with the AllowPrivilege Escalation flag
*eks-trustedRegCheck-rule* Checks that container images are from trusted sources</t>
  </si>
  <si>
    <t>EKS18</t>
  </si>
  <si>
    <t>Is AWS KMS for envelope encryption used for Kubernetes secrets?</t>
  </si>
  <si>
    <t>With the KMS plugin for Kubernetes, all Kubernetes secrets are stored in etcd
 in ciphertext instead of plain text and can only be decrypted by the Kubernetes API server.
Recomentations:- Rotate your secrets periodically
 - Use separate namespaces as a way to isolate secrets from different applications
 - Use volume mounts instead of environment variables
 - Use an external secrets provider (AWS Secret manager or Vault)</t>
  </si>
  <si>
    <t>EKS19</t>
  </si>
  <si>
    <t>Is there a mechanism to scan for runtime security vulnerabilities?</t>
  </si>
  <si>
    <t>Runtime security provides active protection for your containers while they're running. 
 The idea is to detect and/or prevent malicious activity from occuring inside the container.
Recommendations:- Use a 3rd party solution for runtime defense (Aqua/Qualys/Stackrox/Sysdig Secure/Twistlock)
 -Use AWS Market place solution 
 - Use linux capabilities before writing seccomp policies 
Verify with the application owner that the following 
1. Use application vulnerability scan in the pipeline and generate a report (CVEs)
2. Scan the produced container image
3. Don't deploy a container if the image scan results is higher that certain threshold</t>
  </si>
  <si>
    <t>EKS20</t>
  </si>
  <si>
    <t>Do you use an optimized OS for running your containers?</t>
  </si>
  <si>
    <t>Consider using Flatcar Linux, Project Atomic, RancherOS, and Bottlerocket, a special purpose OS
 from AWS designed for running Linux containers. It includes a reduced attack surface, 
 a disk image that is verified on boot, and enforced permission boundaries using SELinux.</t>
  </si>
  <si>
    <t>EKS21</t>
  </si>
  <si>
    <t>Is your infrastructure immutable?</t>
  </si>
  <si>
    <t>Rather than performing in-place upgrades, replace your workers when a new patch or update becomes available. 
 You can either add instances to an existing autoscaling group using the latest AMI 
 as you sequentially cordon and drain nodes until all of the nodes in the group have been replaced with the latest AMI.
 Alternatively, you can add instances to a new node group while you sequentially cordon and drain nodes from the old node group until all of the nodes have been replaced.</t>
  </si>
  <si>
    <t>EKS22</t>
  </si>
  <si>
    <t>Do you use SSM instead of SSH to access your workers nodes?</t>
  </si>
  <si>
    <t>Instead of enabling SSH access, use SSM Session Manager when you need to remote into a host.
 Unlike SSH keys which can be lost, copied, or shared, Session Manager allows you to control access 
 to EC2 instances using IAM. Moreover, it provides an audit trail and log of the commands that were run on the instance.
Use a Bastion host to connect to your nodes instead of using your own machine.</t>
  </si>
  <si>
    <t>EKS23</t>
  </si>
  <si>
    <t>Do you run periodically CIS Benchmarks or other compliance tools against you environment?</t>
  </si>
  <si>
    <t xml:space="preserve">kube-bench is an open source project from Aqua that evaluates your cluster against the CIS benchmarks for Kubernetes. 
 The benchmark describes the best practices for securing unmanaged Kubernetes clusters. </t>
  </si>
  <si>
    <t>EKS24</t>
  </si>
  <si>
    <t>Do you scan the container images for vulnerabilities regulary?</t>
  </si>
  <si>
    <t>The best way to safeguard against exploits is by regularly scanning your images with an image scanner. 
 Images that are stored in Amazon ECR can be scanned on push or on-demand (once during a 24 hour period).
 ECR currently leverages Clair an open source image scanning solution.
Add a gate within your pipeline, pass/fail based on the scanning results
 Tools that can be used (Anchore/Palo Alto - Prisma Cloud (twistcli)/Aqua/Kubei/Trivy/Snyk)</t>
  </si>
  <si>
    <t>EKS25</t>
  </si>
  <si>
    <t>Is there a trusted source for 3rd party HelmCharts reposiitory ?</t>
  </si>
  <si>
    <t>Third party hosted HelmChart repositories dynamically loaded in your environment could become compromised or modified unexpectedly, affecting chart availability and integrity.
Ensure to use a trusted domain to load HelmChart Library.</t>
  </si>
  <si>
    <t>EKS26</t>
  </si>
  <si>
    <t>Is there  process to harden container images?</t>
  </si>
  <si>
    <t>A Service or an application container should never be provided out of the box to the customer.</t>
  </si>
  <si>
    <t>EKS27</t>
  </si>
  <si>
    <t>Is there  process to harden kubernetes on EKS Cluster?</t>
  </si>
  <si>
    <t>The following section should implemente security best practices to secure kubernetes on EKS Cluster in AWS.
- Cluster Level Configs
- Cluster Access Management
- Worker Node Configuration
- RBAC/ Cluster Authorization
- Workload configs
- Kubernetes Security Features
- Network Controls</t>
  </si>
  <si>
    <t>EKS28</t>
  </si>
  <si>
    <t>Is there a mechanism to execute customer code?</t>
  </si>
  <si>
    <t>Executing customer-provided code in an environment outside the customer’s account introduces the risk that the code could exploit a previously unknown weakness in the host executing the code. This could compromise the confidentiality, integrity and availability of other customer data residing on the same host or to which the host has access, and/or the integrity and availability of the executing service’s control plane.</t>
  </si>
  <si>
    <t>B1</t>
  </si>
  <si>
    <t>Does the solution's compute environment configuration follow outlined best practices for EC2 security groups?</t>
  </si>
  <si>
    <t>The Amazon EC2 security groups associated with instances launched in the compute environment must contain restricted access.</t>
  </si>
  <si>
    <t>B2</t>
  </si>
  <si>
    <t>Does the solution's job definition contain a role with with least-privilege policies?</t>
  </si>
  <si>
    <t>When assigning job definition roles, follow the standard security advice of granting least privilege, or granting only the permissions required to perform a task. Determine what the role needs to do and then craft policies that allow it to perform only those tasks.</t>
  </si>
  <si>
    <t>EB1</t>
  </si>
  <si>
    <t>Is the beanstalk environment configured to use VPC?</t>
  </si>
  <si>
    <t>The solution should use a VPC configured via ebextensions.</t>
  </si>
  <si>
    <t>EB2</t>
  </si>
  <si>
    <t xml:space="preserve">Is the solution using an IAM role for EC2 to eliminate the need to distribute and rotate long-term credentials on the instance when additional AWS services are used? </t>
  </si>
  <si>
    <t>EB3</t>
  </si>
  <si>
    <t>Are platform updates enabled for the application environment?</t>
  </si>
  <si>
    <t xml:space="preserve">Solutions should have platform updates enabled for beanstalk environments in order to receive bug fixes, software updates and new features. Managed platform updates perform immutable environment updates. </t>
  </si>
  <si>
    <t>EB4</t>
  </si>
  <si>
    <t>Is the solution configured for environment logs being retained and uploaded to Amazon S3?</t>
  </si>
  <si>
    <t>Beanstalk environment logs should be retained and uploaded to Amazon S3 in order to keep the logging data for future audits, historical purposes or to track and analyze the EB application environment behavior for a long period of time.</t>
  </si>
  <si>
    <t>ELB1</t>
  </si>
  <si>
    <t>Is the solution using ALB for HTTP/HTTPS?</t>
  </si>
  <si>
    <t>Should that have HTTP/HTTPS applications (monolithic or containerized) should use the Application Load Balancer (ALB) instead of Classic Load Balancer (ELB) for enhanced incoming traffic distribution, better performance and lower costs.</t>
  </si>
  <si>
    <t>ELB2</t>
  </si>
  <si>
    <t>Are ELB/ALB access logs enabled?</t>
  </si>
  <si>
    <t>Solutions must use access logs to allow customers to to analyze traffic patterns and identify and troubleshoot security issues.</t>
  </si>
  <si>
    <t>ELB3</t>
  </si>
  <si>
    <t>If using a Classic Load Balance, is connection draining enabled?</t>
  </si>
  <si>
    <t>With Connection Draining feature enabled, if an EC2 backend instance fails health checks the Elastic Load Balancer will not send any new requests to the unhealthy instance. However, it will still allow existing (in-flight) requests to complete for the duration of the configured timeout.</t>
  </si>
  <si>
    <t>ELB4</t>
  </si>
  <si>
    <t>Is the ELB using at least two AZs with the Cross-Zone Load Balancing feature enabled?</t>
  </si>
  <si>
    <t>Solutions should use at least two subnets in different Availability Zones with the Cross-Zone Load Balancing feature enabled, ELBs can distribute the traffic evenly across all backend instances. To use Cross-Zone Load Balancing at optimal level, the solution should maintain an equal EC2 capacity distribution in each of the AZs registered with the load balancer.</t>
  </si>
  <si>
    <t>ELB5</t>
  </si>
  <si>
    <t>Is the ELB listeners configured for HTTPs or SSL protocols?</t>
  </si>
  <si>
    <t>Solution ELB listeners should be deployed for secure configurations. Solutions should us HTTPS or SSL protocols to encrypt the communication between the client and your load balancers.</t>
  </si>
  <si>
    <t>ELB6</t>
  </si>
  <si>
    <t xml:space="preserve">Is the ELB associated with valid and secure security groups that restrict access? </t>
  </si>
  <si>
    <t>All solution load balancers should be associated with valid and secure security groups that restrict access only to the ports defined within the load balancers listeners configuration.</t>
  </si>
  <si>
    <t>S1</t>
  </si>
  <si>
    <t>Is access logging enabled for the S3 bucket?</t>
  </si>
  <si>
    <t>Buckets should have server access logging enabled to provide detailed records for the requests that are made to a bucket.</t>
  </si>
  <si>
    <t>S2</t>
  </si>
  <si>
    <t>Is the public access blocked on your S3 bucket?</t>
  </si>
  <si>
    <t>All buckets should have public access restricted and blocked.</t>
  </si>
  <si>
    <t>S3</t>
  </si>
  <si>
    <t>Is encryption enabled on the S3 bucket?</t>
  </si>
  <si>
    <t>All buckets should have SSE enabled for data-at-rest.</t>
  </si>
  <si>
    <t>S4</t>
  </si>
  <si>
    <t>I confirm that a VPC endpoint has been created for secure communication</t>
  </si>
  <si>
    <t>A VPC endpoint enables the ability to privately connect a VPC to supported AWS services and VPC endpoint services powered by PrivateLink without requiring an internet gateway, NAT device, VPN connection, or AWS Direct Connect connection.</t>
  </si>
  <si>
    <t>S5</t>
  </si>
  <si>
    <t>CloudFront distribution with an origin access identity is enabled for all S3 buckets configured as static website?</t>
  </si>
  <si>
    <t>Static website buckets should not have a open world read bucket policy but rather be a private bucket with OAI restricted access via CloudFront URLs only.</t>
  </si>
  <si>
    <t>S6</t>
  </si>
  <si>
    <t xml:space="preserve">Does the client implement secure HTTP headers for all S3 buckets configured as static website? </t>
  </si>
  <si>
    <t>The web client should implement the following headers: Strict-Transport-Security, Content-Security-policy, X-Frame-Options, X-XSS-Protection and X-Content-Type-Options.</t>
  </si>
  <si>
    <t>S7</t>
  </si>
  <si>
    <t>Is MFA Delete enabled?</t>
  </si>
  <si>
    <t>The solution should use Multi-Factor Authentication (MFA) Delete feature in order to prevent the deletion of any versioned S3 objects (files).</t>
  </si>
  <si>
    <t>S8</t>
  </si>
  <si>
    <t>Does the solution use lifecycle policies?</t>
  </si>
  <si>
    <t>The solution should use lifecycle configurations to manage S3 objects during their lifetime.</t>
  </si>
  <si>
    <t>S10</t>
  </si>
  <si>
    <t>Does it check if the data in-transit is encrypted using HTTPS/TLS secure connection to transfer data?</t>
  </si>
  <si>
    <t>You can use HTTPS (TLS) to help prevent potential attackers from eavesdropping on or manipulating network traffic using person-in-the-middle or similar attacks. You should allow only encrypted connections over HTTPS (TLS) using the ﻿aws:SecureTransport﻿ condition on Amazon S3 bucket policies.</t>
  </si>
  <si>
    <t>S11</t>
  </si>
  <si>
    <t>Is Macie enabled for the S3 buckets?</t>
  </si>
  <si>
    <t>Use advanced managed services such as Amazon Macie to assists in discovering personal data. This is an account level setting.</t>
  </si>
  <si>
    <t>S12</t>
  </si>
  <si>
    <t>I confirm that the solution uses anti-sniping controls when uploading to S3 buckets.</t>
  </si>
  <si>
    <t>Anti-sniping controls protect the customer from unknowingly uploading data to a bucket that belongs to another account. If the solution provides the ability to upload data to a customer-specified bucket, whether part of the solution itself or part of the deployment, it must use anti-sniping controls to prevent this vulnerability.</t>
  </si>
  <si>
    <t>EFS1</t>
  </si>
  <si>
    <t>Is the EFS configured for encryption at rest?</t>
  </si>
  <si>
    <t>An encrypted file system, data and metadata are automatically encrypted before being written to the file system. Similarly, as data and metadata are read, they are automatically decrypted before being presented to the application. These processes are handled transparently by Amazon EFS, so you don't have to modify your applications.</t>
  </si>
  <si>
    <t>EFS2</t>
  </si>
  <si>
    <t>Is the EFS mount points configured for encryption in transit?</t>
  </si>
  <si>
    <t>Enabling encryption of data in transit for Amazon EFS file system is done by enabling Transport Layer Security (TLS) when mounting to the file system using the Amazon EFS mount helper.</t>
  </si>
  <si>
    <t>EFS3</t>
  </si>
  <si>
    <t>Are the security groups limited to traffic between the instances and the NFS mount targets?</t>
  </si>
  <si>
    <t xml:space="preserve">Solutions using Amazon EFS must specify Amazon EC2 security groups for the EC2 instances and security groups for the EFS mount targets associated with the file system. </t>
  </si>
  <si>
    <t>EFS4</t>
  </si>
  <si>
    <t>Are non-default users/groups created for accessing the file system?</t>
  </si>
  <si>
    <t>Solutions should avoid using the default user. Files and directories in an Amazon EFS file system support standard Unix-style read, write, and execute permissions based on the user ID and group IDs.</t>
  </si>
  <si>
    <t>EFS5</t>
  </si>
  <si>
    <t>Are access points enabled for solution applications accessing the file system?</t>
  </si>
  <si>
    <t>Amazon EFS access points are application-specific entry points into an EFS file system that make it easier to manage application access to shared datasets. Access points can enforce a user identity, including the user's POSIX groups, for all file system requests that are made through the access point.</t>
  </si>
  <si>
    <t>EFS6</t>
  </si>
  <si>
    <t>Does the file system use a customer-managed KMS key for data encryption?</t>
  </si>
  <si>
    <t>FSx can use the AWS/FSx default KMS key for data encryption. However, using a customer-managed KMS key protects the data better than using a default key.</t>
  </si>
  <si>
    <t>EFS7</t>
  </si>
  <si>
    <t xml:space="preserve">Are automatic backups of the file system enabled? </t>
  </si>
  <si>
    <t>Automatic backups should be enabled to ensure data is recoverable.</t>
  </si>
  <si>
    <t>EFS8</t>
  </si>
  <si>
    <t>Is traffic to all FSx components limited by Security Groups, NACLs, or some other method?</t>
  </si>
  <si>
    <t xml:space="preserve">The file system should have security groups to limit access to the file system to appropriate users/clients, peering systems/clusters, and/or management endpoints. </t>
  </si>
  <si>
    <t>EFS9</t>
  </si>
  <si>
    <t>Is the file system hosted in multiple AZs?</t>
  </si>
  <si>
    <t>The solution should be hosted in multiple AZs to ensure availability. Note that some solutions do not have the ability to be deployed in multiple AZs (like FSxL Scratch).</t>
  </si>
  <si>
    <t>EFS10</t>
  </si>
  <si>
    <t>Does the file system limit the clients that can access data? For example, through Security Groups, NACLs, NFS Exports, AuthZ/AuthN or other methods.</t>
  </si>
  <si>
    <t>The file system should perform authZ/authN, or use a service that does (such as an Active Directory).</t>
  </si>
  <si>
    <t>FSx1</t>
  </si>
  <si>
    <t>Does the file system limit access to resources (folders/files) to appropriate entities (e.g., using Active Directory to limit a user's access to specific folders)?</t>
  </si>
  <si>
    <t>The file system should implement a method to limit user access to file/folders as appropriate.</t>
  </si>
  <si>
    <t>FSx2</t>
  </si>
  <si>
    <t>Does the file system encrypt data in transit by default? If not, does the customer know they will need to enable encryption in transit?</t>
  </si>
  <si>
    <t>Some FSx implemntations encrypt data in transit by default. If your FSx implementation does not (like FSxN), it should be enabled by the customer.</t>
  </si>
  <si>
    <t>FSx3</t>
  </si>
  <si>
    <t>Is system access auditing enabled? Are system access logs being collected to a location other than the local system (e.g., to S3 or CloudWatch)?</t>
  </si>
  <si>
    <t>Administrative events and other system access to both file servers and SVMs should be logged to an external location.</t>
  </si>
  <si>
    <t>FSx4</t>
  </si>
  <si>
    <t>Is file/object/data -level access logging enabled? Are events being collected around user access and modififcation of files, objects, and data (for NFS and SMB)?</t>
  </si>
  <si>
    <t xml:space="preserve">File-level access and modification events should be collected and logged to an external (off-system) location (e.g., S3). </t>
  </si>
  <si>
    <t>FSxN1</t>
  </si>
  <si>
    <t xml:space="preserve">Do the file-system security groups for both the preferred and standby subnet endpoints restrict SSH and API (HTTP) access to appropriate sources? </t>
  </si>
  <si>
    <t>FSxN allows SSH access to file system and SVMs. This access should be restricted to specific sources (perhaps a bastion host).</t>
  </si>
  <si>
    <t>FSxN2</t>
  </si>
  <si>
    <t>Is SSH and HTTPS (API) access to the file-system and/or storage virtual machines (SVMs) restricted to appropriate entities?</t>
  </si>
  <si>
    <t xml:space="preserve">SSH and API (HTTPS) access to the file system and SVMs should be restricted to specific sources (like a bastion). Access to these sources should be restricted to appropriate entities (like admins). </t>
  </si>
  <si>
    <t>FSxN3</t>
  </si>
  <si>
    <t xml:space="preserve">If SSH is used to access the file system and/or SVMs, is this access conducted via private-key rather than password? </t>
  </si>
  <si>
    <t>With FSxN, users can SSH to the VMs via a private key, rather than using a password. The default implementation is to use a username/password. However, this can be changed on the host.</t>
  </si>
  <si>
    <t>RDS1</t>
  </si>
  <si>
    <t>I confirm no snapshots are created with public access.</t>
  </si>
  <si>
    <t>Ensure that AWS Relational Database Service (RDS) database snapshots created by a solution are not publicly accessible (i.e., shared with all AWS accounts and users) in order to avoid exposing your private data.</t>
  </si>
  <si>
    <t>RDS2</t>
  </si>
  <si>
    <t>Are the RDS instances and snapshots created by the solution enabled with data encryption?</t>
  </si>
  <si>
    <t>Solutions should encrypt Amazon RDS DB instances and snapshots at rest by enabling the encryption option for your Amazon RDS DB instances. Data that is encrypted at rest includes the underlying storage for DB instances, its automated backups, Read Replicas, and snapshots.</t>
  </si>
  <si>
    <t>RDS3</t>
  </si>
  <si>
    <t>Is the RDS cluster deployed in a Multi-AZ configuration?</t>
  </si>
  <si>
    <t>Solutions should ensure that the RDS clusters are using Multi-AZ deployment configurations for high availability and automatic failover support fully managed by AWS.</t>
  </si>
  <si>
    <t>RDS4</t>
  </si>
  <si>
    <t>Are the solution components that communicate with an RDS instance using SSL/TLS for encryption in transit?</t>
  </si>
  <si>
    <t>Solutions can use Secure Socket Layer (SSL) or Transport Layer Security (TLS) from solution components to encrypt a connection to a DB instance running MySQL, MariaDB, SQL Server, Oracle, or PostgreSQL.</t>
  </si>
  <si>
    <t>RDS5</t>
  </si>
  <si>
    <t>I confirm that security credentials for accessing the RDBMS are stored in AWS Secrets manager with automatic rotation enabled.</t>
  </si>
  <si>
    <t>Solutions should configure AWS Secrets Manager to automatically rotate the secret for a secured service or database. Secrets Manager already natively knows how to rotate secrets for supported Amazon RDS databases.</t>
  </si>
  <si>
    <t>RDS6</t>
  </si>
  <si>
    <t>I confirm that IAM Database Authentication feature enabled for all RDS MySQL or PostgresSQL.</t>
  </si>
  <si>
    <t xml:space="preserve">Solutions should use IAM Database Authentication feature in order to use AWS Identity and Access Management (IAM) service to manage database access to the Amazon RDS MySQL and PostgreSQL instances. With this feature enabled, the solution doesn't have to use a password when connecting to the MySQL/PostgreSQL database instances, instead it uses an authentication token. </t>
  </si>
  <si>
    <t>RDS7</t>
  </si>
  <si>
    <t>Does the solution's DB security groups prevent public access by using least privilege ingress rules?</t>
  </si>
  <si>
    <t>Security groups control the access that traffic has in and out of a DB instance. By default, network access is disabled for a DB instance. The solutions should specify rules in a security group that allow access from an IP address range, port, or EC2 security group. Once ingress rules are configured, the same rules apply to all DB instances that are associated with that security group.</t>
  </si>
  <si>
    <t>RDS8</t>
  </si>
  <si>
    <t>I confirm that access to the RDS instance from 0.0.0.0/0 is disabled.</t>
  </si>
  <si>
    <t>Solutions must ensure that thje AWS RDS DB security groups do not allow access from 0.0.0.0/0 (i.e. anywhere, every machine that has the ability to establish a connection) in order to reduce the risk of unauthorized access.</t>
  </si>
  <si>
    <t>RDS9</t>
  </si>
  <si>
    <t>Is the RDS instance created in a private subnet within a VPC?</t>
  </si>
  <si>
    <t>RDS instances should be created in a VPC private subnet to prevent direct internet access.</t>
  </si>
  <si>
    <t>RDS10</t>
  </si>
  <si>
    <t>Do the RDS instances have Deletion Protection feature enabled?</t>
  </si>
  <si>
    <t>Solutions should ensure that the Amazon Relational Database Service (RDS) instances have Deletion Protection feature enabled in order to protect them from being accidentally deleted.</t>
  </si>
  <si>
    <t>RDS12</t>
  </si>
  <si>
    <t>Are RDS resource event notification enabled and subscribed to?</t>
  </si>
  <si>
    <t>Solutions should ensure that the AWS RDS resources have event notifications enabled in order for customers to be notified when an event occurs for a given database instance, database snapshot, database security group or database parameter group.</t>
  </si>
  <si>
    <t>RDS13</t>
  </si>
  <si>
    <t>Are the RDS instances configured for automated backup?</t>
  </si>
  <si>
    <t xml:space="preserve">Solutions should ensure that the RDS database instances have automated backups enabled for point-in-time recovery. </t>
  </si>
  <si>
    <t>RDS14</t>
  </si>
  <si>
    <t>Is the Backtrack feature is enabled for all Amazon Aurora clusters?</t>
  </si>
  <si>
    <t xml:space="preserve">Solutions should ensure that Backtrack feature is enabled for Amazon Aurora with MySQL compatibility database clusters in order to backtrack your clusters to a specific time, without using backups. </t>
  </si>
  <si>
    <t>RDS16</t>
  </si>
  <si>
    <t>Is the Log Exports feature enabled for all Amazon Aurora Serverless?</t>
  </si>
  <si>
    <t>Solutions should ensure that Amazon Aurora Serverless database clusters (MySQL-compatible edition) have Log Exports feature enabled in order to publish general logs, slow query logs, audit logs and error logs directly to AWS CloudWatch.</t>
  </si>
  <si>
    <t>DDB2</t>
  </si>
  <si>
    <t>Does the solution's use case warrant client side encryption of data or record attributes?</t>
  </si>
  <si>
    <t>Review the use case to determine if attribute-level encryption should be implemented client side in order to help protect sensitive data like credit card numbers or social security numbers.</t>
  </si>
  <si>
    <t>DDB3</t>
  </si>
  <si>
    <t>Does the solution's use case warrant enabling continuous backups?</t>
  </si>
  <si>
    <t>Review the use case to determine if Point-in-time Recovery (PITR) feature should be used to automatically take continuous backups of the DynamoDB data. Amazon DynamoDB service can back up the data with per-second granularity and restore it to any single second from the time PITR was enabled up to the prior 35 days. DynamoDB continuous backups represent an additional layer of insurance against accidental loss of data on top of on-demand backups. If continuous backups cannot be use then at least on-demand backups must be considered.</t>
  </si>
  <si>
    <t>DDB4</t>
  </si>
  <si>
    <t>Is server side encryption at-rest enabled on the DAX cluster?</t>
  </si>
  <si>
    <t>A solution's DAX cluster data at rest (i.e. data in cache, configuration data and log files) should be encrypted using Server-Side Encryption (SSE) in order to protect it from unauthorized access to the underlying storage.</t>
  </si>
  <si>
    <t>AEC1</t>
  </si>
  <si>
    <t>Is the ElastiCache cluster provisioned in a VPC?</t>
  </si>
  <si>
    <t>Solution clusters must be provisioned within a VPC for better flexibility and control over the cache clusters security, availability, traffic routing and more.</t>
  </si>
  <si>
    <t>AEC2</t>
  </si>
  <si>
    <t>Is the latest version of the Redis/Memcached cache engine used?</t>
  </si>
  <si>
    <t>Solution clusters must be using the stable latest version of Redis/Memcached cache engine in order to adhere to AWS best practices, benefit from better security by having the most recent vulnerability patches, receive the latest Redis and Memcached software features and get the latest performance optimizations.</t>
  </si>
  <si>
    <t>AEC3</t>
  </si>
  <si>
    <t>Is data in-transit encrypted on Redis?</t>
  </si>
  <si>
    <t>A solution using Redis clusters must be encrypt data in-transit to protect its data.</t>
  </si>
  <si>
    <t>AEC4</t>
  </si>
  <si>
    <t>Is the cluster deployed in a Multi-AZ configuration on Redis?</t>
  </si>
  <si>
    <t>Solutions should ensure that the Redis clusters are using Multi-AZ deployment configurations for high availability.</t>
  </si>
  <si>
    <t>AEC5</t>
  </si>
  <si>
    <t>I confirm that the ElastiCache cluster is not using the default endpoint ports</t>
  </si>
  <si>
    <t>Solution clusters must not use the default endpoint ports (i.e. 6379 for Redis and 11211 for Memcached) in order to promote port obfuscation as an additional layer of defense against non-targeted attacks.</t>
  </si>
  <si>
    <t>AEC6</t>
  </si>
  <si>
    <t>Are users authenticated with Redis AUTH?</t>
  </si>
  <si>
    <t>When using Redis, solutions should setup Redis AUTH. Redis authentication tokens enable Redis to require a token (password) before allowing clients to execute commands, thereby improving data security.</t>
  </si>
  <si>
    <t>AEC7</t>
  </si>
  <si>
    <t>Is data at-rest encrypted on Redis?</t>
  </si>
  <si>
    <t>A solution using Redis clusters must be encrypt data at-rest to protect its data.</t>
  </si>
  <si>
    <t>N1</t>
  </si>
  <si>
    <t>Is the Neptune db cluster deployed in a Multi-AZ configuration?</t>
  </si>
  <si>
    <t>Solutions should ensure that the Neptune clusters are using Multi-AZ deployment configurations for high availability.</t>
  </si>
  <si>
    <t>N2</t>
  </si>
  <si>
    <t>Is the Auto Minor Version Upgrade feature enabled?</t>
  </si>
  <si>
    <t xml:space="preserve">Solutions Neptune database instances must have the Auto Minor Version Upgrade feature enabled in order to receive automatically minor engine upgrades.  </t>
  </si>
  <si>
    <t>N3</t>
  </si>
  <si>
    <t>Is a minimum backup retention period configured for the cluster?</t>
  </si>
  <si>
    <t>Solution Neptune database clusters must have a minimum backup retention period set. The retention period represents the number of days to retain automated snapshots. A minimum retention period of 7 (seven) days is recommended but can be adjust to meet solution requirements.</t>
  </si>
  <si>
    <t>N4</t>
  </si>
  <si>
    <t>Is data at rest encryption enabled?</t>
  </si>
  <si>
    <t>A solution using Neptune database clusters must be encrypted in order to meet security requirements and prevent unauthorized users from accessing sensitive information.</t>
  </si>
  <si>
    <t>N5</t>
  </si>
  <si>
    <t>Is the IAM Database Authentication feature enabled?</t>
  </si>
  <si>
    <t>IAM Database Authentication feature must be enabled for solution Neptune database clusters in order to make use of AWS Identity and Access Management (IAM) service to manage database access.</t>
  </si>
  <si>
    <t>RS1</t>
  </si>
  <si>
    <t xml:space="preserve">Do the parameter groups have the require_ssl enabled? </t>
  </si>
  <si>
    <t>All the parameter groups associated with the solution Redshift clusters must have the require_ssl parameter enabled in order to keep the data secure in transit by encrypting the connection between the clients and the Redshift clusters.</t>
  </si>
  <si>
    <t>RS2</t>
  </si>
  <si>
    <t>Is the Redshift cluster provisioned in a VPC?</t>
  </si>
  <si>
    <t>RS3</t>
  </si>
  <si>
    <t>Is the cluster using custom user names vice the default (awsuser)?</t>
  </si>
  <si>
    <t>All solution clusters must use custom master user names instead of the default master user name (i.e. "awsuser") in order to add an additional layer of defense against non-targeted attacks.</t>
  </si>
  <si>
    <t>RS4</t>
  </si>
  <si>
    <t>I confirm that the cluster is not using the default endpoint port (5439)</t>
  </si>
  <si>
    <t>All solution clusters should not be using the default endpoint port (5439) in order to promote port obfuscation as an additional layer of defense against non-targeted attacks.</t>
  </si>
  <si>
    <t>RS5</t>
  </si>
  <si>
    <t>Is audit logging enabled for the cluster?</t>
  </si>
  <si>
    <t>Audit logging must be enabled for solution Redshift clusters for security and troubleshooting purposes.</t>
  </si>
  <si>
    <t>RS6</t>
  </si>
  <si>
    <t>Is data-at-rest encryption enabled on the cluster?</t>
  </si>
  <si>
    <t>Solution clusters must encrypted in order to meet security requirements.</t>
  </si>
  <si>
    <t>RS7</t>
  </si>
  <si>
    <t>Is VPC endpoint provisioned for the cluster to communicate with S3?</t>
  </si>
  <si>
    <t>Solutions should configure Redshift to use an interface VPC endpoint for S3.</t>
  </si>
  <si>
    <t>RS8</t>
  </si>
  <si>
    <t>I confirm that the Redshift cluster is not publicly accessible</t>
  </si>
  <si>
    <t>Solution clusters must not be publicly accessible to minimize security risks.</t>
  </si>
  <si>
    <t>RS9</t>
  </si>
  <si>
    <t>Is Version Upgrade enabled for the cluster?</t>
  </si>
  <si>
    <t>Version Upgrade must enabled for solution Redshift clusters to automatically receive upgrades during the maintenance window.</t>
  </si>
  <si>
    <t>RS10</t>
  </si>
  <si>
    <t>Is an automated snapshot retention period configured for the cluster?</t>
  </si>
  <si>
    <t>Solution must set automated snapshot retention period Redshift clusters as a positive number, meaning that automated backups are enabled for the clusters. The retention period represents the number of days to retain automated snapshots.</t>
  </si>
  <si>
    <t>RS11</t>
  </si>
  <si>
    <t>Is user activity logging enabled on the clusters?</t>
  </si>
  <si>
    <t>A solution should have user activity logging enabled for Redshift clusters in order to log each query before it is performed on the clusters database. To enable this feature, set the "enable_user_activity_logging" database parameter to true within the non-default parameter groups. In order to make "enable_user_activity_logging" parameter to work, the database audit logging must be enabled on the clusters.</t>
  </si>
  <si>
    <t>DOC1</t>
  </si>
  <si>
    <t>A solution using Document database clusters must be encrypted in order to meet security requirements and prevent unauthorized users from accessing sensitive information.</t>
  </si>
  <si>
    <t>DOC2</t>
  </si>
  <si>
    <t>I confirm that the cluster is not using the default endpoint port (27017).</t>
  </si>
  <si>
    <t>All solution clusters should not be using the default endpoint port (27017) in order to promote port obfuscation as an additional layer of defense against non-targeted attacks.</t>
  </si>
  <si>
    <t>DOC4</t>
  </si>
  <si>
    <t>Is a minimum backup retention period set for the cluster?</t>
  </si>
  <si>
    <t>Solution clusters must have a minimum backup retention period set. The retention period represents the number of days to retain automated snapshots. A minimum retention period of 7 (seven) days is recommended but can be adjust to meet solution requirements.</t>
  </si>
  <si>
    <t>DOC5</t>
  </si>
  <si>
    <t>Is the Log Exports feature enabled for the cluster?</t>
  </si>
  <si>
    <t>Solution clusters must have the Log Exports feature enabled in order to publish audit logs directly to AWS CloudWatch Logs. The events recorded by the AWS DocumentDB audit logs include successful and failed authentication attempts, creating indexes or dropping a collection in a database within the DocumentDB cluster.</t>
  </si>
  <si>
    <t>DOC6</t>
  </si>
  <si>
    <t>Do the cluster security groups follow outlined best practices including preventing public access?</t>
  </si>
  <si>
    <t>Security groups control the access that traffic has in and out of a cluster. The solutions should specify rules in a security group that allow access from an IP address range, port, or EC2 security group.</t>
  </si>
  <si>
    <t>TS3</t>
  </si>
  <si>
    <t>Is data at rest encryption enabled using Customer Managed Key (CMK)?</t>
  </si>
  <si>
    <t>All Timestream tables in a database are encrypted at rest by default using AWS Managed Key. These keys are rotated every year. Data at rest must be encrypted using CMKs if you require more control over the permissions and lifecycle of your keys, including the ability to have them automatically rotated on an annual basis.</t>
  </si>
  <si>
    <t>TS4</t>
  </si>
  <si>
    <t>I confirm that a VPC endpoint has been created for secure communication.</t>
  </si>
  <si>
    <t>TS5</t>
  </si>
  <si>
    <t>I confirm that the data retention has been customized for the use case.</t>
  </si>
  <si>
    <t>Timestream enables you to configure retention policies to move data from the memory store to the magnetic store. When the data reaches the configured value, Timestream automatically moves the data to the magnetic store. You can also set a retention value on the magnetic store. When data expires out of the magnetic store, it is permanently deleted.</t>
  </si>
  <si>
    <t>TS6</t>
  </si>
  <si>
    <t>I confirm that the this solution does not warrant the use of client-side encryption.</t>
  </si>
  <si>
    <t>Timestream provides data-in-transit encryption. If the data is sensitive and warrants  the need to be encrypted before Amazon Timestream SDK call, client-side encryption should be considered.</t>
  </si>
  <si>
    <t>TS7</t>
  </si>
  <si>
    <t>I confirm that Amazon Timestream API calls are being logged via CloudTrail.</t>
  </si>
  <si>
    <t>Amazon Timestream is integrated with Cloudtrail. Cloudtrail must be enabled for auditing in case of any security incident.</t>
  </si>
  <si>
    <t>VPC1</t>
  </si>
  <si>
    <t>Are the availability zones maximized for high availability and disaster recovery?</t>
  </si>
  <si>
    <t>AWS recommends maximizing your use of Availability Zones to isolate a data center outage. Availability Zones are geographically distributed within a region and spaced for best insulation and stability in the event of a natural disaster.</t>
  </si>
  <si>
    <t>VPC2</t>
  </si>
  <si>
    <t xml:space="preserve">Does the solution implement separate subnets for unique routing requirements? For example, public subnets for external-facing resources and private subnets for internal resources. </t>
  </si>
  <si>
    <t>AWS recommends using public subnets for external-facing resources and private subnets for internal resources. For each Availability Zone, does the solution provision one public subnet and at least one private subnet by default.</t>
  </si>
  <si>
    <t>VPC3</t>
  </si>
  <si>
    <t>I confirm that the solution does not implement network ACLs.</t>
  </si>
  <si>
    <t>It is recommend not to use network ACLs in AWS solutions. You use network ACLs sparingly for the following reasons: they can be complex to manage, they are stateless, every IP address must be explicitly opened in each (inbound/outbound) direction, and they affect a complete subnet. We recommend that solutions use security groups and create and apply these based on a schema that works for the solution.</t>
  </si>
  <si>
    <t>VPC4</t>
  </si>
  <si>
    <t>Does the solution use independent routing tables configured for every private subnet?</t>
  </si>
  <si>
    <t>Solutions should use independent routing tables configured for every private subnet to control the flow of traffic within and outside the Amazon VPC. The public subnets can share a single routing table if they all use the same Internet gateway as the sole route to communicate with the Internet.</t>
  </si>
  <si>
    <t>VPC5</t>
  </si>
  <si>
    <t>Does the solution use NAT Gateways instead of NAT instances in supporting regions?</t>
  </si>
  <si>
    <t>NAT gateways offer major advantages in terms of deployment, availability, and maintenance.</t>
  </si>
  <si>
    <t>VPC7</t>
  </si>
  <si>
    <t>Does the solution have VPC Flow Logs enabled?</t>
  </si>
  <si>
    <t>VPC Flow Logs capture network flow information for a VPC, subnet, or network interface and stores it in Amazon CloudWatch Logs. Flow log data can help customers troubleshoot network issues; for example, to diagnose why specific traffic is not reaching an instance, which might be a result of overly restrictive security group rules.</t>
  </si>
  <si>
    <t>CFR1</t>
  </si>
  <si>
    <t>I confirm that the solution use case does not warrant CloudFront Geo restriction to blacklist countries.</t>
  </si>
  <si>
    <t>Review the use case to determine if geo restriction needs enabled for the distribution in order to whitelist or blacklist a country in order to allow or restrict users in specific locations from accessing solution content.</t>
  </si>
  <si>
    <t>CFR2</t>
  </si>
  <si>
    <t>I confirm that the solution use case does not warrant CloudFront integration with AWS WAF.</t>
  </si>
  <si>
    <t>Review the use case to determine if distributions need to be integrated with the Web Application Firewall (AWS WAF) to protect against application-layer attacks that can compromise the security of the solution or place unnecessary load on them.</t>
  </si>
  <si>
    <t>CFR3</t>
  </si>
  <si>
    <t>Is access logging enabled on the Distribution?</t>
  </si>
  <si>
    <t>Solution CloudFront distributions must have the Logging feature enabled in order to track all viewer requests for the content delivered through the Content Delivery Network (CDN).</t>
  </si>
  <si>
    <t>CFR4</t>
  </si>
  <si>
    <t>I confirm that data in-transit from CloudFront to its viewers (users)?</t>
  </si>
  <si>
    <t>Ensure that solution CloudFront distributions use a security policy with minimum TLSv1.1 or TLSv1.2 and appropriate security ciphers for HTTPS viewer connections. A security policy determines two settings: the SSL/TLS protocol that CloudFront uses to communicate with the users and the cipher that CloudFront uses to encrypt the content that it returns to users.</t>
  </si>
  <si>
    <t>CFR5</t>
  </si>
  <si>
    <t>I confirm that data in-transit from CloudFront to its viewers (origin)?</t>
  </si>
  <si>
    <t xml:space="preserve">Ensure that solution CloudFront distributions use a security policy with minimum TLSv1.1 or TLSv1.2 and appropriate security ciphers for HTTPS viewer connections. A security policy determines two settings: the SSL/TLS protocol that CloudFront uses to communicate with the users and the cipher that CloudFront uses to encrypt the content that it returns to users. </t>
  </si>
  <si>
    <t>CFR6</t>
  </si>
  <si>
    <t>Does the distribution use an origin access identity for Amazon S3 origins?</t>
  </si>
  <si>
    <t>Ensure that the origin access identity feature is enabled for all solution distributions that utilize an S3 bucket as an origin in order to restrict any direct access to objects through Amazon S3 URLs.</t>
  </si>
  <si>
    <t>CFR7</t>
  </si>
  <si>
    <t>I confirm that the solution use case does not warrant Field level ecryption</t>
  </si>
  <si>
    <t>Review the use case to determine if field-level encryption should be enabled for the distributions in order to help protect sensitive data like credit card numbers or social security numbers, and to help protect data across the solution.</t>
  </si>
  <si>
    <t>APIG1</t>
  </si>
  <si>
    <t>Does the API have access logging enabled?</t>
  </si>
  <si>
    <t>It is important to log who has accessed an API and how the caller accessed the API.</t>
  </si>
  <si>
    <t>APIG2</t>
  </si>
  <si>
    <t>Does the API have request validation enabled?</t>
  </si>
  <si>
    <t>The API should have basic request validation enabled. If the API is integrated with custom source (Lambda, ECS, etc..) in the backend, deeper input validation should be considered for implementation.</t>
  </si>
  <si>
    <t>APIG3</t>
  </si>
  <si>
    <t>I confirm that the API use case does not warrant enabling AWS WAF.</t>
  </si>
  <si>
    <t>AWS WAF is a web application firewall that helps protect web applications and APIs from attacks by allowing configured rules to allow, block, or monitor (count) web requests based on customizable rules and conditions that are defined.</t>
  </si>
  <si>
    <t>APIG4</t>
  </si>
  <si>
    <t>Does the API implements authentication?</t>
  </si>
  <si>
    <t>Each API needs to have an authentication and authorization implementation strategy. This includes using such approaches as IAM, Cognito User Pools, Custom authorizer, etc.</t>
  </si>
  <si>
    <t>APIG5</t>
  </si>
  <si>
    <t>Is a VpcLink established with a NLB for private integrations on all resources running inside a VPC (EC2, ECS, Fargate, etc)?</t>
  </si>
  <si>
    <t>For private integration with VPC backend resources use an API Gateway resource of VpcLink to encapsulate connections between API Gateway and targeted VPC resources.</t>
  </si>
  <si>
    <t>APIG6</t>
  </si>
  <si>
    <t>Are AWS CloudWatch logs enabled for the API?</t>
  </si>
  <si>
    <t>Solutions must ensure that AWS CloudWatch logs are enabled for all  APIs created with Amazon API Gateway service in order to track and analyze execution behavior at the API stage level.</t>
  </si>
  <si>
    <t>APIG7</t>
  </si>
  <si>
    <t>Is the API authorization limited to least privilege?</t>
  </si>
  <si>
    <t>Authorization should based on roles and limited to what the user/role needs to perform their job.</t>
  </si>
  <si>
    <t>APIG8</t>
  </si>
  <si>
    <t>Does API cached have encryption enabled?</t>
  </si>
  <si>
    <t>Ensure that stage-level cache encryption is enabled for your Amazon API Gateway APIs.</t>
  </si>
  <si>
    <t>APIG9</t>
  </si>
  <si>
    <t>Does the solution use private APIs endpoints unless exposing the API endpoints to the Internet is warranted?</t>
  </si>
  <si>
    <t>APIs created with API Gateway are only accessible via private API endpoints and are not visible to the Internet unless it is absolutely necessary.</t>
  </si>
  <si>
    <t>TG2</t>
  </si>
  <si>
    <t>Transit Gateway route tables have been configured to isolate VPCs in a given region.</t>
  </si>
  <si>
    <t>Use Transit Gateway routing tables to isolate them wherever needed. There is a valid case for creating multiple Transit Gateways purely to limit misconfiguration blast radius.</t>
  </si>
  <si>
    <t>TG3</t>
  </si>
  <si>
    <t>If you are using Transit Gateway inter-region peering, is the traffic encrypted?</t>
  </si>
  <si>
    <t>Traffic between an Amazon VPC and AWS Transit Gateway remains on the AWS global private network and is not exposed to the public Internet. AWS Transit Gateway inter-Region peering encrypts all traffic, with no single point of failure or bandwidth bottleneck. This helps protect against distributed denial of service (DDoS) attacks and other common exploits.</t>
  </si>
  <si>
    <t>NF1</t>
  </si>
  <si>
    <t>Are network firewall entities such as firewalls, firewall policies, and rule groups encrypted-at-rest?</t>
  </si>
  <si>
    <t>Network Firewall entities—such as firewalls, firewall policies, and rule groups should be encrypted at rest, except in certain Regions where encryption is not available, including China (Beijing) and China (Ningxia). Unique encryption keys are used for each Region.</t>
  </si>
  <si>
    <t>NEM1</t>
  </si>
  <si>
    <t>Is Transit Gateway registered with AWS Network Manager for monitoring global network?</t>
  </si>
  <si>
    <t>AWS Network Manager gives you centralized network monitoring and includes events and metrics to monitor the quality of your global network, both in AWS and on premises.</t>
  </si>
  <si>
    <t>CFN1</t>
  </si>
  <si>
    <t>I confirm that deletion policies are used to preserve specific solution data resources post delete</t>
  </si>
  <si>
    <t>Solution use cases should be reviewed to determine requirement of deletion policy, implemented with the DeletionPolicy attribute. Use for  Amazon CloudFormation stacks in order preserve or backup AWS resources when the stacks are deleted.</t>
  </si>
  <si>
    <t>CFN2</t>
  </si>
  <si>
    <t>I confirm that the solution or deployment template does not contain any input parameters that accept sensitive data, such as passwords</t>
  </si>
  <si>
    <t>Sensitive input parameters should be implemented via Secrets Manager. The should be manual implementation steps for the customer to add secure parameters for the solution.</t>
  </si>
  <si>
    <t>AS1</t>
  </si>
  <si>
    <t>Does the ASG have configured cooldown periods?</t>
  </si>
  <si>
    <t>Solutions must configure ASGs to use a cooldown period to temporarily suspend any scaling activities in order to allow the newly launched EC2 instance(s) some time to start handling the application traffic.</t>
  </si>
  <si>
    <t>AS2</t>
  </si>
  <si>
    <t>Does the ASG have properly configured health checks?</t>
  </si>
  <si>
    <t>Solutions must configure the health check feature is properly to detect whether its registered EC2 instances are healthy or not.</t>
  </si>
  <si>
    <t>AS3</t>
  </si>
  <si>
    <t>Does the ASG have notifications configured?</t>
  </si>
  <si>
    <t>Solutions must configure email notifications whenever a scaling event, such as launching or terminating an EC2 instance, occurs.</t>
  </si>
  <si>
    <t>AS4</t>
  </si>
  <si>
    <t>Does the use case warrant the use of an ELB?</t>
  </si>
  <si>
    <t>Review the solution use case to determine if an associated Elastic Load Balancer (ELB) is required in order to maintain the availability of the EC2 compute resources in the event of a failure and provide an evenly distributed application load.</t>
  </si>
  <si>
    <t>AS5</t>
  </si>
  <si>
    <t>Does the use case warrant the use of an IAM Role in the launch config?</t>
  </si>
  <si>
    <t>Review the solution use case to determine if launch configurations need  IAM roles to delegate access to the applications running within the ASGs</t>
  </si>
  <si>
    <t>AS6</t>
  </si>
  <si>
    <t xml:space="preserve">Is the ASG deployed in a Multi-AZ configuration? </t>
  </si>
  <si>
    <t>Solution ASGs must span across multiple Availability Zones (AZs) within an AWS region to expand the availability of the auto-scaled applications.</t>
  </si>
  <si>
    <t>CW1</t>
  </si>
  <si>
    <t>I confirm that no sensistive information is logged into CloudWatch.</t>
  </si>
  <si>
    <t>Record basic metadata (make sure to check the compliance with laws and regulations as applicable) about each request or unit of work within the logs, including:
Unique ID for the request
Timestamp in UTC
Operation Name
Requester
Source IP (ensure this is not the load balancer IP)
Process ID or name of the server that handled the request
Parameters, Resource IDs, etc.</t>
  </si>
  <si>
    <t>AD1</t>
  </si>
  <si>
    <t>The documents in this solution are installed as Customer Documents.</t>
  </si>
  <si>
    <t>AWS-Owned documents must comply with the SSM Service Team process and development guidelines. See SSM Document Development Guidelines.
By answering ""Yes"" you affirm that the SSM documents used in this solution are deployed as Customer Documents.</t>
  </si>
  <si>
    <t>AD2</t>
  </si>
  <si>
    <t>Documents are logically named such that their use/purpose and association with the solution are clear.</t>
  </si>
  <si>
    <t>Documents should give enough context on what the document does. Think of document names as an API. It should do one thing and start with a verb.</t>
  </si>
  <si>
    <t>AD3</t>
  </si>
  <si>
    <t>Does the Description within the document provide complete details on inputs, outputs, and actions taken?</t>
  </si>
  <si>
    <t>The description appears in the AWS Console. It must completely describe the runbooks parameters, actions, and outputs.</t>
  </si>
  <si>
    <t>AD4</t>
  </si>
  <si>
    <t>I confirm that multiple executions of the same document and parameters does not leave the customer environment in an unknown state.</t>
  </si>
  <si>
    <t>With mutating actions, it is important to consider what happens if multiple changes (or the same change) is requested multiple times against the same resource. It may be necessary to implement mechanisms to protect the resource while a change is in progress.</t>
  </si>
  <si>
    <t>AD5</t>
  </si>
  <si>
    <t>I confirm that there are no input parameters that can be removed without impacting the workflow.</t>
  </si>
  <si>
    <t>More input parameters means more usage scenarios to test, and a broader surface of attack.</t>
  </si>
  <si>
    <t>AD6</t>
  </si>
  <si>
    <t>Are all document parameters stringently validated?</t>
  </si>
  <si>
    <t>Never trust an input as malicious users may try to pass unexpected values. All document parameters should be validated using allowedPattern or allowedValue</t>
  </si>
  <si>
    <t>AD7</t>
  </si>
  <si>
    <t>I confirm that the document does not have any input parameters that accept sensitive data, such as passwords.</t>
  </si>
  <si>
    <t>SSM Automation documents do not appear to support sensitive data at this stage. SSM Parameter Store is supported however not SecureStrings. Therefore we cannot allow parameters where sensitive data is submitted.</t>
  </si>
  <si>
    <t>CPH1</t>
  </si>
  <si>
    <t>Is encryption enabled for job results?</t>
  </si>
  <si>
    <t>Solutions must enabled encryption for Comprehend analysis job results in order to secure private data and meet requirements for data-at-rest encryption.</t>
  </si>
  <si>
    <t>SAGE1</t>
  </si>
  <si>
    <t>Are the SageMaker notebook instances provisioned inside a VPC?</t>
  </si>
  <si>
    <t>Solutions must provision notebook instances inside a Virtual Private Cloud in order to able to access VPC-only resources such as Amazon EFS file systems, resources which cannot be accessed outside a VPC network.</t>
  </si>
  <si>
    <t>SAGE2</t>
  </si>
  <si>
    <t>Is the attached notebook instance storage volume(s) encrypted?</t>
  </si>
  <si>
    <t>Solutions must ensure data stored on Machine Learning (ML) storage volumes attached to the notebook instances is encrypted to protect SageMaker data at-rest.</t>
  </si>
  <si>
    <t>SAGE3</t>
  </si>
  <si>
    <t>I confirm that the notebook instance is not publicly accessible</t>
  </si>
  <si>
    <t>All solution notebook instances must not be publicly accessible.</t>
  </si>
  <si>
    <t>SAGE4</t>
  </si>
  <si>
    <t>Are notebook intances accessing S3 using VPC endpoints?</t>
  </si>
  <si>
    <t>Solutions using resources in S3 should configure the SageMaker VPC to use an interface VPC endpoint. VPC endpoints are powered by AWS PrivateLink, a technology that enables you to privately access S3 APIs through private IP addresses.</t>
  </si>
  <si>
    <t>FOR2</t>
  </si>
  <si>
    <t xml:space="preserve">Are Customer Managed KMS keys used or required for EncryptionConfig supported operations such as CreateDataset and CreatePredictor? </t>
  </si>
  <si>
    <t>Stringent customer security requirements may necessitate the use of EncryptionConfig for operations that support it. If this is a high-security solution or customers using the solution have stringent security requirements, ensure that a CMK is used and passed to operations that support it. If not, we can rely on the security inherent in Amazon Forecast for these operations.</t>
  </si>
  <si>
    <t>LEX1</t>
  </si>
  <si>
    <t>My solution has a flexibility to provide the choice of Children's Online Privacy Protection Act (COPPA) for customer?</t>
  </si>
  <si>
    <t>Chatbots subject to COPPA must set `childDirected` value to `true` in Amazon Lex API upon creation.</t>
  </si>
  <si>
    <t>LEX2</t>
  </si>
  <si>
    <t>I confirm that I’m using Secrets Manager for sensitive parameters such as access keys, API keys, etc.</t>
  </si>
  <si>
    <t>If Amazon Lex is using integration with messaging apps (e.g., Slack, Facebook, SMS), then sensitive parameters such as API Keys, Access Tokens, etc. need to be stored in Secrets Manager.</t>
  </si>
  <si>
    <t>LEX3</t>
  </si>
  <si>
    <t>Are sensitive data in Amazon Lex ' intent slots' have slot-obfuscation feature enabled?</t>
  </si>
  <si>
    <t>Sensitive data and Personally Identifiable Information (PII) needs to be obfuscated to ensure anonimity and privacy of users.</t>
  </si>
  <si>
    <t>LEX4</t>
  </si>
  <si>
    <t>Are conversation logs encrypted with KMS Managed key in Amazon Lex?</t>
  </si>
  <si>
    <t>As a best security practice, stored conversation logs in Amazon Lex need to be encrypted. This is a security control to be enable at the account level and you should let your customer be aware of it.</t>
  </si>
  <si>
    <t>PER1</t>
  </si>
  <si>
    <t>Are customer managed KMS keys used or required for this solution?</t>
  </si>
  <si>
    <t>Although Amazon Personalize will encrypt all customer data using SSE-S3, stringent customer security requirements may necessitate the use of a customer managed key (access to which is restricted via IAM policy and assumed by the Amazon Personalize service). If this is a high-security solution, or customers using the solution have stringent security requirements around revoking access to personalization data, ensure a CMK is used and passed to the operations that support it. If this is not required, please justify with your Guardian during the review.</t>
  </si>
  <si>
    <t>RK1</t>
  </si>
  <si>
    <t>Are calls to Rekognition SDK using SSL/ TLS using the latest version?</t>
  </si>
  <si>
    <t>Use SSL/TLS to communicate with AWS resources. Recommended (use the latest version, TLS 1.2 or later)</t>
  </si>
  <si>
    <t>RK2</t>
  </si>
  <si>
    <t>Is Cloud Trail enabled for API and user activity?</t>
  </si>
  <si>
    <t>Set up API and user activity logging with AWS CloudTrail.</t>
  </si>
  <si>
    <t>RK3</t>
  </si>
  <si>
    <t>Are all questions in the S3 storage section answered and reviewed by the Guardian?</t>
  </si>
  <si>
    <t>Make sure if you are using an S3 bucket as input or output for images to be consumed by Rek, please answer all the questions in the S3 section of the matrix</t>
  </si>
  <si>
    <t>RK4</t>
  </si>
  <si>
    <t>I confirm the Face Detection Rek service feature is in use.</t>
  </si>
  <si>
    <t>A link to the terms &amp; conditions is required to be included in the published documentation/ README if you are using one.</t>
  </si>
  <si>
    <t>ATH1</t>
  </si>
  <si>
    <t>Is encryption enabled for Athena query results?</t>
  </si>
  <si>
    <t>Solutions must ensure that encryption at-rest is enabled for Amazon Athena query results stored in Amazon S3 in order to secure data and meet compliance requirements for data at-rest encryption.</t>
  </si>
  <si>
    <t>ATH2</t>
  </si>
  <si>
    <t>Is encryption in transit being used for communication to the S3 bucket?</t>
  </si>
  <si>
    <t>Solutions must ensure that only encrypted connections over HTTPS (TLS) are allowed using the aws:SecureTransport condition on Amazon S3 bucket IAM policies.</t>
  </si>
  <si>
    <t>ATH3</t>
  </si>
  <si>
    <t>I confirm that any resources inside a VPC are using VPCe to access Athena.</t>
  </si>
  <si>
    <t>Solutions using resources in a VPC should configure Athena to use an interface VPC endpoint. VPC endpoints are powered by AWS PrivateLink, a technology that enables you to privately access Athena APIs through private IP addresses.</t>
  </si>
  <si>
    <t>GL1</t>
  </si>
  <si>
    <t>Is encryption at-rest for logging enabled for Glue?</t>
  </si>
  <si>
    <t>Keep in mind that if you are sending the log to other locations beyond AWS CloudWatch (logs here are encrypted at-rest by default), then they should be encrypted at-rest.</t>
  </si>
  <si>
    <t>GL2</t>
  </si>
  <si>
    <t>Is the Glue Data Catalog configured with encryption at-rest?</t>
  </si>
  <si>
    <t>Solutions should ensure that encryption is enabled for the Amazon Glue Data Catalogs in order to prevent unauthorized users from getting access to sensitive data.</t>
  </si>
  <si>
    <t>GL3</t>
  </si>
  <si>
    <t>Is the job bookmark encrypted?</t>
  </si>
  <si>
    <t>Solutions should ensure that at-rest encryption is enabled for the AWS Glue job bookmarks in order to encrypt the bookmark data before it is sent to Amazon S3 for storage.</t>
  </si>
  <si>
    <t>EMR1</t>
  </si>
  <si>
    <t>Is the cluster created in a private subnet within a VPC?</t>
  </si>
  <si>
    <t>EMR clusters should be created in a VPC private subnet to prevent direct Internet access.</t>
  </si>
  <si>
    <t>EMR2</t>
  </si>
  <si>
    <t>Is cluster logging to S3 enabled?</t>
  </si>
  <si>
    <t>Solution cluster log files must be periodically archived and uploaded to S3 in order to keep the logging data for historical purposes or to track and analyze the EMR clusters behavior.</t>
  </si>
  <si>
    <t>EMR3</t>
  </si>
  <si>
    <t>Is at-rest encryption enabled for the cluster EMRFS in the security configuration?</t>
  </si>
  <si>
    <t>EMR by default uses the EMR file system (EMRFS) to read from and write data to Amazon S3. To encrypt data in Amazon S3, the solution must specify SSE-S3 at a minimum.</t>
  </si>
  <si>
    <t>EMR4</t>
  </si>
  <si>
    <t>Is at-rest encryption enabled for the cluster local disks in the security configuration?</t>
  </si>
  <si>
    <t>Solution cluster storage volumes must have local disk encryption defined in the security configurations. Security configurations use a combination of open-source HDFS encryption and LUKS encryption. To use this feature, specify the Amazon Resource Name (ARN) for an AWS KMS key.</t>
  </si>
  <si>
    <t>EMR5</t>
  </si>
  <si>
    <t>Is in-transit encryption enabled for the cluster in the security configuration?</t>
  </si>
  <si>
    <t>Solution EMR security configurations must have a method for encrypting data in transit using Transport Layer Security (TLS). At a minimum, a solution should create (or document how) PEM certificates, zip them in a file, and reference from Amazon S3</t>
  </si>
  <si>
    <t>EMR6</t>
  </si>
  <si>
    <t>Is the solution implementing authentication to the cluster via customer created EC2 Key Pair or Kerberos?</t>
  </si>
  <si>
    <t xml:space="preserve">Solutions must implement authentication to the cluster. SSH clients can use an Amazon EC2 key pair to authenticate to cluster instances. Alternatively, with Amazon EMR release version 5.10.0 or later, solutions can configure Kerberos to authenticate users and SSH connections to the master node. </t>
  </si>
  <si>
    <t>EMR7</t>
  </si>
  <si>
    <t>Is the solution's master security group follow outlined best practices for access and not publicly accessible?</t>
  </si>
  <si>
    <t>Security groups act as virtual firewalls to control inbound and outbound traffic to the solution cluster. The solutions should specify SSH rule the master security group that allow access from a specific IP address range or EC2 security group onlye on port 22.</t>
  </si>
  <si>
    <t>EMR8</t>
  </si>
  <si>
    <t>I confirm that the master security group does not allow access from 0.0.0.0/0</t>
  </si>
  <si>
    <t>Solutions must ensure that the master security group does not allow access from 0.0.0.0/0 (i.e. anywhere, every machine that has the ability to establish a connection) in order to reduce the risk of unauthorized access.</t>
  </si>
  <si>
    <t>EMR9</t>
  </si>
  <si>
    <t>Are the applications using custom user names on the cluster?</t>
  </si>
  <si>
    <t>All solution clusters must use custom application user names instead of the default user name in order to add an additional layer of defense against non-targeted attacks.</t>
  </si>
  <si>
    <t>ESH1</t>
  </si>
  <si>
    <t>Is the cluster provisioned inside a VPC?</t>
  </si>
  <si>
    <t>Solutions must ensure cluster are accessible only from AWS VPCs for better flexibility and control over the clusters access and security as this feature lets customers keep all traffic between the VPC and OpenSearch domains within the AWS network instead of going over the public Internet.</t>
  </si>
  <si>
    <t>ESH2</t>
  </si>
  <si>
    <t>Is the node-to-node encryption feature enabled for the cluster?</t>
  </si>
  <si>
    <t>Solutions must enable the node-to-node encryption feature for OpenSearch domains (clusters) in order to add an extra layer of data protection on top of the existing OpenSearch security features such as HTTPS client to cluster encryption and data-at-rest encryption.</t>
  </si>
  <si>
    <t>ESH3</t>
  </si>
  <si>
    <t>Is the cluster domain access granted via whitelisted IP addresses only?</t>
  </si>
  <si>
    <t xml:space="preserve">Access to solution OpenSearch Service domains must be made based on whitelisted IP addresses only in order to protect them against unauthorized access. </t>
  </si>
  <si>
    <t>ESH4</t>
  </si>
  <si>
    <t>Is the cluster using dedicated master nodes?</t>
  </si>
  <si>
    <t>Solution clusters must be using dedicated master nodes to improve their environmental stability by offloading all the management tasks from the cluster data nodes.</t>
  </si>
  <si>
    <t>ESH5</t>
  </si>
  <si>
    <t>I confirm that the cluster domain is not publicly exposed.</t>
  </si>
  <si>
    <t>Solution domains must have an access policy that restricts public access in order to stop any unsigned requests made to the resources (OS clusters).</t>
  </si>
  <si>
    <t>ESH6</t>
  </si>
  <si>
    <t>Is the solution using the latest version of OpenSearch?</t>
  </si>
  <si>
    <t>Solution must deploy clusters using the latest version of OpenSearch engine in order to adhere to AWS best practices and receive the newest OpenSearch features, benefit from better performance and security and get the latest bug fixes.</t>
  </si>
  <si>
    <t>ESH7</t>
  </si>
  <si>
    <t>Is cross-zone replication (Zone Awareness) enabled on the cluster?</t>
  </si>
  <si>
    <t>Solution must enable cross-zone replication (Zone Awareness) to increase the availability of the OpenSearch clusters by allocating the nodes and replicate the data across two Availability Zones (AZs) in the same region in order to prevent data loss and minimize downtime in the event of node or data center (AZ) failure.</t>
  </si>
  <si>
    <t>ESH8</t>
  </si>
  <si>
    <t>Is the cluster provisioned with encryption enabled?</t>
  </si>
  <si>
    <t xml:space="preserve">Solution domains must be encrypted in order to meet security requirements. Encryption of data at rest helps prevent unauthorized users from reading sensitive information available on the OpenSearch domains (clusters) and their storage systems. </t>
  </si>
  <si>
    <t>ESH9</t>
  </si>
  <si>
    <t>Is logging to CloudWatch enabled for the cluster?</t>
  </si>
  <si>
    <t>Solution clusters must have support for publishing slow logs to AWS CloudWatch Logs enabled. This feature enables the publishing of slow logs from the indexing and search operations performed on the OpenSearch clusters and gain full insight into the performance of these operations.</t>
  </si>
  <si>
    <t>KDA1</t>
  </si>
  <si>
    <t>Is server-side encryption enabled in the dependent resources (such as KDS and S3)?</t>
  </si>
  <si>
    <t>KDA already takes care of encryption at rest (application code and storage) and in transit (between internal components and other services such as KDS), which cannot be disabled. The dependent resources must configure encryption separately.</t>
  </si>
  <si>
    <t>KDA2</t>
  </si>
  <si>
    <t>Have you enable CloudTrail to monitor API calls?</t>
  </si>
  <si>
    <t>Kinesis Data Analytics is integrated with AWS CloudTrail, a service that provides a record of actions taken by a user, role, or an Amazon service in Kinesis Data Analytics.</t>
  </si>
  <si>
    <t>KDA3</t>
  </si>
  <si>
    <t>Are backups and recovery checkpoints enabled by default?</t>
  </si>
  <si>
    <t>Checkpoints are backups of application state that Kinesis Data Analytics automatically creates periodically and uses to restore from faults.</t>
  </si>
  <si>
    <t>KDA4</t>
  </si>
  <si>
    <t>Is the application launched within a VPC?</t>
  </si>
  <si>
    <t>Necessary only when the application is interacting with resources located in a VPC (e.g. RDS).</t>
  </si>
  <si>
    <t>KDS1</t>
  </si>
  <si>
    <t>Is server-side encryption enabled for the data stream?</t>
  </si>
  <si>
    <t>Data must encrypted before it's written to the Kinesis stream storage layer.</t>
  </si>
  <si>
    <t>KDS2</t>
  </si>
  <si>
    <t>Have you enable CloudTrail to on how to monitor API calls?</t>
  </si>
  <si>
    <t>It is important the the Solution keep a record of actions taken by a user, role, or an AWS service in KDS.</t>
  </si>
  <si>
    <t>KDS3</t>
  </si>
  <si>
    <t>Is the solution using a custom KMS CMK (instead of the default AWS/Kinesis)?</t>
  </si>
  <si>
    <t>Only concern here is cost and extra permissions to write/read data.</t>
  </si>
  <si>
    <t>KDS4</t>
  </si>
  <si>
    <t>Is the solution using VPC endpoints?</t>
  </si>
  <si>
    <t>Required only if the data producer and data consumer is located in a VPC.</t>
  </si>
  <si>
    <t>MSK1</t>
  </si>
  <si>
    <t>Are you using the latest version of Apache Kafta?</t>
  </si>
  <si>
    <t>New security features might be have been released.</t>
  </si>
  <si>
    <t>MSK2</t>
  </si>
  <si>
    <t>For communication between clients and brokers, I confirm that I'm not using plaintext communication.</t>
  </si>
  <si>
    <t>For communication between clients and brokers, you must specify one of the following three settings: only allow TLS encrypted data (default); allow both TLS and plaintext data; and only plaintext.
Enabling encryption reduces performance by approximately 30%, and it requires additional setup when using the client libraries on EC2.</t>
  </si>
  <si>
    <t>MSK3</t>
  </si>
  <si>
    <t>For communication between the brokers, I confirm that I'm using the default of TLS.</t>
  </si>
  <si>
    <t>Amazon MSK uses TLS 1.2. By default, it encrypts data in transit between the brokers of your MSK cluster. You can override this default at the time you create the cluster.</t>
  </si>
  <si>
    <t>MSK4</t>
  </si>
  <si>
    <t>I confirm that I'm using IAM as the authentication method.</t>
  </si>
  <si>
    <t xml:space="preserve">MSK offer several ways of authentication, such as IAM, client TLS and username/password. IAM is the recommended approach, but it does require additional configuration on the clients  and it's not supported in Lambda at this time.
If using one of the other options, be aware of the following items:
- Client authentication needs an ACM Private CA. Each CA costs $400.00 per month, but they can be in a separate account and shared via Resource Access Manager (RAM).
- Username/password requires using Secrets Manager and there are current limitations, both in the cluster </t>
  </si>
  <si>
    <t>MSK5</t>
  </si>
  <si>
    <t>If the solution creates topics, is authorization with ACLs being used?</t>
  </si>
  <si>
    <t>Apache Kafka has a pluggable authorizer and ships with an out-of-box authorizer implementation that uses Apache ZooKeeper to store all ACLs. By default in MSK, if you don't explicitly set ACLs on a resource, all principals can access this resource. If you enable ACLs on a resource, only the authorized principals can access it.</t>
  </si>
  <si>
    <t>MSK6</t>
  </si>
  <si>
    <t>Are broker logs being delivered to a supported destination?</t>
  </si>
  <si>
    <t>Broker logs enable you to troubleshoot your Apache Kafka applications and to analyze their communications with your MSK cluster. You can configure your cluster to deliver logs to the following resources: a CloudWatch log group, an S3 bucket, a Kinesis Data Firehose delivery stream. MSK doesn't charge for sending the logs. However, ingestion and storage charges apply based on the destination.</t>
  </si>
  <si>
    <t>MSK7</t>
  </si>
  <si>
    <t>I confirm that I'm using security groups to limit access to ZooKeeper nodes</t>
  </si>
  <si>
    <t>You can limit access to the Apache ZooKeeper nodes that are part a cluster by assigning a separate security group to them.</t>
  </si>
  <si>
    <t>MSK8</t>
  </si>
  <si>
    <t>If using Apache Kafka version 2.5.1 or later, I confirm that I have documented instructions on how to use TLS with ZooKeeper nodes on the implementation guide</t>
  </si>
  <si>
    <t>In Apache Kafka version 2.5.1 or later, you can use TLS security for encryption in transit between your clients and your Apache ZooKeeper nodes.</t>
  </si>
  <si>
    <t>MSK9</t>
  </si>
  <si>
    <t xml:space="preserve">Are you using CloudTrail to monitor API calls? </t>
  </si>
  <si>
    <t>Amazon MSK is integrated with AWS CloudTrail, a service that provides a record of actions taken by a user, role, or an AWS service in Amazon MSK. CloudTrail captures API calls for as events.</t>
  </si>
  <si>
    <t>QS1</t>
  </si>
  <si>
    <t>I confirm that the TLS protocol is used to connect to databases from QuickSight.</t>
  </si>
  <si>
    <t>Use TLS to connect to your databases, especially if you are using public networks. Using TLS with Amazon QuickSight requires the use of certificates signed by a publicly-recognized certificate authority (CA).</t>
  </si>
  <si>
    <t>QS2</t>
  </si>
  <si>
    <t>Is encryption in transit enabled for databases to SPICE?</t>
  </si>
  <si>
    <t>Amazon QuickSight supports encryption for all data transfers. This includes transfers from the data source to SPICE, or from SPICE to the user interface.</t>
  </si>
  <si>
    <t>KDF1</t>
  </si>
  <si>
    <t>If you're sending data directly to the delivery stream (via APIs such as PutRecord or integrations such as CloudWatch logs), is server-side encryption (SSE) enabled for the delivery stream?</t>
  </si>
  <si>
    <t>Encryption can be enabled by using the StartDeliveryStreamEncryption operation or setting the DeliveryStreamEncryptionConfigurationInput property in CloudFormation.</t>
  </si>
  <si>
    <t>KDF2</t>
  </si>
  <si>
    <t>I confirm that encryption have been enable at the delivery stream destination?</t>
  </si>
  <si>
    <t>Kinesis Firehose delivery stream data records are encrypted at destination (i.e., Amazon S3).</t>
  </si>
  <si>
    <t>IAM1</t>
  </si>
  <si>
    <t>Are all multiple service integrations done via least privilege IAM roles/policies?</t>
  </si>
  <si>
    <t>When integrating multiple services, follow the standard security advice of using IAM roles with least privilege.</t>
  </si>
  <si>
    <t>IAM2</t>
  </si>
  <si>
    <t>Are all policies defined with least privilege for the task?</t>
  </si>
  <si>
    <t>When you create IAM policies, follow the standard security advice of granting least privilege, or granting only the permissions required to perform a task. Determine what the role needs to do and then craft policies that allow it to perform only those tasks.</t>
  </si>
  <si>
    <t>IAM3</t>
  </si>
  <si>
    <t xml:space="preserve">Do the policies have restricted resource scope? </t>
  </si>
  <si>
    <t>Ensure the resource scope of the policy is narrowed down to the most limiting namespace required for the action required.</t>
  </si>
  <si>
    <t>IAM4</t>
  </si>
  <si>
    <t>I confirm that the solution is not using any AWS Managed Policies.</t>
  </si>
  <si>
    <t>An AWS managed policy is a standalone policy that is created and administered by AWS. Currently, many AWS managed policies do not restrict resource scope and therefore can not be used in solutions. Replace managed policies with soltuion specific (customer) managed policy.</t>
  </si>
  <si>
    <t>IAM5</t>
  </si>
  <si>
    <t>Is metadata added to deployment template to explain rationale of wildcard permissions with supporting evidence?</t>
  </si>
  <si>
    <t>Metadata explaining the evidence (e.g. via supporting links) for wildcard permissions is required for transparency to our customers.</t>
  </si>
  <si>
    <t>IAM6</t>
  </si>
  <si>
    <t>I confirm that the solutions is not using IAM policies with effect Allow and NotAction.</t>
  </si>
  <si>
    <t>Be careful using the NotAction element and "Effect": "Allow" in the same statement or in a different statement within a policy. NotAction matches all services and actions that are not explicitly listed or applicable to the specified resource, and could result in granting users more permissions than you intended.</t>
  </si>
  <si>
    <t>COG1</t>
  </si>
  <si>
    <t>Does the solution have a password policy defined for the User Pool?</t>
  </si>
  <si>
    <t>All solutions must have a strong password policy defined.</t>
  </si>
  <si>
    <t>COG2</t>
  </si>
  <si>
    <t>Is MFA enabled in the User Pool?</t>
  </si>
  <si>
    <t>Multi-factor authentication (MFA) increases security for your app by adding another authentication method, and not relying solely on user name and password.</t>
  </si>
  <si>
    <t>COG3</t>
  </si>
  <si>
    <t>Does the solution have AdvancedSecurityMode set to ENFORCE for the user Pool?</t>
  </si>
  <si>
    <t>Solutions should have AdvancedSecurityMode set to ENFORCE.</t>
  </si>
  <si>
    <t>COG5</t>
  </si>
  <si>
    <t>Is there a Congito Identity pool configured for accessing resources?</t>
  </si>
  <si>
    <t>Amazon Cognito identity pools (federated identities) enable solutions to create unique identities for users and federate them with identity providers. With an identity pool, a solution can obtain temporary, limited-privilege AWS credentials to access other AWS services. Ensure resource scope is to the appropriate identity pool.</t>
  </si>
  <si>
    <t>COG6</t>
  </si>
  <si>
    <t>Does the User Pool have least-privilege access the Lambda function when tringgers are used?</t>
  </si>
  <si>
    <t>When you create IAM policy for an Cognito User Pool trigger, follow the standard security advice of granting least privilege, or granting only the permissions required to perform a task. Determine what the role needs to do and then craft policies that allow it to perform only those tasks.</t>
  </si>
  <si>
    <t>COG7</t>
  </si>
  <si>
    <t>I confirm that unauthorized roles do not exist for Cognito Identity Pool.</t>
  </si>
  <si>
    <t>Solutions should not provide the ability to allow unauthenticated guest access applications. There must be an approved use case for an unauthorized role, otherwise, it should remain unconfigured.</t>
  </si>
  <si>
    <t>COG8</t>
  </si>
  <si>
    <t>Does the authorized role provide least-privilege access to the necessary AWS resources?</t>
  </si>
  <si>
    <t>When you create IAM policy for an Identity Pool authorized role, follow the standard security advice of granting least privilege, or granting only the permissions required to perform a task. Determine what the role needs to do and then craft policies that allow it to perform only those tasks.</t>
  </si>
  <si>
    <t>SM1</t>
  </si>
  <si>
    <t>Is all sensitive information protected with Secrets Manager?</t>
  </si>
  <si>
    <t>All sensitive information for a solution must be protected within AWS Secrets Manager.</t>
  </si>
  <si>
    <t>SM2</t>
  </si>
  <si>
    <t>I confirm that sensitive information is not logged in custom code before being created in Secrets Manager.</t>
  </si>
  <si>
    <t>SM3</t>
  </si>
  <si>
    <t>I confirm that sensitive information is not logged in custom code after being retrieved from Secrets Manager.</t>
  </si>
  <si>
    <t>SM4</t>
  </si>
  <si>
    <t>I confirm that secrets are automatically rotated.</t>
  </si>
  <si>
    <t xml:space="preserve">AWS Secrets Manager can be configured to automatically rotate the secret for a secured service or database. </t>
  </si>
  <si>
    <t>KMS1</t>
  </si>
  <si>
    <t>Does the defined key policy for the solution's Customer Master Key (CMK) adhere to least-privilege?</t>
  </si>
  <si>
    <t>Key policies are the primary way to control access to customer master keys (CMKs) in AWS KMS. They are not the only way to control access, but you cannot control access without them. When you create key policy for a CMK, follow the standard security advice of granting least privilege. Determine what resources in the solution needs to access it and then craft the policy that allows it to be accessed only by those resources.</t>
  </si>
  <si>
    <t>KMS2</t>
  </si>
  <si>
    <t>Does the defined key policy for the solution's Customer Master Key (CMK) adhere to seperation of duty for resources?</t>
  </si>
  <si>
    <t>A solution module might make a KMS API call to encrypt data but there is no use case for that same module to decrypt data. In that use case, a key policy could grant access to a resource for the kms:Encrypt action but not kms:Decrypt and reduce the possibility for exposure.</t>
  </si>
  <si>
    <t>KMS3</t>
  </si>
  <si>
    <t>I confirm that there are not cross account access to a CMK key.</t>
  </si>
  <si>
    <t>A solution should explicitly manage permissions to all authorized users using only the KMS key policy. The specific trust should be broken out on a per key basis to ensure that the solution adheres to the least privilege model.</t>
  </si>
  <si>
    <t>KMS4</t>
  </si>
  <si>
    <t>Does the solution use case warrant using encryption context for protected information?</t>
  </si>
  <si>
    <t>In addition to limiting permission to the AWS KMS APIs, AWS KMS also gives you the ability to add an additional layer of authentication for  KMS API calls utilizing encryption context. The encryption context is a key-value pair of additional data that is associated with AWS KMS-protected information. This is then incorporated into the additional authenticated data (AAD) of the authenticated encryption in AWS KMS-encrypted ciphertexts. Some use cases may warrant encryption context.</t>
  </si>
  <si>
    <t>KMS5</t>
  </si>
  <si>
    <t>Is the CMK configured for key rotation?</t>
  </si>
  <si>
    <t>KMS Key Rotation allow a solution to set an yearly rotation schedule for a CMK so when a customer master key is required to encrypt new data, the KMS service can automatically use the latest version of the HSA backing key to perform the encryption.</t>
  </si>
  <si>
    <t>KMS6</t>
  </si>
  <si>
    <t>Are VPCe configured to use KMS for every resource access?</t>
  </si>
  <si>
    <t>Solutions using resources in a VPC to access KMS should be configured to use an interface VPC endpoint. VPC endpoints are powered by AWS PrivateLink, a technology that enables you to privately access KMS APIs through private IP addresses.</t>
  </si>
  <si>
    <t>PS1</t>
  </si>
  <si>
    <t>I confirm that SecureString parameter is used to protect any configuration data deemed sensitive. Note: For sensitive data such as passwords Secrets Manager shall be used at it provide rotation of secrets.</t>
  </si>
  <si>
    <t xml:space="preserve">If you have data that you don't want users to alter or reference in plaintext configuration data such as license keys, create those parameters using the SecureString datatype. Parameter Store uses an AWS Key Management Service (AWS KMS) customer master key (CMK) to encrypt the parameter value. </t>
  </si>
  <si>
    <t>PS2</t>
  </si>
  <si>
    <t>I confirm that access to Systems Manager parameters by the solution is narrowly-scoped to only those required by it; either by parameter name or suitably narrow prefix.</t>
  </si>
  <si>
    <t>Access to Systems Manager parameters should be limited to only those parameters needed for the solution.</t>
  </si>
  <si>
    <t>O1</t>
  </si>
  <si>
    <t>Is AWS Organizations Service Access enabled in the management account with restrictive permissions?</t>
  </si>
  <si>
    <t>When a Management Account has enabled service access for your service, your service will be able to 1) Gather information about the Organization (Membership, Structure, etc), 2) Create Service Linked Roles on the members of the Organization, 3)Receive Notifications about the status of the Organization. If configured incorrectly, an account could allow another service to access their organization hierarchy, membership, and OU structure.</t>
  </si>
  <si>
    <t>O2</t>
  </si>
  <si>
    <t>To enable account administrator access, are AWS Organizations permissions attached to an IAM role in the management account and granted to user via assume role?</t>
  </si>
  <si>
    <t>For most administrator operations for AWS Organizations, you need to attach permissions to users or groups in the management account. If a user in a member account needs to perform administrator operations for your organization, you need to grant the AWS Organizations permissions to an IAM role in the management account and enable the user in the member account to assume the role.</t>
  </si>
  <si>
    <t>O3</t>
  </si>
  <si>
    <t>Is detailed logging enabled to log administrator specified events from AWS Organizations to CloudWatch?</t>
  </si>
  <si>
    <t>AWS Organizations can work with CloudWatch Events to raise events when administrator-specified actions occur in an organization. You can configure CloudWatch Events rules that look for these actions and then send the generated events to administrator-defined targets.</t>
  </si>
  <si>
    <t>O4</t>
  </si>
  <si>
    <t>Are API call requests to AWS Organizations signed using either Security Token Service or access key ID &amp; secret access key associated with an IAM principal?</t>
  </si>
  <si>
    <t>All requests must be signed by using an access key ID and a secret access key that is associated with an IAM principal. Or you can use the AWS Security Token Service (AWS STS) to generate temporary security credentials to sign requests.</t>
  </si>
  <si>
    <t>STS1</t>
  </si>
  <si>
    <t>Are the cross-account roles using correctly scoped role policy?</t>
  </si>
  <si>
    <t>Cross-account role's trust policy and permission policy should be scoped down to specific pricipal and permissions required for the desired functionality.  Incorrectly scoped policy could lead to a principal gaining escalated privileges.</t>
  </si>
  <si>
    <t>RAM1</t>
  </si>
  <si>
    <t>I confirm that no sensitive data is present in tags or free-form fields when using this service to share resources</t>
  </si>
  <si>
    <t>Any data that you enter into tags or free-form fields used for names may be used for billing or diagnostic logs. If you provide a URL to an external server, we strongly recommend that you do not include credentials information in the URL to validate your request to that server.</t>
  </si>
  <si>
    <t>ASC2</t>
  </si>
  <si>
    <t>Does the GraphQL API have a defined AuthZ strategy?</t>
  </si>
  <si>
    <t xml:space="preserve">Review the GraphQL use cases to determine the appropriate Access Control Matrix. </t>
  </si>
  <si>
    <t>ASC3</t>
  </si>
  <si>
    <t>Is request level logging enabled for the GraphQL API to track invalid HTTP requests (4xx)?</t>
  </si>
  <si>
    <t xml:space="preserve">It is important to log who has accessed the GraphQL API and how the caller accessed the API. The documentation should outline how the customer can review the logs with Logs with Amazon CloudWatch Logs Insights. </t>
  </si>
  <si>
    <t>L1</t>
  </si>
  <si>
    <t xml:space="preserve">Is the Lambda function on the most recent version of the language runtime? </t>
  </si>
  <si>
    <t xml:space="preserve">Review the available runtimes for the targeted language to ensure we are not creating a support issue or rapid technical debt scenario. </t>
  </si>
  <si>
    <t>L2</t>
  </si>
  <si>
    <t>Is the Lambda function using third party libraries? If so, are all libraries licenses approved?</t>
  </si>
  <si>
    <t>The use of open source or third party libraries/licenses must be approved by the appropiate policies.</t>
  </si>
  <si>
    <t>L3</t>
  </si>
  <si>
    <t>I confirm that there is not any sensitive data being logged from custom code.</t>
  </si>
  <si>
    <t>L4</t>
  </si>
  <si>
    <t>I confirm that there is not any environment variables that contain sensitive data in plain text.</t>
  </si>
  <si>
    <t xml:space="preserve">Sensitive data should be encrypted prior to holding in env variable or stored in Secrets Manager. Use the env variable to hold the name of the Secrets Manager parameter. </t>
  </si>
  <si>
    <t>L5</t>
  </si>
  <si>
    <t>Is solution function logging application information to CloudWatch to catch issues?</t>
  </si>
  <si>
    <t>Use AWS Lambda Metrics and CloudWatch Alarms instead of creating or updating a metric from within your Lambda function code.</t>
  </si>
  <si>
    <t>L6</t>
  </si>
  <si>
    <t>I confirm that Lambda functions do not have admin or elevated privileges.</t>
  </si>
  <si>
    <t>All solution Lambda functions should not have administrative permissions (i.e. access to all AWS actions and resources) in order to promote the Principle of Least Privilege and provide functions with the minimal amount of access required to perform their tasks.</t>
  </si>
  <si>
    <t>L7</t>
  </si>
  <si>
    <t>I confirm that the same IAM role is not used for multiple Lambda functions.</t>
  </si>
  <si>
    <t>There should be always a one-to-one relationship between your AWS Lambda functions and their IAM roles, meaning that each Lambda function should have its own IAM execution role, therefore this role should not be shared between functions.</t>
  </si>
  <si>
    <t>L8</t>
  </si>
  <si>
    <t>For service interactions, does the assigned role contain least privileges required for functional purpose of the interaction?</t>
  </si>
  <si>
    <t>When assigning roles to Lambda functions, follow the standard security advice of granting least privilege, or granting only the permissions required to perform a task. Determine what the role needs to do and then craft policies that allow it to perform only those tasks.</t>
  </si>
  <si>
    <t>SF1</t>
  </si>
  <si>
    <t>I confirm that logging to CloudWatch is enabled for ALL events for the Step Function.</t>
  </si>
  <si>
    <t>CloudWatch logs data is important to troubleshooting and audit trails.</t>
  </si>
  <si>
    <t>SF2</t>
  </si>
  <si>
    <t>If there are service integrations with the function (e.g. API Gateway) that supports tracing, is X-ray enabled to support tracing for the customer?</t>
  </si>
  <si>
    <t>X-ray should be enabled in upstream services (where applicable) that integrate with the solutions Lambda functions to enable tracing.</t>
  </si>
  <si>
    <t>EVB1</t>
  </si>
  <si>
    <t>I confirm that the EventBridge permissions are not open to everyone.</t>
  </si>
  <si>
    <t>Solutions should not configure EventBus to allow access to everyone (*) in order to prevent anonymous users from sending events.</t>
  </si>
  <si>
    <t>EVB2</t>
  </si>
  <si>
    <t>Are bus permissions resource scoped appropriately to only known accounts/resources?</t>
  </si>
  <si>
    <t>Solutions must configure EventBridge to allow access only known AWS accounts in order to prevent unauthorized users from using.</t>
  </si>
  <si>
    <t>SNS1</t>
  </si>
  <si>
    <t>Are only trusted accounts permitted for cross account access?</t>
  </si>
  <si>
    <t>Solutions must ensure SNS topics are configured to allow access only to trusted AWS accounts in order to protect against unauthorized cross account access.</t>
  </si>
  <si>
    <t>SNS2</t>
  </si>
  <si>
    <t>Is the SNS Topic configured for Server-Side Encryption (SSE)?</t>
  </si>
  <si>
    <t>Solutions must enable Server-Side Encryption (SSE) for topics for additional protection of sensitive data delivered as messages to subscribers.</t>
  </si>
  <si>
    <t>SNS3</t>
  </si>
  <si>
    <t>Without HTTPS (TLS), a network-based attacker can eavesdrop on network traffic or manipulate it, using an attack such as man-in-the-middle. Allow only encrypted connections over HTTPS (TLS) using the aws:SecureTransport condition in the queue policy to force requests to use SSL. If SSE is already enabled (SNS2) then this control is auto enforced.</t>
  </si>
  <si>
    <t>SQS1</t>
  </si>
  <si>
    <t>Solutions must ensure queues are configured to allow access only to trusted AWS accounts in order to protect against unauthorized cross account access.</t>
  </si>
  <si>
    <t>SQS2</t>
  </si>
  <si>
    <t>Is the SQS queue configured for Server-Side Encryption (SSE)?</t>
  </si>
  <si>
    <t>Solutions must enable Server-Side Encryption (SSE) for queues for additional protection of sensitive data delivered as messages to subscribers.</t>
  </si>
  <si>
    <t>SQS3</t>
  </si>
  <si>
    <t>Is a dead letter queue configured for each solution queue?</t>
  </si>
  <si>
    <t xml:space="preserve">Solution queues must be configured to use a Dead Letter Queue (DLQ) in order to help maintain the queue flow and avoid losing data by detecting and mitigating failures and service disruptions on time. </t>
  </si>
  <si>
    <t>SQS4</t>
  </si>
  <si>
    <t>Does it check if the data in transit is encrypted using HTTPS/TLS secure connection to transfer data?</t>
  </si>
  <si>
    <t>Without HTTPS (TLS), a network-based attacker can eavesdrop on network traffic or manipulate it using an attack such as man-in-the-middle. Allow only encrypted connections over HTTPS (TLS) using the aws:SecureTransport condition in the topic policy to force requests to use SSL.</t>
  </si>
  <si>
    <t>MS1</t>
  </si>
  <si>
    <t>Is container access logging enabled?</t>
  </si>
  <si>
    <t>Containers should have access logging enabled to provide detailed records for the requests that are made to the container.</t>
  </si>
  <si>
    <t>MS2</t>
  </si>
  <si>
    <t>I confirm that access logs are not deleted upon stack removal.</t>
  </si>
  <si>
    <t>Access logs should never be deleted upon container termination, as they are vital in forensic investigations of events.</t>
  </si>
  <si>
    <t>MS3</t>
  </si>
  <si>
    <t>Does the resource policy have the requirement of HTTPS for all operations?</t>
  </si>
  <si>
    <t>Solutions must ensure that only encryption connections over HTTPS (TLS) are allowing using the aws:SecureTransport condition on MediaStore container policies.</t>
  </si>
  <si>
    <t>MS4</t>
  </si>
  <si>
    <t>Are metric policies set up for metrics to be sent to CloudWatch?</t>
  </si>
  <si>
    <t>Use MediaStore metrics and CloudWatch alarms.</t>
  </si>
  <si>
    <t>MS5</t>
  </si>
  <si>
    <t>I confirm that there is not any sensitive data being logged.</t>
  </si>
  <si>
    <t>MS6</t>
  </si>
  <si>
    <t>I confirm that the same IAM role for MediaStore is not used for other purposes.</t>
  </si>
  <si>
    <t>All Elemental services should not share the same AWS IAM role in order to promote the Principle of Least Privilege (POLP) by providing each individual resource the minimal amount of access required to perform its task. There should always be a one-to-one relationship between resources and their IAM roles, meaning that each Elemental resource should have it's own IAM role, therefore this role should not be shared between resources.</t>
  </si>
  <si>
    <t>MS7</t>
  </si>
  <si>
    <t>Are container policies set up to limit access to your resources?</t>
  </si>
  <si>
    <t>When assigning container policies, follow the standard security advice of granting least privilege, or granting only the permissions required to allow needed access.</t>
  </si>
  <si>
    <t>MS8</t>
  </si>
  <si>
    <t>Is a CORS policy set up to limit access cross-origin to your resources?</t>
  </si>
  <si>
    <t>When assigning CORS policies, follow the standard security advice of granting least privilege, or granting only the permissions required to allow needed access.</t>
  </si>
  <si>
    <t>MS9</t>
  </si>
  <si>
    <t>When assigning roles to resources, follow the standard security advice of granting least privilege, or granting only the permissions required to perform the task. Determine what the role needs to do and then craft policies that allow it to perform only those tasks.</t>
  </si>
  <si>
    <t>MS10</t>
  </si>
  <si>
    <t>I confirm that the solution use cases does not warrant the configuration of object lifecycle policies.</t>
  </si>
  <si>
    <t>Object lifecycle policies govern how long objects remain in an AWS Elemental MediaStore container.</t>
  </si>
  <si>
    <t>MS11</t>
  </si>
  <si>
    <t>Have you verified there are no resource limitations in launching this product?</t>
  </si>
  <si>
    <t xml:space="preserve">When launching, any resource limitations with hardware size or availability should be mentioned. </t>
  </si>
  <si>
    <t>MS12</t>
  </si>
  <si>
    <t>I confirm the IAM role used by the encoder to write into containers is least privilege and not shared by any other resource.</t>
  </si>
  <si>
    <t>The role used by the encoder to write to containers should follow the Principle of Least Privilege (POLP) by providing each individual resource the minimal amount of access required to perform its task. There should always be a one-to-one relationship between resources and their IAM roles, meaning that each Elemental resource should have it's own IAM role, therefore this role should not be shared between resources.</t>
  </si>
  <si>
    <t>MS13</t>
  </si>
  <si>
    <t xml:space="preserve">I confirm when sending video to CloudFront, we are utilizing the IAM conditions to require use of a shared secret. </t>
  </si>
  <si>
    <t>No transport of data should occur unsecured. Use of IAM conditions for shared secrets is required when sending data to CloudFront.</t>
  </si>
  <si>
    <t>ML1</t>
  </si>
  <si>
    <t>ML2</t>
  </si>
  <si>
    <t>I confirm that we are not using the same IAM role for MediaLive production, distributors, or admin.</t>
  </si>
  <si>
    <t>ML3</t>
  </si>
  <si>
    <t>Are proper input security groups set up to prevent unauthorized access to your channel?</t>
  </si>
  <si>
    <t>Restricting access to content channels is required to avoid unauthorized 3rd party access from pushing unauthorized content.</t>
  </si>
  <si>
    <t>ML4</t>
  </si>
  <si>
    <t>I confirm that no fields contain sensitive information.</t>
  </si>
  <si>
    <t>No sensitive information should be stored in fields that are stored in plaintext.</t>
  </si>
  <si>
    <t>ML5</t>
  </si>
  <si>
    <t>I confirm passwords are not stored/passed in URLs, but stored securely in Secrets Manager.</t>
  </si>
  <si>
    <t>Passwords should always be stored in secure locations/services such as Secrets Manager and never passed in a URL format.</t>
  </si>
  <si>
    <t>CB3</t>
  </si>
  <si>
    <t>I confirm that the codebuild stage is not being executed as privileged instance.</t>
  </si>
  <si>
    <t>If there is a need to run your CodeBuild as a privileged instance, then we need to call out the business need for having these elevated rights and update the threat model to state mitigations and controls for managing these excess rights.</t>
  </si>
  <si>
    <t>CB4</t>
  </si>
  <si>
    <t>I confirm if the codebuild stage has encryption key configured.</t>
  </si>
  <si>
    <t>CodeBuild does offer the ability to pass in your own encryption key to encrypt build artifacts at rest in a provided S3 bucket. It is highly encouraged that your team take advantage of this, using your own account managed KMS CMK key.</t>
  </si>
  <si>
    <t>CB5</t>
  </si>
  <si>
    <t>I confirm if the CodeBuild service is not using a custom Docker image.</t>
  </si>
  <si>
    <t>If your team is using a custom Docker image, then we should call out the differences/edits your team is applying to the Docker image to define your build.</t>
  </si>
  <si>
    <t>CC1</t>
  </si>
  <si>
    <t>Confirm system doesn't depend on itself to deploy (example hosting codecommit service code into codecommit repositories).</t>
  </si>
  <si>
    <t>Circular dependencies could lead to denial of service in the event of system failure.</t>
  </si>
  <si>
    <t>C91</t>
  </si>
  <si>
    <t>Are you using no-ingress EC2 instances with AWS Systems Manager?</t>
  </si>
  <si>
    <t>Cloud9 offers 3 types: EC2 instance (direct access), EC2 instance (access via Systems Manager), and remote server (SSH connection). The last one is unlikely to be used solution. It's recommended to leverage SSM as that does not require opening inbound ports.</t>
  </si>
  <si>
    <t>C93</t>
  </si>
  <si>
    <t>IoT1</t>
  </si>
  <si>
    <t>Is the visibility of your IoT devices managed?</t>
  </si>
  <si>
    <t>The visibility of the IoT devices needs to be managed. Are they managed by these?                                                                                    1. AWS IoT device registry  
2. AWS IoT Device Management Fleet hub  
3. Customer provided IoT device/asset management</t>
  </si>
  <si>
    <t>IoT2</t>
  </si>
  <si>
    <t>Is the software integrity for your IoT devices checked?</t>
  </si>
  <si>
    <t>The software integrity of your IOT devices checked by these  methods:                                                                                                                      1. Code reviews - Amazon CodeGuru.    
2. Store code securely - AWS  CodeCommit.    
3. Access code securely -  IAM.    
4. Deliver code securely - Code  signing.</t>
  </si>
  <si>
    <t>IoT3</t>
  </si>
  <si>
    <t>Are the IoT device software vulnerabilities discovered?</t>
  </si>
  <si>
    <t>The IOT device software vulneranilities  need to be discovered by these:                                                                                                                1. Vulnerability management using tools like Coverity &amp; Snyk     
2. AWS Security bulletins  
3. Other means to detect software vulnerabilities using published CVE and CVSS.</t>
  </si>
  <si>
    <t>IoT4</t>
  </si>
  <si>
    <t>Are you preventing malware from infecting your IoT devices?</t>
  </si>
  <si>
    <t>There needs to be protection  from malware affecting your IOT devices?    
1. Use Threat intelligence    
2. Antivirus software like  McAfee, etc.</t>
  </si>
  <si>
    <t>IoT5</t>
  </si>
  <si>
    <t>Are you ensuring secure cloud connections?</t>
  </si>
  <si>
    <t>Secure cloud connections needs  to be enforced to prevent malware from infecting your IoT devices:        
1. Disallow connections from IOT devices to unknown network endpoints.    
2. Limit outbound connections and  monitor using AWS IoT Device Defender.    
3. Use Firewall on devices to limit inbound &amp; outbound connections.    
4. Close inbound ports and use only port 443 for outbound traffic.    
5. Prefer VPC endpoints when available.    
6. Use TLS proxy when connecting to public cloud endpoints.</t>
  </si>
  <si>
    <t>IoT6</t>
  </si>
  <si>
    <t>Have you checked the security of your IOT devices and solutions through testing? In addition to testing deveice security, you also need to conduct cyber security testing across OT and IoT periodically to test devices and OT systems, Edge Gateways, networks and communication and cloud services.</t>
  </si>
  <si>
    <t>To make sure that the IOT devices and  solutions testing needs to be done.                                                                                                               1. Penetration testing  
2. Cybersecurity testing (end-to-end use case security testing).</t>
  </si>
  <si>
    <t>IoT7</t>
  </si>
  <si>
    <t>I confirm that I am securely connecting to the IOT devices.</t>
  </si>
  <si>
    <t>To have the IOT devices securely connected, do the following: 
1. Avoid using tools which need you to open inbound ports.
2. Use AWS IoT Tunnelling to  connect to devices behind firewalls w/o opening firewall ports using Zero Trust.
3. Use AWS IoT Jobs for secure  remote operations on devices.
4. Use Partner solution from zscaler for access to ICS system and not OT network  using Zero Trust.    
5. Use other secure VPN solutions and limit the number of open ports.          6. Use SSM Session Manager to securely connect to Edge Gateways.</t>
  </si>
  <si>
    <t>IoT8</t>
  </si>
  <si>
    <t>I confirm that the IOT devices are connected securely to 3rd party applications.</t>
  </si>
  <si>
    <t>IOT devices must connect to 3rd party applications securely.
1. Use AWS Secrets Manager to manage secrets used to access 3rd party  applications.    
2. Use only known IP and TLS 1.2  for communication with 3rd party applications.  
3. Ensure that you are not hardcoding credentials to access 3rd party applications.</t>
  </si>
  <si>
    <t>IoT9</t>
  </si>
  <si>
    <t>I confirm that I have hardened and minimized the attack surface on the IoT devices.</t>
  </si>
  <si>
    <t>Harden and minimize the attack surface of your IoT devices:    
1. Limit the number of listening ports, ideally to zero.    
2. In case you need to open ports for communication, time-bound the duration it is opened.    
3. Purge all unused components from the file system.    
4. Remove hardware debug ports permanently.    
5. Use secure enclosures.    
6. Change default credentials.    
7. Create a whitelist for access. 
8. Secure data on the device. 
9. Have a mechanism for software updates and patching. 
10. Have a mechanism for continous audit and monitoring including anomaly detection.
11. Have a mechanism to securely access the device for troubleshooting. 
12. Secure the credentails on IoT device.</t>
  </si>
  <si>
    <t>IoT10</t>
  </si>
  <si>
    <t>I have confirmed that the human  security weaknesses that could impact my IOT devices have been minimized.</t>
  </si>
  <si>
    <t>The  human security weaknesses which could  impact your IoT  devices should be minimized:    
1. CWE list of weaknesses in  software and hardware (https://cwe.mitre.org/).</t>
  </si>
  <si>
    <t>IoT11</t>
  </si>
  <si>
    <t>While associating IoT identities  and permissions with my devices, I confirm that I have ensured that each device has its own unique device identity.</t>
  </si>
  <si>
    <t>It is required that each IoT device has its own unique identity.</t>
  </si>
  <si>
    <t>IoT12</t>
  </si>
  <si>
    <t>The principals associated with each IoT device have least privileged access.</t>
  </si>
  <si>
    <t>It is recommended that it is ensured that the principals associated with each IoT device identity have least privileged access.</t>
  </si>
  <si>
    <t>IoT13</t>
  </si>
  <si>
    <t>I confirm that the devices are secure and the IoT device credentials are protected.</t>
  </si>
  <si>
    <t>Use a secure element on your IoT device to store identity credentials.</t>
  </si>
  <si>
    <t>IoT14</t>
  </si>
  <si>
    <t>Is a trusted platform module (TPM) that supports verification of hardware authenticity and secure management of keys used?</t>
  </si>
  <si>
    <t>Use a trusted platform module (TPM) that supports verification of  hardware authenticity and secure management of keys. This is to protect device credentials and  having devices secure. TPM provides a) Rooy of Trust b) Secure boot c) Secure key storage and management</t>
  </si>
  <si>
    <t>IoT15</t>
  </si>
  <si>
    <t>Are protected boot and persistent storage encryption on the device used?</t>
  </si>
  <si>
    <t>Use protected  boot and persistent storage encryption on  the device.</t>
  </si>
  <si>
    <t>IoT16</t>
  </si>
  <si>
    <t>I confirm the user access to IOT applications are authenticated and authorized.</t>
  </si>
  <si>
    <t>Implement authentication and authorization for users  accessing IoT resources. IAM and Cognito can be used for user management.</t>
  </si>
  <si>
    <t>IoT17</t>
  </si>
  <si>
    <t>Did you decouple access to your IoT infrastructure from IoT applications?</t>
  </si>
  <si>
    <t>Decouple access to your IoT infrastructure from IoT applications. This helps with segregation of duties.</t>
  </si>
  <si>
    <t>IoT18</t>
  </si>
  <si>
    <t>I confirm that I have analyzed application logs and device metrics to detect security issues.</t>
  </si>
  <si>
    <t>Gather logs and metrics to capture authorization errors and failures that occur in an IoT application.</t>
  </si>
  <si>
    <t>IoT19</t>
  </si>
  <si>
    <t>Have you enabled comprehensive  monitoring and alerting of your IoT  application?</t>
  </si>
  <si>
    <t>Enable comprehensive monitoring  and  alerting of your IoT application.</t>
  </si>
  <si>
    <t>IoT20</t>
  </si>
  <si>
    <t>Have you enabled audit checks to alert on potentially  vulnerable configuration of device identity or policy options?</t>
  </si>
  <si>
    <t>Enable audit checks to alert on potentially  vulnerable configuration of device identity or policy options</t>
  </si>
  <si>
    <t>IoT21</t>
  </si>
  <si>
    <t>I confirm that I have planned the security lifecycle of the IOT device which includes responding to security events and incidents?</t>
  </si>
  <si>
    <t>Be prepared for incident response involving  individual devices or larger-scale  events involving multiple devices or your cloud infrastructure. Maintain and regularly exercise a security incident response plan to test monitoring functionality.</t>
  </si>
  <si>
    <t>IoT22</t>
  </si>
  <si>
    <t>Have you analyzed each software and hardware provider in the supply chain to understand how security issues are detected and reported, how often software or firmware updates are released, and what support options are available?</t>
  </si>
  <si>
    <t>Analyze each software and  hardware provider  in the supply chain  to understand how security issues are detected and  reported, how often software or firmware  updates  are released, and what support  options are available. This includes manitaining an SBOM, identifying and prioritizing vulnerabilities using CVE and CVSS.</t>
  </si>
  <si>
    <t>IoT23</t>
  </si>
  <si>
    <t>I confirm that I manage the device certificates, including installation, validation, revocation, and rotation.</t>
  </si>
  <si>
    <t>Manage the device certificates,  including installation, validation, revocation, and rotation.</t>
  </si>
  <si>
    <t>IoT24</t>
  </si>
  <si>
    <t>Have you used certificate  revocation lists to manage compromised  or revoked certificates?</t>
  </si>
  <si>
    <t>Use certificate revocation lists to manage compromised or revoked  certificates.</t>
  </si>
  <si>
    <t>IoT25</t>
  </si>
  <si>
    <t>I confirm that I have ensured  that IoT device data is protected at rest and in transit.</t>
  </si>
  <si>
    <t>Ensure IoT device data is encrypted in transit and  at rest when stored on the device.</t>
  </si>
  <si>
    <t>IoT26</t>
  </si>
  <si>
    <t>Have you used data classification strategies to categorize data access based on levels of sensitivity?</t>
  </si>
  <si>
    <t>Use data classification strategies to categorize data access based on  levels of sensitivity. Identify PII data and IP data which needs additional protections</t>
  </si>
  <si>
    <t>IoT27</t>
  </si>
  <si>
    <t xml:space="preserve">Have you used data governance to preserve the confidentiality, integrity, and availability of IoT devices? </t>
  </si>
  <si>
    <t xml:space="preserve">Make sure you met any compliance requirements (e.g., PCI-DSS, HIPAA, intelectual property) and reguations related to data privacy, locality, confidentiality and governance. </t>
  </si>
  <si>
    <t>IoT28</t>
  </si>
  <si>
    <t>Have you avoided unnecessary  data access, storage, and transmission?</t>
  </si>
  <si>
    <t>Consult your organization policies and make sure you align to it.</t>
  </si>
  <si>
    <t>IoT29</t>
  </si>
  <si>
    <t>I confirm I have a backup and recovery plan for my IoT devices and data?</t>
  </si>
  <si>
    <t>Use resiliency features at the edge to support data resiliency and backup needs. Use cloud services for backup and business continuity.</t>
  </si>
  <si>
    <t>Version</t>
  </si>
  <si>
    <t>Comments</t>
  </si>
  <si>
    <t>Author</t>
  </si>
  <si>
    <t>Date</t>
  </si>
  <si>
    <t>v1.0.0</t>
  </si>
  <si>
    <t>Initial release</t>
  </si>
  <si>
    <t>Unknown</t>
  </si>
  <si>
    <t>v1.0.1</t>
  </si>
  <si>
    <t>Added column "Show" to enable filtered view at review time</t>
  </si>
  <si>
    <t>Added version number at the top left corner</t>
  </si>
  <si>
    <t>Added question P1 for the document name</t>
  </si>
  <si>
    <t>Seperated services into grouped tabs</t>
  </si>
  <si>
    <t>v1.0.2</t>
  </si>
  <si>
    <t>Added Answer "Yes/No" column with formula</t>
  </si>
  <si>
    <t>v1.0.3</t>
  </si>
  <si>
    <t>Fixed broken formulas, re-worded questions that were ambiguous</t>
  </si>
  <si>
    <t>v1.0.4</t>
  </si>
  <si>
    <t>Added new services: Kinesis Data Stream, Kinesis Data Analytics, and Forecast</t>
  </si>
  <si>
    <t>v1.0.5</t>
  </si>
  <si>
    <t>Added new questions to S3, SNS, SQS (as per ) and fixed some typos.</t>
  </si>
  <si>
    <t>v1.0.6</t>
  </si>
  <si>
    <t>Clarified question that ask about services not included in the General Tab, improved readability of question IAM4</t>
  </si>
  <si>
    <t>10/26/2020</t>
  </si>
  <si>
    <t>v1.0.7</t>
  </si>
  <si>
    <t xml:space="preserve">Added approved MSK questions to the Analytics tab, SIM Issue: </t>
  </si>
  <si>
    <t>12/1/2020</t>
  </si>
  <si>
    <t>v1.0.8</t>
  </si>
  <si>
    <t>Fixed wording for MSK7</t>
  </si>
  <si>
    <t>12/4/2020</t>
  </si>
  <si>
    <t>v1.0.9</t>
  </si>
  <si>
    <t>EKS1 &amp; S4 reworded for clarity</t>
  </si>
  <si>
    <t>12/18/2020</t>
  </si>
  <si>
    <t>v.1.10</t>
  </si>
  <si>
    <t xml:space="preserve">Amazon Lex Service added as per </t>
  </si>
  <si>
    <t>1/28/2021</t>
  </si>
  <si>
    <t>v1.11</t>
  </si>
  <si>
    <t>Added MediaStore and MediaLive Services  Added link to process for requesting changes to the Security Matrix</t>
  </si>
  <si>
    <t>2/23/2021</t>
  </si>
  <si>
    <t>v1.12</t>
  </si>
  <si>
    <t xml:space="preserve">Added services: Kinesis Data Firehose, QuickSight, CloudWatch, CodeBuild, CodeDeploy, CodePipeline, Transit Gateway, Network Firewall as per </t>
  </si>
  <si>
    <t>3/29/2021</t>
  </si>
  <si>
    <t>v1.13</t>
  </si>
  <si>
    <t xml:space="preserve">Added Services: Step Functions, Parameter Store, and Systems Manager document as per </t>
  </si>
  <si>
    <t>3/31/2021</t>
  </si>
  <si>
    <t>v1.14</t>
  </si>
  <si>
    <t>Corrected minor issues related to  added new tab for Systems Manager document</t>
  </si>
  <si>
    <t>4/2/2021</t>
  </si>
  <si>
    <t>v1.15</t>
  </si>
  <si>
    <t xml:space="preserve">Added Cloud 9 service as per: </t>
  </si>
  <si>
    <t>5/4/2021</t>
  </si>
  <si>
    <t>v1.16</t>
  </si>
  <si>
    <t>Added Amazon Personalize and Translate as per:</t>
  </si>
  <si>
    <t>5/11/2021</t>
  </si>
  <si>
    <t>v1.17</t>
  </si>
  <si>
    <t>Added an Instructions tab, added a formula to automatically flags questions that are fully covered by cfn_nag security checks as per request  changed the Risk column to include the options "Mitigated" and "Not Mitigated" which will be used to report the findings in the Summary tab.</t>
  </si>
  <si>
    <t>6/8/2021</t>
  </si>
  <si>
    <t>v.1.18</t>
  </si>
  <si>
    <t xml:space="preserve">Added Rekognition as per </t>
  </si>
  <si>
    <t>7/12/2021</t>
  </si>
  <si>
    <t>v.1.19</t>
  </si>
  <si>
    <t xml:space="preserve">Modified MSK service as per </t>
  </si>
  <si>
    <t>7/26/2021</t>
  </si>
  <si>
    <t>v.1.20</t>
  </si>
  <si>
    <t xml:space="preserve">Update to the System Manager Document service as per </t>
  </si>
  <si>
    <t>9/15/2021</t>
  </si>
  <si>
    <t>v.1.21</t>
  </si>
  <si>
    <t xml:space="preserve">Added service Amazon Timestream as per </t>
  </si>
  <si>
    <t>9/20/2021</t>
  </si>
  <si>
    <t>v.1.22</t>
  </si>
  <si>
    <t xml:space="preserve">Fixed duplicate for control S10 as per </t>
  </si>
  <si>
    <t>12/27/2021</t>
  </si>
  <si>
    <t>v.1.23</t>
  </si>
  <si>
    <t xml:space="preserve">Added metrics to track rules implemented on cdk-nag </t>
  </si>
  <si>
    <t>1/26/2022</t>
  </si>
  <si>
    <t>v.1.24</t>
  </si>
  <si>
    <t>Changed the Cloud9 Rule IDs for CL9-1 to C91 C92 CP3 to make it easy to align with CDK-NAG rules. COG-4 was removed as it is covered by APG-4. VPC-6 was removed as it not longer an applicable question. APG-4 was broken in two (authorization and authentication), adding APG-7. TS-1, TS-2, and DDB-1 were retired as encyption is automatically enable by the service and this cannot be disable. ASC-1 was retired as unauthenticated access to the API is not allow by default. The language on CFR-4 and CFR-5 was improved.</t>
  </si>
  <si>
    <t>3/10/2022</t>
  </si>
  <si>
    <t>v.1.25</t>
  </si>
  <si>
    <t>Fixed formula issues in network and delivery tab. Renamed ElasticSearch to OpenSearch and changed the control/rule ID from ESH to OS to align with CDK_NAG ruleIDs. Added new controls for: AWS Organizations, AWS Security Token Service, AWS Resource Access Manager</t>
  </si>
  <si>
    <t>v1.26</t>
  </si>
  <si>
    <t>Fixed the cdk_nag coverage typo in column E for every tab where it says covered by cfn_nag.</t>
  </si>
  <si>
    <t>3/15/2022</t>
  </si>
  <si>
    <t>v.1.27</t>
  </si>
  <si>
    <t>Security controls CB1/CB2 (encryption in transit and at rest) were retired as this are covered default by the service.</t>
  </si>
  <si>
    <t>4/4/2022</t>
  </si>
  <si>
    <t>v. 1.28</t>
  </si>
  <si>
    <t>The entire Security Matrix was reviewed for technical and grammatical accuracy. Also, the FSxN service.</t>
  </si>
  <si>
    <t>8/24/2022</t>
  </si>
  <si>
    <t>v. 1.29</t>
  </si>
  <si>
    <t>Adding ID column in XIII Developer Tools Sheet.</t>
  </si>
  <si>
    <t>9/12/2022</t>
  </si>
  <si>
    <t>v. 1.30</t>
  </si>
  <si>
    <t>Added 25 additional controls for EKS.</t>
  </si>
  <si>
    <t>9/14/2022</t>
  </si>
  <si>
    <t>v. 1.31</t>
  </si>
  <si>
    <t>Various controls from the General Tab were removed and/or reviewed, based on feedback received.</t>
  </si>
  <si>
    <t>10/11/2022</t>
  </si>
  <si>
    <t>v. 1.32</t>
  </si>
  <si>
    <t>Changes in this version: 1) New code scanning tab have been added with the goal of making the Security Matrix code scanning centric 2) Various security controls in the General Tab were removed based on feedback received as they were not relevant to security and causing confusion 3) Internal links/references have been removed from the Security Matrix to make it partner friendly.</t>
  </si>
  <si>
    <t>11/1/2022</t>
  </si>
  <si>
    <t>v. 1.33</t>
  </si>
  <si>
    <t>Updated intructions tab, fixed link to "XII. Media Services", and listed all the services under the "Summary Tab" by default. Also, formulas on IV. Databases, VI. Mgmnt &amp; Governance, VII. Analytics were fixed.</t>
  </si>
  <si>
    <t>11/8/2022</t>
  </si>
  <si>
    <t>v. 1.34</t>
  </si>
  <si>
    <t>Added ASH External Link for Partner use</t>
  </si>
  <si>
    <t>12/9/2022</t>
  </si>
  <si>
    <t>v. 1.35</t>
  </si>
  <si>
    <t>Removed control C92.</t>
  </si>
  <si>
    <t>1/9/2023</t>
  </si>
  <si>
    <t>v. 1.36</t>
  </si>
  <si>
    <t>Multiple updates to the summary tab; fixed some calculations; renamed IoT to XIV rather than XIX.</t>
  </si>
  <si>
    <t>1/23/2023</t>
  </si>
  <si>
    <t>v. 1.37</t>
  </si>
  <si>
    <t>Added guidance for scanning open source licenses on python and javascripts projects. Usage of romans numbers removed, unique prefix added for SageMaker, clarified reason on IAM.</t>
  </si>
  <si>
    <t>1/25/2023</t>
  </si>
  <si>
    <t>v. 1.38</t>
  </si>
  <si>
    <t>Added java specific guidance for scanning open source licenses</t>
  </si>
  <si>
    <t>2/1/2023</t>
  </si>
  <si>
    <t>v. 1.39</t>
  </si>
  <si>
    <t>TG-1 has been removed as now Transit Gateway supports Intra-Region peering. A security control that ask about making API endpoints publicly accessible only when absolutely necessary has been added (APIG9). Corrected formulas and name for Rekognition mispelled as Recognition. Added clarification on SC1 as it is only applicable to the SA Solutions Builder Team. Default values for IAM-6 added. Fixed formulas for AppSync. Updated reasoning for GL-1. Updated reasoning for L7. SC-8 has been retired.</t>
  </si>
  <si>
    <t>2/7/2023</t>
  </si>
  <si>
    <t>v. 1.40</t>
  </si>
  <si>
    <t>SC-12 and SF-2 both have been removed as the use of X-ray is not a relevant control for security</t>
  </si>
  <si>
    <t>3/17/2023</t>
  </si>
  <si>
    <t>6f39632</t>
  </si>
  <si>
    <t>Auto-Generated by NeoLifter. Click here for commit logs.</t>
  </si>
  <si>
    <t>neo-lifter</t>
  </si>
  <si>
    <t>2023-04-11 12:22:48</t>
  </si>
  <si>
    <t>All infra is managed with CDK/CloudFormation, which facilitates delete/rollback</t>
  </si>
  <si>
    <t>Other than the CDK/CloudFormation deployment of the sample itself, the only calls to AWS APIs are to invoke Rekognition/Bedrock</t>
  </si>
  <si>
    <t>Need guidance on whether this is necessary</t>
  </si>
  <si>
    <t>The solution is designed to handle product descriptions, not personal data.</t>
  </si>
  <si>
    <t>All provisioned infrastructure is managed by CDK/CloudFormation</t>
  </si>
  <si>
    <t>No; explanation in comments</t>
  </si>
  <si>
    <t>Very open-ended input is inherent to the use case. Text and image inputs are passed as-is to Rekognition/Bedrock services, which are designed to handle similarly open-ended input.</t>
  </si>
  <si>
    <t>(n/a--all auth is handled via IAM with no long-lived secrets)</t>
  </si>
  <si>
    <t>(n/a--solution does not use VPCs)</t>
  </si>
  <si>
    <t>Not currently enabled</t>
  </si>
  <si>
    <t>The Lambda/APIGW integration is configured in proxy mode, so the logical place to do query validation is in the Lambda function, given that various request body structures will be passed to the same endpoint.</t>
  </si>
  <si>
    <t>This application is intended to be an internal, authenticated tool. So the threat of abuse from clients is substantially mitigated by requiring auth at the APIGW layer for all requests.</t>
  </si>
  <si>
    <t>The sample code for this guidance includes a sample client that runs as a local browser app. The details of deploying other downstream clients are out of the scope of the guidance. There is no client running in a VPC in this sample code.</t>
  </si>
  <si>
    <t>Access logs are enabled</t>
  </si>
  <si>
    <t>There is only one type of user/caller to the API in question, so while all users have the same access level, it is least privilege.</t>
  </si>
  <si>
    <t>n/a, cache is not enabled</t>
  </si>
  <si>
    <t>N/A</t>
  </si>
  <si>
    <t>The API is exposed to the internet but protected by IAM auth, which is reasonable for the use case where it can be desirable to have clients access the solution over the internet.</t>
  </si>
  <si>
    <t>n/a, there is no durable state stored in AWS by this solution</t>
  </si>
  <si>
    <t>All API requests use boto3, which uses TLS 1.2+ out of the box</t>
  </si>
  <si>
    <t>Org-wide settings like CloudTrail seem beyond the scope of this use-case-specific guidance</t>
  </si>
  <si>
    <t>n/a, no images are stored in S3 and all images are passed to Rekognition directly as bytes</t>
  </si>
  <si>
    <t>Only DetectLabels is used, no face-specific features</t>
  </si>
  <si>
    <t>Currently comments are provided in CDK code. Please advise if other metadata is needed in the case of CDK.</t>
  </si>
  <si>
    <t>Currently using Python 3.7 to have bundled "requests" library available (only needed until Bedrock is GA). Can include requests in Lambda artifact if needed.</t>
  </si>
  <si>
    <t>n/a</t>
  </si>
  <si>
    <t>Created resources are explained in the readme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</si>
</sst>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name val="Calibri"/>
      <family val="2"/>
    </font>
    <font>
      <b/>
      <sz val="11"/>
      <name val="Calibri"/>
      <family val="2"/>
    </font>
    <font>
      <b/>
      <sz val="12"/>
      <name val="Calibri"/>
      <family val="2"/>
    </font>
    <font>
      <u/>
      <sz val="12"/>
      <color rgb="FF0000BB"/>
      <name val="Calibri"/>
      <family val="2"/>
    </font>
    <font>
      <b/>
      <sz val="22"/>
      <name val="Calibri"/>
      <family val="2"/>
    </font>
    <font>
      <sz val="16"/>
      <name val="Calibri"/>
      <family val="2"/>
    </font>
    <font>
      <b/>
      <sz val="16"/>
      <name val="Calibri"/>
      <family val="2"/>
    </font>
    <font>
      <b/>
      <sz val="20.5"/>
      <name val="Calibri"/>
      <family val="2"/>
    </font>
    <font>
      <b/>
      <sz val="14"/>
      <name val="Calibri"/>
      <family val="2"/>
    </font>
    <font>
      <b/>
      <sz val="18"/>
      <color rgb="FFFF0000"/>
      <name val="Calibri"/>
      <family val="2"/>
    </font>
    <font>
      <b/>
      <sz val="18"/>
      <name val="Calibri"/>
      <family val="2"/>
    </font>
    <font>
      <b/>
      <u/>
      <sz val="12"/>
      <name val="Calibri"/>
      <family val="2"/>
    </font>
    <font>
      <sz val="12"/>
      <name val="Monaco"/>
      <family val="3"/>
    </font>
  </fonts>
  <fills count="30">
    <fill>
      <patternFill patternType="none"/>
    </fill>
    <fill>
      <patternFill patternType="gray125"/>
    </fill>
    <fill>
      <patternFill patternType="solid">
        <fgColor rgb="FF999999"/>
      </patternFill>
    </fill>
    <fill>
      <patternFill patternType="solid">
        <fgColor rgb="FFFCD5B4"/>
      </patternFill>
    </fill>
    <fill>
      <patternFill patternType="solid">
        <fgColor rgb="FFDDDDDD"/>
      </patternFill>
    </fill>
    <fill>
      <patternFill patternType="solid">
        <fgColor rgb="FFE26B0A"/>
      </patternFill>
    </fill>
    <fill>
      <patternFill patternType="solid">
        <fgColor rgb="FF9BBB59"/>
      </patternFill>
    </fill>
    <fill>
      <patternFill patternType="solid">
        <fgColor rgb="FFFFC000"/>
      </patternFill>
    </fill>
    <fill>
      <patternFill patternType="solid">
        <fgColor rgb="FFD1C4E9"/>
      </patternFill>
    </fill>
    <fill>
      <patternFill patternType="solid">
        <fgColor rgb="FFB3E5FC"/>
      </patternFill>
    </fill>
    <fill>
      <patternFill patternType="solid">
        <fgColor rgb="FFFFCDD2"/>
      </patternFill>
    </fill>
    <fill>
      <patternFill patternType="solid">
        <fgColor rgb="FFF79646"/>
      </patternFill>
    </fill>
    <fill>
      <patternFill patternType="solid">
        <fgColor rgb="FFFABF8F"/>
      </patternFill>
    </fill>
    <fill>
      <patternFill patternType="solid">
        <fgColor rgb="FFC4D79B"/>
      </patternFill>
    </fill>
    <fill>
      <patternFill patternType="solid">
        <fgColor rgb="FF4F81BD"/>
      </patternFill>
    </fill>
    <fill>
      <patternFill patternType="solid">
        <fgColor rgb="FF8DB4E2"/>
      </patternFill>
    </fill>
    <fill>
      <patternFill patternType="solid">
        <fgColor rgb="FF604B79"/>
      </patternFill>
    </fill>
    <fill>
      <patternFill patternType="solid">
        <fgColor rgb="FFB1A0C7"/>
      </patternFill>
    </fill>
    <fill>
      <patternFill patternType="solid">
        <fgColor rgb="FFFF2F92"/>
      </patternFill>
    </fill>
    <fill>
      <patternFill patternType="solid">
        <fgColor rgb="FFFF6FB3"/>
      </patternFill>
    </fill>
    <fill>
      <patternFill patternType="solid">
        <fgColor rgb="FF009193"/>
      </patternFill>
    </fill>
    <fill>
      <patternFill patternType="solid">
        <fgColor rgb="FF00CDD1"/>
      </patternFill>
    </fill>
    <fill>
      <patternFill patternType="solid">
        <fgColor rgb="FF60497A"/>
      </patternFill>
    </fill>
    <fill>
      <patternFill patternType="solid">
        <fgColor rgb="FF9A77C4"/>
      </patternFill>
    </fill>
    <fill>
      <patternFill patternType="solid">
        <fgColor rgb="FFFF0204"/>
      </patternFill>
    </fill>
    <fill>
      <patternFill patternType="solid">
        <fgColor rgb="FFE30204"/>
      </patternFill>
    </fill>
    <fill>
      <patternFill patternType="solid">
        <fgColor rgb="FFF86CAE"/>
      </patternFill>
    </fill>
    <fill>
      <patternFill patternType="solid">
        <fgColor rgb="FFB6DC6A"/>
      </patternFill>
    </fill>
    <fill>
      <patternFill patternType="solid">
        <fgColor rgb="FFC3D69B"/>
      </patternFill>
    </fill>
    <fill>
      <patternFill patternType="solid">
        <fgColor rgb="FFDFEAC8"/>
      </patternFill>
    </fill>
  </fills>
  <borders count="1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s>
  <cellStyleXfs count="1">
    <xf numFmtId="0" fontId="0" fillId="0" borderId="0"/>
  </cellStyleXfs>
  <cellXfs count="105">
    <xf numFmtId="0" fontId="0" fillId="0" borderId="0" xfId="0"/>
    <xf numFmtId="0" fontId="1" fillId="0" borderId="0" xfId="0" applyFont="1" applyAlignment="1">
      <alignment vertical="top" wrapText="1"/>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1" xfId="0" applyBorder="1"/>
    <xf numFmtId="0" fontId="0" fillId="0" borderId="2" xfId="0" applyBorder="1" applyAlignment="1">
      <alignment horizontal="left"/>
    </xf>
    <xf numFmtId="0" fontId="0" fillId="0" borderId="2" xfId="0" applyBorder="1"/>
    <xf numFmtId="0" fontId="0" fillId="0" borderId="3" xfId="0" applyBorder="1"/>
    <xf numFmtId="0" fontId="0" fillId="0" borderId="4" xfId="0" applyBorder="1"/>
    <xf numFmtId="0" fontId="1" fillId="0" borderId="0" xfId="0" applyFont="1" applyAlignment="1">
      <alignment horizontal="left"/>
    </xf>
    <xf numFmtId="0" fontId="0" fillId="0" borderId="6" xfId="0" applyBorder="1"/>
    <xf numFmtId="0" fontId="2" fillId="0" borderId="0" xfId="0" applyFont="1" applyAlignment="1">
      <alignment horizontal="center"/>
    </xf>
    <xf numFmtId="0" fontId="3" fillId="2" borderId="0" xfId="0" applyFont="1" applyFill="1" applyAlignment="1">
      <alignment horizontal="center"/>
    </xf>
    <xf numFmtId="0" fontId="3" fillId="0" borderId="4" xfId="0" applyFont="1" applyBorder="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6" xfId="0" applyFont="1" applyBorder="1" applyAlignment="1">
      <alignment horizontal="center"/>
    </xf>
    <xf numFmtId="0" fontId="2" fillId="2" borderId="0" xfId="0" applyFont="1" applyFill="1" applyAlignment="1">
      <alignment horizontal="center"/>
    </xf>
    <xf numFmtId="0" fontId="0" fillId="0" borderId="0" xfId="0" applyAlignment="1">
      <alignment horizontal="center"/>
    </xf>
    <xf numFmtId="0" fontId="1" fillId="2" borderId="0" xfId="0" applyFont="1" applyFill="1" applyAlignment="1">
      <alignment horizontal="center"/>
    </xf>
    <xf numFmtId="0" fontId="1" fillId="0" borderId="4" xfId="0" applyFont="1" applyBorder="1" applyAlignment="1">
      <alignment horizontal="center"/>
    </xf>
    <xf numFmtId="0" fontId="4" fillId="0" borderId="0" xfId="0" applyFont="1" applyAlignment="1">
      <alignment horizontal="left"/>
    </xf>
    <xf numFmtId="0" fontId="1" fillId="0" borderId="0" xfId="0" applyFont="1" applyAlignment="1">
      <alignment horizontal="center"/>
    </xf>
    <xf numFmtId="0" fontId="1" fillId="0" borderId="6" xfId="0" applyFont="1" applyBorder="1" applyAlignment="1">
      <alignment horizontal="center"/>
    </xf>
    <xf numFmtId="0" fontId="0" fillId="2" borderId="0" xfId="0" applyFill="1" applyAlignment="1">
      <alignment horizontal="center"/>
    </xf>
    <xf numFmtId="10" fontId="1" fillId="0" borderId="4" xfId="0" applyNumberFormat="1" applyFont="1" applyBorder="1" applyAlignment="1">
      <alignment horizontal="center"/>
    </xf>
    <xf numFmtId="10" fontId="1" fillId="0" borderId="6" xfId="0" applyNumberFormat="1" applyFont="1" applyBorder="1" applyAlignment="1">
      <alignment horizontal="center"/>
    </xf>
    <xf numFmtId="0" fontId="3" fillId="0" borderId="7" xfId="0" applyFont="1" applyBorder="1" applyAlignment="1">
      <alignment horizontal="left"/>
    </xf>
    <xf numFmtId="0" fontId="3" fillId="0" borderId="7" xfId="0" applyFont="1" applyBorder="1" applyAlignment="1">
      <alignment horizontal="center"/>
    </xf>
    <xf numFmtId="10" fontId="3" fillId="0" borderId="7" xfId="0" applyNumberFormat="1" applyFont="1" applyBorder="1" applyAlignment="1">
      <alignment horizontal="center"/>
    </xf>
    <xf numFmtId="10" fontId="3" fillId="0" borderId="8" xfId="0" applyNumberFormat="1" applyFont="1" applyBorder="1" applyAlignment="1">
      <alignment horizontal="center"/>
    </xf>
    <xf numFmtId="0" fontId="0" fillId="0" borderId="9" xfId="0" applyBorder="1"/>
    <xf numFmtId="0" fontId="0" fillId="0" borderId="10" xfId="0" applyBorder="1" applyAlignment="1">
      <alignment horizontal="left"/>
    </xf>
    <xf numFmtId="0" fontId="0" fillId="0" borderId="10" xfId="0" applyBorder="1"/>
    <xf numFmtId="0" fontId="0" fillId="0" borderId="11" xfId="0" applyBorder="1"/>
    <xf numFmtId="0" fontId="1" fillId="0" borderId="0" xfId="0" applyFont="1"/>
    <xf numFmtId="0" fontId="4" fillId="4" borderId="0" xfId="0" applyFont="1" applyFill="1"/>
    <xf numFmtId="0" fontId="1" fillId="4" borderId="0" xfId="0" applyFont="1" applyFill="1"/>
    <xf numFmtId="0" fontId="0" fillId="0" borderId="0" xfId="0" applyAlignment="1">
      <alignment horizontal="center" vertical="center" wrapText="1"/>
    </xf>
    <xf numFmtId="0" fontId="1" fillId="5" borderId="13"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4" fillId="0" borderId="13"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3" xfId="0" applyFont="1" applyBorder="1" applyAlignment="1">
      <alignment horizontal="left" vertical="center" wrapText="1"/>
    </xf>
    <xf numFmtId="0" fontId="2" fillId="2" borderId="0" xfId="0" applyFont="1" applyFill="1"/>
    <xf numFmtId="0" fontId="3" fillId="2" borderId="0" xfId="0" applyFont="1" applyFill="1"/>
    <xf numFmtId="0" fontId="0" fillId="0" borderId="0" xfId="0" applyAlignment="1">
      <alignment wrapText="1"/>
    </xf>
    <xf numFmtId="0" fontId="3" fillId="8" borderId="0" xfId="0" applyFont="1" applyFill="1" applyAlignment="1">
      <alignment wrapText="1"/>
    </xf>
    <xf numFmtId="0" fontId="1" fillId="8" borderId="0" xfId="0" applyFont="1" applyFill="1" applyAlignment="1">
      <alignment wrapText="1"/>
    </xf>
    <xf numFmtId="0" fontId="1" fillId="0" borderId="0" xfId="0" applyFont="1" applyAlignment="1">
      <alignment wrapText="1"/>
    </xf>
    <xf numFmtId="0" fontId="3" fillId="9" borderId="0" xfId="0" applyFont="1" applyFill="1" applyAlignment="1">
      <alignment wrapText="1"/>
    </xf>
    <xf numFmtId="0" fontId="1" fillId="9" borderId="0" xfId="0" applyFont="1" applyFill="1" applyAlignment="1">
      <alignment wrapText="1"/>
    </xf>
    <xf numFmtId="0" fontId="3" fillId="10" borderId="0" xfId="0" applyFont="1" applyFill="1" applyAlignment="1">
      <alignment wrapText="1"/>
    </xf>
    <xf numFmtId="0" fontId="1" fillId="10" borderId="0" xfId="0" applyFont="1" applyFill="1" applyAlignment="1">
      <alignment wrapText="1"/>
    </xf>
    <xf numFmtId="0" fontId="3" fillId="11" borderId="0" xfId="0" applyFont="1" applyFill="1" applyAlignment="1">
      <alignment wrapText="1"/>
    </xf>
    <xf numFmtId="0" fontId="1" fillId="11" borderId="0" xfId="0" applyFont="1" applyFill="1" applyAlignment="1">
      <alignment wrapText="1"/>
    </xf>
    <xf numFmtId="0" fontId="3" fillId="12" borderId="0" xfId="0" applyFont="1" applyFill="1" applyAlignment="1">
      <alignment wrapText="1"/>
    </xf>
    <xf numFmtId="0" fontId="1" fillId="12" borderId="0" xfId="0" applyFont="1" applyFill="1" applyAlignment="1">
      <alignment wrapText="1"/>
    </xf>
    <xf numFmtId="0" fontId="3" fillId="6" borderId="0" xfId="0" applyFont="1" applyFill="1" applyAlignment="1">
      <alignment wrapText="1"/>
    </xf>
    <xf numFmtId="0" fontId="1" fillId="6" borderId="0" xfId="0" applyFont="1" applyFill="1" applyAlignment="1">
      <alignment wrapText="1"/>
    </xf>
    <xf numFmtId="0" fontId="3" fillId="13" borderId="0" xfId="0" applyFont="1" applyFill="1" applyAlignment="1">
      <alignment wrapText="1"/>
    </xf>
    <xf numFmtId="0" fontId="1" fillId="13" borderId="0" xfId="0" applyFont="1" applyFill="1" applyAlignment="1">
      <alignment wrapText="1"/>
    </xf>
    <xf numFmtId="0" fontId="3" fillId="14" borderId="0" xfId="0" applyFont="1" applyFill="1" applyAlignment="1">
      <alignment wrapText="1"/>
    </xf>
    <xf numFmtId="0" fontId="1" fillId="14" borderId="0" xfId="0" applyFont="1" applyFill="1" applyAlignment="1">
      <alignment wrapText="1"/>
    </xf>
    <xf numFmtId="0" fontId="3" fillId="15" borderId="0" xfId="0" applyFont="1" applyFill="1" applyAlignment="1">
      <alignment wrapText="1"/>
    </xf>
    <xf numFmtId="0" fontId="1" fillId="15" borderId="0" xfId="0" applyFont="1" applyFill="1" applyAlignment="1">
      <alignment wrapText="1"/>
    </xf>
    <xf numFmtId="0" fontId="3" fillId="16" borderId="0" xfId="0" applyFont="1" applyFill="1" applyAlignment="1">
      <alignment wrapText="1"/>
    </xf>
    <xf numFmtId="0" fontId="1" fillId="16" borderId="0" xfId="0" applyFont="1" applyFill="1" applyAlignment="1">
      <alignment wrapText="1"/>
    </xf>
    <xf numFmtId="0" fontId="3" fillId="17" borderId="0" xfId="0" applyFont="1" applyFill="1" applyAlignment="1">
      <alignment wrapText="1"/>
    </xf>
    <xf numFmtId="0" fontId="1" fillId="17" borderId="0" xfId="0" applyFont="1" applyFill="1" applyAlignment="1">
      <alignment wrapText="1"/>
    </xf>
    <xf numFmtId="0" fontId="3" fillId="18" borderId="0" xfId="0" applyFont="1" applyFill="1" applyAlignment="1">
      <alignment wrapText="1"/>
    </xf>
    <xf numFmtId="0" fontId="1" fillId="18" borderId="0" xfId="0" applyFont="1" applyFill="1" applyAlignment="1">
      <alignment wrapText="1"/>
    </xf>
    <xf numFmtId="0" fontId="3" fillId="19" borderId="0" xfId="0" applyFont="1" applyFill="1" applyAlignment="1">
      <alignment wrapText="1"/>
    </xf>
    <xf numFmtId="0" fontId="1" fillId="19" borderId="0" xfId="0" applyFont="1" applyFill="1" applyAlignment="1">
      <alignment wrapText="1"/>
    </xf>
    <xf numFmtId="0" fontId="3" fillId="20" borderId="0" xfId="0" applyFont="1" applyFill="1" applyAlignment="1">
      <alignment wrapText="1"/>
    </xf>
    <xf numFmtId="0" fontId="1" fillId="20" borderId="0" xfId="0" applyFont="1" applyFill="1" applyAlignment="1">
      <alignment wrapText="1"/>
    </xf>
    <xf numFmtId="0" fontId="3" fillId="21" borderId="0" xfId="0" applyFont="1" applyFill="1" applyAlignment="1">
      <alignment wrapText="1"/>
    </xf>
    <xf numFmtId="0" fontId="1" fillId="21" borderId="0" xfId="0" applyFont="1" applyFill="1" applyAlignment="1">
      <alignment wrapText="1"/>
    </xf>
    <xf numFmtId="0" fontId="3" fillId="22" borderId="0" xfId="0" applyFont="1" applyFill="1" applyAlignment="1">
      <alignment wrapText="1"/>
    </xf>
    <xf numFmtId="0" fontId="1" fillId="22" borderId="0" xfId="0" applyFont="1" applyFill="1" applyAlignment="1">
      <alignment wrapText="1"/>
    </xf>
    <xf numFmtId="0" fontId="3" fillId="23" borderId="0" xfId="0" applyFont="1" applyFill="1" applyAlignment="1">
      <alignment wrapText="1"/>
    </xf>
    <xf numFmtId="0" fontId="1" fillId="23" borderId="0" xfId="0" applyFont="1" applyFill="1" applyAlignment="1">
      <alignment wrapText="1"/>
    </xf>
    <xf numFmtId="0" fontId="3" fillId="24" borderId="0" xfId="0" applyFont="1" applyFill="1" applyAlignment="1">
      <alignment wrapText="1"/>
    </xf>
    <xf numFmtId="0" fontId="1" fillId="24" borderId="0" xfId="0" applyFont="1" applyFill="1" applyAlignment="1">
      <alignment wrapText="1"/>
    </xf>
    <xf numFmtId="0" fontId="3" fillId="25" borderId="0" xfId="0" applyFont="1" applyFill="1" applyAlignment="1">
      <alignment wrapText="1"/>
    </xf>
    <xf numFmtId="0" fontId="1" fillId="25" borderId="0" xfId="0" applyFont="1" applyFill="1" applyAlignment="1">
      <alignment wrapText="1"/>
    </xf>
    <xf numFmtId="0" fontId="3" fillId="26" borderId="0" xfId="0" applyFont="1" applyFill="1" applyAlignment="1">
      <alignment wrapText="1"/>
    </xf>
    <xf numFmtId="0" fontId="1" fillId="26" borderId="0" xfId="0" applyFont="1" applyFill="1" applyAlignment="1">
      <alignment wrapText="1"/>
    </xf>
    <xf numFmtId="0" fontId="3" fillId="27" borderId="0" xfId="0" applyFont="1" applyFill="1" applyAlignment="1">
      <alignment wrapText="1"/>
    </xf>
    <xf numFmtId="0" fontId="1" fillId="27" borderId="0" xfId="0" applyFont="1" applyFill="1" applyAlignment="1">
      <alignment wrapText="1"/>
    </xf>
    <xf numFmtId="0" fontId="3" fillId="28" borderId="0" xfId="0" applyFont="1" applyFill="1" applyAlignment="1">
      <alignment wrapText="1"/>
    </xf>
    <xf numFmtId="0" fontId="1" fillId="28" borderId="0" xfId="0" applyFont="1" applyFill="1" applyAlignment="1">
      <alignment wrapText="1"/>
    </xf>
    <xf numFmtId="0" fontId="3" fillId="29" borderId="0" xfId="0" applyFont="1" applyFill="1" applyAlignment="1">
      <alignment wrapText="1"/>
    </xf>
    <xf numFmtId="0" fontId="1" fillId="29" borderId="0" xfId="0" applyFont="1" applyFill="1" applyAlignment="1">
      <alignment wrapText="1"/>
    </xf>
    <xf numFmtId="0" fontId="2" fillId="0" borderId="0" xfId="0" applyFont="1"/>
    <xf numFmtId="0" fontId="3" fillId="0" borderId="0" xfId="0" applyFont="1"/>
    <xf numFmtId="0" fontId="4" fillId="0" borderId="0" xfId="0" applyFont="1" applyAlignment="1">
      <alignment wrapText="1"/>
    </xf>
    <xf numFmtId="0" fontId="1" fillId="0" borderId="5" xfId="0" applyFont="1" applyBorder="1"/>
    <xf numFmtId="0" fontId="3" fillId="3" borderId="0" xfId="0" applyFont="1" applyFill="1"/>
    <xf numFmtId="0" fontId="1" fillId="0" borderId="0" xfId="0" applyFont="1" applyAlignment="1">
      <alignment horizontal="center" vertical="center" wrapText="1"/>
    </xf>
    <xf numFmtId="0" fontId="1" fillId="4" borderId="12" xfId="0" applyFont="1" applyFill="1" applyBorder="1" applyAlignment="1">
      <alignment horizontal="center" vertical="center" wrapText="1"/>
    </xf>
    <xf numFmtId="0" fontId="1" fillId="5" borderId="13" xfId="0" applyFont="1" applyFill="1" applyBorder="1" applyAlignment="1">
      <alignment horizontal="center" vertical="center" wrapText="1"/>
    </xf>
  </cellXfs>
  <cellStyles count="1">
    <cellStyle name="Normal" xfId="0" builtinId="0"/>
  </cellStyles>
  <dxfs count="116">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b/>
        <i/>
        <color rgb="FF403151"/>
      </font>
      <fill>
        <patternFill patternType="solid">
          <bgColor rgb="FFCCC0DA"/>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9.xml.rels><?xml version="1.0" encoding="UTF-8" standalone="yes"?>
<Relationships xmlns="http://schemas.openxmlformats.org/package/2006/relationships"><Relationship Id="rId2" Type="http://schemas.openxmlformats.org/officeDocument/2006/relationships/hyperlink" Target="https://code.amazon.com/packages/NeoLifter/logs" TargetMode="External"/><Relationship Id="rId1" Type="http://schemas.openxmlformats.org/officeDocument/2006/relationships/hyperlink" Target="https://code.amazon.com/packages/NeoLifter/commits/6f39632583a9ee16d30732013f8386205bda6b8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ode.amazon.com/packages/NeoLifter/commits/6f39632583a9ee16d30732013f8386205bda6b8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returntocorp/semgrep" TargetMode="External"/><Relationship Id="rId18" Type="http://schemas.openxmlformats.org/officeDocument/2006/relationships/hyperlink" Target="https://github.com/PyCQA/bandit" TargetMode="External"/><Relationship Id="rId26" Type="http://schemas.openxmlformats.org/officeDocument/2006/relationships/hyperlink" Target="https://github.com/anchore/grype" TargetMode="External"/><Relationship Id="rId39" Type="http://schemas.openxmlformats.org/officeDocument/2006/relationships/hyperlink" Target="https://github.com/returntocorp/semgrep" TargetMode="External"/><Relationship Id="rId21" Type="http://schemas.openxmlformats.org/officeDocument/2006/relationships/hyperlink" Target="https://github.com/Checkmarx/kics" TargetMode="External"/><Relationship Id="rId34" Type="http://schemas.openxmlformats.org/officeDocument/2006/relationships/hyperlink" Target="https://www.cvedetails.com/" TargetMode="External"/><Relationship Id="rId42" Type="http://schemas.openxmlformats.org/officeDocument/2006/relationships/hyperlink" Target="https://tiny.amazon.com/qmoq3v9f" TargetMode="External"/><Relationship Id="rId7" Type="http://schemas.openxmlformats.org/officeDocument/2006/relationships/hyperlink" Target="https://github.com/stelligent/cfn_nag" TargetMode="External"/><Relationship Id="rId2" Type="http://schemas.openxmlformats.org/officeDocument/2006/relationships/hyperlink" Target="https://github.com/aws-samples/automated-security-helper" TargetMode="External"/><Relationship Id="rId16" Type="http://schemas.openxmlformats.org/officeDocument/2006/relationships/hyperlink" Target="https://jshint.com/install/" TargetMode="External"/><Relationship Id="rId29" Type="http://schemas.openxmlformats.org/officeDocument/2006/relationships/hyperlink" Target="https://github.com/aquasecurity/trivy" TargetMode="External"/><Relationship Id="rId1" Type="http://schemas.openxmlformats.org/officeDocument/2006/relationships/hyperlink" Target="https://tiny.amazon.com/dxof66ga" TargetMode="External"/><Relationship Id="rId6" Type="http://schemas.openxmlformats.org/officeDocument/2006/relationships/hyperlink" Target="https://github.com/awslabs/git-secrets" TargetMode="External"/><Relationship Id="rId11" Type="http://schemas.openxmlformats.org/officeDocument/2006/relationships/hyperlink" Target="https://tiny.amazon.com/j309tofb" TargetMode="External"/><Relationship Id="rId24" Type="http://schemas.openxmlformats.org/officeDocument/2006/relationships/hyperlink" Target="https://tiny.amazon.com/dxof66ga" TargetMode="External"/><Relationship Id="rId32" Type="http://schemas.openxmlformats.org/officeDocument/2006/relationships/hyperlink" Target="https://docs.github.com/en/code-security/supply-chain-security/configuring-dependabot-security-updates" TargetMode="External"/><Relationship Id="rId37" Type="http://schemas.openxmlformats.org/officeDocument/2006/relationships/hyperlink" Target="https://github.com/aquasecurity/trivy" TargetMode="External"/><Relationship Id="rId40" Type="http://schemas.openxmlformats.org/officeDocument/2006/relationships/hyperlink" Target="https://tiny.amazon.com/5oz29yaj" TargetMode="External"/><Relationship Id="rId45" Type="http://schemas.openxmlformats.org/officeDocument/2006/relationships/hyperlink" Target="https://tiny.amazon.com/43tjw3xo" TargetMode="External"/><Relationship Id="rId5" Type="http://schemas.openxmlformats.org/officeDocument/2006/relationships/hyperlink" Target="https://github.com/cdklabs/cdk-nag/blob/main/RULES.md" TargetMode="External"/><Relationship Id="rId15" Type="http://schemas.openxmlformats.org/officeDocument/2006/relationships/hyperlink" Target="https://github.com/chrisallenlane/drek" TargetMode="External"/><Relationship Id="rId23" Type="http://schemas.openxmlformats.org/officeDocument/2006/relationships/hyperlink" Target="https://github.com/accurics/terrascan" TargetMode="External"/><Relationship Id="rId28" Type="http://schemas.openxmlformats.org/officeDocument/2006/relationships/hyperlink" Target="https://owasp.org/www-project-dependency-check/" TargetMode="External"/><Relationship Id="rId36" Type="http://schemas.openxmlformats.org/officeDocument/2006/relationships/hyperlink" Target="https://github.com/abhinavbom/clara" TargetMode="External"/><Relationship Id="rId10" Type="http://schemas.openxmlformats.org/officeDocument/2006/relationships/hyperlink" Target="https://github.com/aws-cloudformation/cloudformation-guard" TargetMode="External"/><Relationship Id="rId19" Type="http://schemas.openxmlformats.org/officeDocument/2006/relationships/hyperlink" Target="https://pypi.org/project/pip-audit/" TargetMode="External"/><Relationship Id="rId31" Type="http://schemas.openxmlformats.org/officeDocument/2006/relationships/hyperlink" Target="https://pypi.org/project/pip-audit/" TargetMode="External"/><Relationship Id="rId44" Type="http://schemas.openxmlformats.org/officeDocument/2006/relationships/hyperlink" Target="https://tiny.amazon.com/w2hn2q4c" TargetMode="External"/><Relationship Id="rId4" Type="http://schemas.openxmlformats.org/officeDocument/2006/relationships/hyperlink" Target="https://github.com/cdklabs/cdk-nag/" TargetMode="External"/><Relationship Id="rId9" Type="http://schemas.openxmlformats.org/officeDocument/2006/relationships/hyperlink" Target="https://docs.aws.amazon.com/AWSCloudFormation/latest/UserGuide/cfn-resource-specification.html" TargetMode="External"/><Relationship Id="rId14" Type="http://schemas.openxmlformats.org/officeDocument/2006/relationships/hyperlink" Target="https://docs.npmjs.com/cli/v8/commands/npm-audit" TargetMode="External"/><Relationship Id="rId22" Type="http://schemas.openxmlformats.org/officeDocument/2006/relationships/hyperlink" Target="https://aquasecurity.github.io/tfsec/" TargetMode="External"/><Relationship Id="rId27" Type="http://schemas.openxmlformats.org/officeDocument/2006/relationships/hyperlink" Target="https://tiny.amazon.com/1f3nadfnx" TargetMode="External"/><Relationship Id="rId30" Type="http://schemas.openxmlformats.org/officeDocument/2006/relationships/hyperlink" Target="https://docs.npmjs.com/cli/v7/commands/npm-audit" TargetMode="External"/><Relationship Id="rId35" Type="http://schemas.openxmlformats.org/officeDocument/2006/relationships/hyperlink" Target="https://www.clamav.net/downloads" TargetMode="External"/><Relationship Id="rId43" Type="http://schemas.openxmlformats.org/officeDocument/2006/relationships/hyperlink" Target="https://tiny.amazon.com/1ilyod717" TargetMode="External"/><Relationship Id="rId8" Type="http://schemas.openxmlformats.org/officeDocument/2006/relationships/hyperlink" Target="https://github.com/aws-cloudformation/cfn-python-lint" TargetMode="External"/><Relationship Id="rId3" Type="http://schemas.openxmlformats.org/officeDocument/2006/relationships/hyperlink" Target="https://tiny.amazon.com/m8h28vnm" TargetMode="External"/><Relationship Id="rId12" Type="http://schemas.openxmlformats.org/officeDocument/2006/relationships/hyperlink" Target="https://tiny.amazon.com/18xij923v" TargetMode="External"/><Relationship Id="rId17" Type="http://schemas.openxmlformats.org/officeDocument/2006/relationships/hyperlink" Target="https://github.com/returntocorp/semgrep" TargetMode="External"/><Relationship Id="rId25" Type="http://schemas.openxmlformats.org/officeDocument/2006/relationships/hyperlink" Target="https://nbconvert.readthedocs.io/" TargetMode="External"/><Relationship Id="rId33" Type="http://schemas.openxmlformats.org/officeDocument/2006/relationships/hyperlink" Target="https://snyk.io/vuln" TargetMode="External"/><Relationship Id="rId38" Type="http://schemas.openxmlformats.org/officeDocument/2006/relationships/hyperlink" Target="https://github.com/returntocorp/semgrep" TargetMode="External"/><Relationship Id="rId46" Type="http://schemas.openxmlformats.org/officeDocument/2006/relationships/hyperlink" Target="https://github.com/nccgroup/ScoutSuite" TargetMode="External"/><Relationship Id="rId20" Type="http://schemas.openxmlformats.org/officeDocument/2006/relationships/hyperlink" Target="https://github.com/bridgecrewio/checkov" TargetMode="External"/><Relationship Id="rId41" Type="http://schemas.openxmlformats.org/officeDocument/2006/relationships/hyperlink" Target="https://tiny.amazon.com/18xij923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80" zoomScaleNormal="80" workbookViewId="0"/>
  </sheetViews>
  <sheetFormatPr baseColWidth="10" defaultColWidth="8.83203125" defaultRowHeight="15" x14ac:dyDescent="0.2"/>
  <cols>
    <col min="1" max="1" width="200" customWidth="1"/>
  </cols>
  <sheetData>
    <row r="1" spans="1:1" ht="409.5" customHeight="1" x14ac:dyDescent="0.2">
      <c r="A1" s="1" t="s">
        <v>0</v>
      </c>
    </row>
  </sheetData>
  <pageMargins left="0.7" right="0.7" top="0.75" bottom="0.75" header="0.3" footer="0.3"/>
  <pageSetup orientation="portrait"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7"/>
  <sheetViews>
    <sheetView topLeftCell="E1" workbookViewId="0">
      <pane ySplit="1" topLeftCell="A12" activePane="bottomLeft" state="frozen"/>
      <selection pane="bottomLeft" activeCell="L4" sqref="L4"/>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50" customHeight="1" x14ac:dyDescent="0.2">
      <c r="A2" s="73" t="s">
        <v>62</v>
      </c>
      <c r="B2" s="74" t="s">
        <v>773</v>
      </c>
      <c r="C2" s="52" t="str">
        <f>IF(CLOUD_FORMATIONInUse="Yes","Yes","No")</f>
        <v>Yes</v>
      </c>
      <c r="D2" s="52" t="s">
        <v>774</v>
      </c>
      <c r="E2" s="52" t="s">
        <v>775</v>
      </c>
      <c r="F2" s="52" t="s">
        <v>31</v>
      </c>
      <c r="G2" s="52" t="s">
        <v>1437</v>
      </c>
      <c r="H2" s="49" t="s">
        <v>1450</v>
      </c>
      <c r="I2" s="52" t="s">
        <v>230</v>
      </c>
      <c r="J2" s="52" t="s">
        <v>31</v>
      </c>
      <c r="K2" s="52" t="s">
        <v>7</v>
      </c>
      <c r="L2" s="52" t="s">
        <v>4</v>
      </c>
      <c r="T2" s="52" t="s">
        <v>6</v>
      </c>
      <c r="U2" s="52">
        <f>COUNTIFS(C2:C17,"Yes")</f>
        <v>3</v>
      </c>
    </row>
    <row r="3" spans="1:21" s="49" customFormat="1" ht="35" customHeight="1" x14ac:dyDescent="0.2">
      <c r="A3" s="73" t="s">
        <v>62</v>
      </c>
      <c r="B3" s="74" t="s">
        <v>776</v>
      </c>
      <c r="C3" s="52" t="str">
        <f>IF(CLOUD_FORMATIONInUse="Yes","Yes","No")</f>
        <v>Yes</v>
      </c>
      <c r="D3" s="52" t="s">
        <v>777</v>
      </c>
      <c r="E3" s="52" t="s">
        <v>778</v>
      </c>
      <c r="F3" s="52" t="s">
        <v>31</v>
      </c>
      <c r="G3" s="52" t="s">
        <v>214</v>
      </c>
      <c r="I3" s="52" t="s">
        <v>217</v>
      </c>
      <c r="J3" s="52" t="s">
        <v>214</v>
      </c>
      <c r="K3" s="52" t="s">
        <v>7</v>
      </c>
      <c r="L3" s="52" t="s">
        <v>4</v>
      </c>
      <c r="T3" s="52" t="s">
        <v>33</v>
      </c>
      <c r="U3" s="52">
        <f>COUNTIF(G2:G17, "&lt;&gt;-")</f>
        <v>3</v>
      </c>
    </row>
    <row r="4" spans="1:21" s="49" customFormat="1" ht="50" customHeight="1" x14ac:dyDescent="0.2">
      <c r="A4" s="75" t="s">
        <v>66</v>
      </c>
      <c r="B4" s="76" t="s">
        <v>779</v>
      </c>
      <c r="C4" s="52" t="str">
        <f t="shared" ref="C4:C9" si="0">IF(AUTO_SCALINGInUse="Yes","Yes","No")</f>
        <v>No</v>
      </c>
      <c r="D4" s="52" t="s">
        <v>780</v>
      </c>
      <c r="E4" s="52" t="s">
        <v>781</v>
      </c>
      <c r="F4" s="52" t="str">
        <f t="shared" ref="F2:F17" si="1">IF(AND(C4="Yes",G4="-"), "Yes", "No")</f>
        <v>No</v>
      </c>
      <c r="G4" s="52" t="s">
        <v>12</v>
      </c>
      <c r="I4" s="52" t="s">
        <v>217</v>
      </c>
      <c r="J4" s="52" t="s">
        <v>214</v>
      </c>
      <c r="K4" s="52" t="s">
        <v>218</v>
      </c>
      <c r="L4" s="52" t="s">
        <v>4</v>
      </c>
      <c r="T4" s="52" t="s">
        <v>225</v>
      </c>
      <c r="U4" s="52">
        <f>COUNTIF(G2:G17, "No; explanation in comments")</f>
        <v>1</v>
      </c>
    </row>
    <row r="5" spans="1:21" s="49" customFormat="1" ht="35" customHeight="1" x14ac:dyDescent="0.2">
      <c r="A5" s="75" t="s">
        <v>66</v>
      </c>
      <c r="B5" s="76" t="s">
        <v>782</v>
      </c>
      <c r="C5" s="52" t="str">
        <f t="shared" si="0"/>
        <v>No</v>
      </c>
      <c r="D5" s="52" t="s">
        <v>783</v>
      </c>
      <c r="E5" s="52" t="s">
        <v>784</v>
      </c>
      <c r="F5" s="52" t="str">
        <f t="shared" si="1"/>
        <v>No</v>
      </c>
      <c r="G5" s="52" t="s">
        <v>12</v>
      </c>
      <c r="I5" s="52" t="s">
        <v>217</v>
      </c>
      <c r="J5" s="52" t="s">
        <v>214</v>
      </c>
      <c r="K5" s="52" t="s">
        <v>218</v>
      </c>
      <c r="L5" s="52" t="s">
        <v>4</v>
      </c>
      <c r="T5" s="52" t="s">
        <v>7</v>
      </c>
      <c r="U5" s="52">
        <f>COUNTIF(K2:K17, "Mitigated")</f>
        <v>3</v>
      </c>
    </row>
    <row r="6" spans="1:21" s="49" customFormat="1" ht="35" customHeight="1" x14ac:dyDescent="0.2">
      <c r="A6" s="75" t="s">
        <v>66</v>
      </c>
      <c r="B6" s="76" t="s">
        <v>785</v>
      </c>
      <c r="C6" s="52" t="str">
        <f t="shared" si="0"/>
        <v>No</v>
      </c>
      <c r="D6" s="52" t="s">
        <v>786</v>
      </c>
      <c r="E6" s="52" t="s">
        <v>787</v>
      </c>
      <c r="F6" s="52" t="str">
        <f t="shared" si="1"/>
        <v>No</v>
      </c>
      <c r="G6" s="52" t="s">
        <v>12</v>
      </c>
      <c r="I6" s="52" t="s">
        <v>217</v>
      </c>
      <c r="J6" s="52" t="s">
        <v>214</v>
      </c>
      <c r="K6" s="52" t="s">
        <v>218</v>
      </c>
      <c r="L6" s="52" t="s">
        <v>4</v>
      </c>
      <c r="T6" s="52" t="s">
        <v>8</v>
      </c>
      <c r="U6" s="52">
        <f>COUNTIF(K2:K17, "Not Mitigated")</f>
        <v>0</v>
      </c>
    </row>
    <row r="7" spans="1:21" s="49" customFormat="1" ht="50" customHeight="1" x14ac:dyDescent="0.2">
      <c r="A7" s="75" t="s">
        <v>66</v>
      </c>
      <c r="B7" s="76" t="s">
        <v>788</v>
      </c>
      <c r="C7" s="52" t="str">
        <f t="shared" si="0"/>
        <v>No</v>
      </c>
      <c r="D7" s="52" t="s">
        <v>789</v>
      </c>
      <c r="E7" s="52" t="s">
        <v>790</v>
      </c>
      <c r="F7" s="52" t="str">
        <f t="shared" si="1"/>
        <v>No</v>
      </c>
      <c r="G7" s="52" t="s">
        <v>12</v>
      </c>
      <c r="I7" s="52" t="s">
        <v>230</v>
      </c>
      <c r="J7" s="52" t="s">
        <v>31</v>
      </c>
      <c r="K7" s="52" t="s">
        <v>218</v>
      </c>
      <c r="L7" s="52" t="s">
        <v>4</v>
      </c>
    </row>
    <row r="8" spans="1:21" s="49" customFormat="1" ht="35" customHeight="1" x14ac:dyDescent="0.2">
      <c r="A8" s="75" t="s">
        <v>66</v>
      </c>
      <c r="B8" s="76" t="s">
        <v>791</v>
      </c>
      <c r="C8" s="52" t="str">
        <f t="shared" si="0"/>
        <v>No</v>
      </c>
      <c r="D8" s="52" t="s">
        <v>792</v>
      </c>
      <c r="E8" s="52" t="s">
        <v>793</v>
      </c>
      <c r="F8" s="52" t="str">
        <f t="shared" si="1"/>
        <v>No</v>
      </c>
      <c r="G8" s="52" t="s">
        <v>12</v>
      </c>
      <c r="I8" s="52" t="s">
        <v>230</v>
      </c>
      <c r="J8" s="52" t="s">
        <v>31</v>
      </c>
      <c r="K8" s="52" t="s">
        <v>218</v>
      </c>
      <c r="L8" s="52" t="s">
        <v>4</v>
      </c>
    </row>
    <row r="9" spans="1:21" s="49" customFormat="1" ht="35" customHeight="1" x14ac:dyDescent="0.2">
      <c r="A9" s="75" t="s">
        <v>66</v>
      </c>
      <c r="B9" s="76" t="s">
        <v>794</v>
      </c>
      <c r="C9" s="52" t="str">
        <f t="shared" si="0"/>
        <v>No</v>
      </c>
      <c r="D9" s="52" t="s">
        <v>795</v>
      </c>
      <c r="E9" s="52" t="s">
        <v>796</v>
      </c>
      <c r="F9" s="52" t="str">
        <f t="shared" si="1"/>
        <v>No</v>
      </c>
      <c r="G9" s="52" t="s">
        <v>12</v>
      </c>
      <c r="I9" s="52" t="s">
        <v>230</v>
      </c>
      <c r="J9" s="52" t="s">
        <v>31</v>
      </c>
      <c r="K9" s="52" t="s">
        <v>218</v>
      </c>
      <c r="L9" s="52" t="s">
        <v>4</v>
      </c>
    </row>
    <row r="10" spans="1:21" s="49" customFormat="1" ht="140" customHeight="1" x14ac:dyDescent="0.2">
      <c r="A10" s="73" t="s">
        <v>70</v>
      </c>
      <c r="B10" s="74" t="s">
        <v>797</v>
      </c>
      <c r="C10" s="52" t="str">
        <f>IF(CLOUDWATCHInUse="Yes","Yes","No")</f>
        <v>Yes</v>
      </c>
      <c r="D10" s="52" t="s">
        <v>798</v>
      </c>
      <c r="E10" s="52" t="s">
        <v>799</v>
      </c>
      <c r="F10" s="52" t="s">
        <v>31</v>
      </c>
      <c r="G10" s="52" t="s">
        <v>214</v>
      </c>
      <c r="I10" s="52" t="s">
        <v>217</v>
      </c>
      <c r="J10" s="52" t="s">
        <v>214</v>
      </c>
      <c r="K10" s="52" t="s">
        <v>7</v>
      </c>
      <c r="L10" s="52" t="s">
        <v>4</v>
      </c>
    </row>
    <row r="11" spans="1:21" s="49" customFormat="1" ht="80" customHeight="1" x14ac:dyDescent="0.2">
      <c r="A11" s="75" t="s">
        <v>73</v>
      </c>
      <c r="B11" s="76" t="s">
        <v>800</v>
      </c>
      <c r="C11" s="52" t="str">
        <f t="shared" ref="C11:C17" si="2">IF(AWS_SYSTEM_MANAGER_AUTOMATION_DOCUMENTInUse="Yes","Yes","No")</f>
        <v>No</v>
      </c>
      <c r="D11" s="52" t="s">
        <v>801</v>
      </c>
      <c r="E11" s="52" t="s">
        <v>802</v>
      </c>
      <c r="F11" s="52" t="str">
        <f t="shared" si="1"/>
        <v>No</v>
      </c>
      <c r="G11" s="52" t="s">
        <v>12</v>
      </c>
      <c r="I11" s="52" t="s">
        <v>217</v>
      </c>
      <c r="J11" s="52" t="s">
        <v>214</v>
      </c>
      <c r="K11" s="52" t="s">
        <v>218</v>
      </c>
      <c r="L11" s="52" t="s">
        <v>4</v>
      </c>
    </row>
    <row r="12" spans="1:21" s="49" customFormat="1" ht="35" customHeight="1" x14ac:dyDescent="0.2">
      <c r="A12" s="75" t="s">
        <v>73</v>
      </c>
      <c r="B12" s="76" t="s">
        <v>803</v>
      </c>
      <c r="C12" s="52" t="str">
        <f t="shared" si="2"/>
        <v>No</v>
      </c>
      <c r="D12" s="52" t="s">
        <v>804</v>
      </c>
      <c r="E12" s="52" t="s">
        <v>805</v>
      </c>
      <c r="F12" s="52" t="str">
        <f t="shared" si="1"/>
        <v>No</v>
      </c>
      <c r="G12" s="52" t="s">
        <v>12</v>
      </c>
      <c r="I12" s="52" t="s">
        <v>230</v>
      </c>
      <c r="J12" s="52" t="s">
        <v>31</v>
      </c>
      <c r="K12" s="52" t="s">
        <v>218</v>
      </c>
      <c r="L12" s="52" t="s">
        <v>4</v>
      </c>
    </row>
    <row r="13" spans="1:21" s="49" customFormat="1" ht="35" customHeight="1" x14ac:dyDescent="0.2">
      <c r="A13" s="75" t="s">
        <v>73</v>
      </c>
      <c r="B13" s="76" t="s">
        <v>806</v>
      </c>
      <c r="C13" s="52" t="str">
        <f t="shared" si="2"/>
        <v>No</v>
      </c>
      <c r="D13" s="52" t="s">
        <v>807</v>
      </c>
      <c r="E13" s="52" t="s">
        <v>808</v>
      </c>
      <c r="F13" s="52" t="str">
        <f t="shared" si="1"/>
        <v>No</v>
      </c>
      <c r="G13" s="52" t="s">
        <v>12</v>
      </c>
      <c r="I13" s="52" t="s">
        <v>217</v>
      </c>
      <c r="J13" s="52" t="s">
        <v>214</v>
      </c>
      <c r="K13" s="52" t="s">
        <v>218</v>
      </c>
      <c r="L13" s="52" t="s">
        <v>4</v>
      </c>
    </row>
    <row r="14" spans="1:21" s="49" customFormat="1" ht="50" customHeight="1" x14ac:dyDescent="0.2">
      <c r="A14" s="75" t="s">
        <v>73</v>
      </c>
      <c r="B14" s="76" t="s">
        <v>809</v>
      </c>
      <c r="C14" s="52" t="str">
        <f t="shared" si="2"/>
        <v>No</v>
      </c>
      <c r="D14" s="52" t="s">
        <v>810</v>
      </c>
      <c r="E14" s="52" t="s">
        <v>811</v>
      </c>
      <c r="F14" s="52" t="str">
        <f t="shared" si="1"/>
        <v>No</v>
      </c>
      <c r="G14" s="52" t="s">
        <v>12</v>
      </c>
      <c r="I14" s="52" t="s">
        <v>217</v>
      </c>
      <c r="J14" s="52" t="s">
        <v>214</v>
      </c>
      <c r="K14" s="52" t="s">
        <v>218</v>
      </c>
      <c r="L14" s="52" t="s">
        <v>4</v>
      </c>
    </row>
    <row r="15" spans="1:21" s="49" customFormat="1" ht="35" customHeight="1" x14ac:dyDescent="0.2">
      <c r="A15" s="75" t="s">
        <v>73</v>
      </c>
      <c r="B15" s="76" t="s">
        <v>812</v>
      </c>
      <c r="C15" s="52" t="str">
        <f t="shared" si="2"/>
        <v>No</v>
      </c>
      <c r="D15" s="52" t="s">
        <v>813</v>
      </c>
      <c r="E15" s="52" t="s">
        <v>814</v>
      </c>
      <c r="F15" s="52" t="str">
        <f t="shared" si="1"/>
        <v>No</v>
      </c>
      <c r="G15" s="52" t="s">
        <v>12</v>
      </c>
      <c r="I15" s="52" t="s">
        <v>230</v>
      </c>
      <c r="J15" s="52" t="s">
        <v>31</v>
      </c>
      <c r="K15" s="52" t="s">
        <v>218</v>
      </c>
      <c r="L15" s="52" t="s">
        <v>4</v>
      </c>
    </row>
    <row r="16" spans="1:21" s="49" customFormat="1" ht="35" customHeight="1" x14ac:dyDescent="0.2">
      <c r="A16" s="75" t="s">
        <v>73</v>
      </c>
      <c r="B16" s="76" t="s">
        <v>815</v>
      </c>
      <c r="C16" s="52" t="str">
        <f t="shared" si="2"/>
        <v>No</v>
      </c>
      <c r="D16" s="52" t="s">
        <v>816</v>
      </c>
      <c r="E16" s="52" t="s">
        <v>817</v>
      </c>
      <c r="F16" s="52" t="str">
        <f t="shared" si="1"/>
        <v>No</v>
      </c>
      <c r="G16" s="52" t="s">
        <v>12</v>
      </c>
      <c r="I16" s="52" t="s">
        <v>217</v>
      </c>
      <c r="J16" s="52" t="s">
        <v>214</v>
      </c>
      <c r="K16" s="52" t="s">
        <v>218</v>
      </c>
      <c r="L16" s="52" t="s">
        <v>4</v>
      </c>
    </row>
    <row r="17" spans="1:12" s="49" customFormat="1" ht="50" customHeight="1" x14ac:dyDescent="0.2">
      <c r="A17" s="75" t="s">
        <v>73</v>
      </c>
      <c r="B17" s="76" t="s">
        <v>818</v>
      </c>
      <c r="C17" s="52" t="str">
        <f t="shared" si="2"/>
        <v>No</v>
      </c>
      <c r="D17" s="52" t="s">
        <v>819</v>
      </c>
      <c r="E17" s="52" t="s">
        <v>820</v>
      </c>
      <c r="F17" s="52" t="str">
        <f t="shared" si="1"/>
        <v>No</v>
      </c>
      <c r="G17" s="52" t="s">
        <v>12</v>
      </c>
      <c r="I17" s="52" t="s">
        <v>217</v>
      </c>
      <c r="J17" s="52" t="s">
        <v>214</v>
      </c>
      <c r="K17" s="52" t="s">
        <v>218</v>
      </c>
      <c r="L17" s="52" t="s">
        <v>4</v>
      </c>
    </row>
  </sheetData>
  <autoFilter ref="A1:L1" xr:uid="{00000000-0009-0000-0000-000009000000}"/>
  <dataValidations count="2">
    <dataValidation type="list" sqref="G2:G17" xr:uid="{00000000-0002-0000-0900-000000000000}">
      <formula1>"-,Yes,No; explanation in comments"</formula1>
    </dataValidation>
    <dataValidation type="list" sqref="K2:K17" xr:uid="{00000000-0002-0000-09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900-000001000000}">
            <xm:f>NOT(ISERROR(SEARCH("Yes",F2)))</xm:f>
            <x14:dxf>
              <font>
                <color rgb="FF9C6500"/>
              </font>
              <fill>
                <patternFill patternType="solid">
                  <bgColor rgb="FFFFEB9C"/>
                </patternFill>
              </fill>
            </x14:dxf>
          </x14:cfRule>
          <xm:sqref>F2:F17</xm:sqref>
        </x14:conditionalFormatting>
        <x14:conditionalFormatting xmlns:xm="http://schemas.microsoft.com/office/excel/2006/main">
          <x14:cfRule type="containsText" priority="2" operator="containsText" id="{00000000-000E-0000-0900-000002000000}">
            <xm:f>NOT(ISERROR(SEARCH("Yes",G2)))</xm:f>
            <x14:dxf>
              <font>
                <color rgb="FF006100"/>
              </font>
              <fill>
                <patternFill patternType="solid">
                  <bgColor rgb="FFC6EFCE"/>
                </patternFill>
              </fill>
            </x14:dxf>
          </x14:cfRule>
          <x14:cfRule type="containsText" priority="2" operator="containsText" id="{00000000-000E-0000-0900-000002000000}">
            <xm:f>NOT(ISERROR(SEARCH("No; explanation in comments",G2)))</xm:f>
            <x14:dxf>
              <font>
                <color rgb="FF9C0006"/>
              </font>
              <fill>
                <patternFill patternType="solid">
                  <bgColor rgb="FFFFC7CE"/>
                </patternFill>
              </fill>
            </x14:dxf>
          </x14:cfRule>
          <xm:sqref>G2:G17</xm:sqref>
        </x14:conditionalFormatting>
        <x14:conditionalFormatting xmlns:xm="http://schemas.microsoft.com/office/excel/2006/main">
          <x14:cfRule type="containsText" priority="3" operator="containsText" id="{00000000-000E-0000-0900-000003000000}">
            <xm:f>NOT(ISERROR(SEARCH("Yes",J2)))</xm:f>
            <x14:dxf>
              <font>
                <b/>
                <i/>
                <color rgb="FF403151"/>
              </font>
              <fill>
                <patternFill patternType="solid">
                  <bgColor rgb="FFCCC0DA"/>
                </patternFill>
              </fill>
            </x14:dxf>
          </x14:cfRule>
          <xm:sqref>J2:J17</xm:sqref>
        </x14:conditionalFormatting>
        <x14:conditionalFormatting xmlns:xm="http://schemas.microsoft.com/office/excel/2006/main">
          <x14:cfRule type="containsText" priority="4" operator="containsText" id="{00000000-000E-0000-0900-000004000000}">
            <xm:f>NOT(ISERROR(SEARCH("Mitigated",K2)))</xm:f>
            <x14:dxf>
              <font>
                <color rgb="FF006100"/>
              </font>
              <fill>
                <patternFill patternType="solid">
                  <bgColor rgb="FFC6EFCE"/>
                </patternFill>
              </fill>
            </x14:dxf>
          </x14:cfRule>
          <x14:cfRule type="containsText" priority="4" operator="containsText" id="{00000000-000E-0000-0900-000004000000}">
            <xm:f>NOT(ISERROR(SEARCH("Not Mitigated",K2)))</xm:f>
            <x14:dxf>
              <font>
                <color rgb="FF9C0006"/>
              </font>
              <fill>
                <patternFill patternType="solid">
                  <bgColor rgb="FFFFC7CE"/>
                </patternFill>
              </fill>
            </x14:dxf>
          </x14:cfRule>
          <xm:sqref>K2:K17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6"/>
  <sheetViews>
    <sheetView workbookViewId="0">
      <pane ySplit="1" topLeftCell="A11" activePane="bottomLeft" state="frozen"/>
      <selection pane="bottomLeft" activeCell="L16" sqref="L16"/>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35" customHeight="1" x14ac:dyDescent="0.2">
      <c r="A2" s="77" t="s">
        <v>80</v>
      </c>
      <c r="B2" s="78" t="s">
        <v>821</v>
      </c>
      <c r="C2" s="52" t="str">
        <f>IF(COMPREHENDInUse="Yes","Yes","No")</f>
        <v>No</v>
      </c>
      <c r="D2" s="52" t="s">
        <v>822</v>
      </c>
      <c r="E2" s="52" t="s">
        <v>823</v>
      </c>
      <c r="F2" s="52" t="str">
        <f t="shared" ref="F2:F16" si="0">IF(AND(C2="Yes",G2="-"), "Yes", "No")</f>
        <v>No</v>
      </c>
      <c r="G2" s="52" t="s">
        <v>12</v>
      </c>
      <c r="I2" s="52" t="s">
        <v>217</v>
      </c>
      <c r="J2" s="52" t="s">
        <v>214</v>
      </c>
      <c r="K2" s="52" t="s">
        <v>218</v>
      </c>
      <c r="L2" s="52" t="s">
        <v>4</v>
      </c>
      <c r="T2" s="52" t="s">
        <v>6</v>
      </c>
      <c r="U2" s="52">
        <f>COUNTIFS(C2:C16,"Yes")</f>
        <v>4</v>
      </c>
    </row>
    <row r="3" spans="1:21" s="49" customFormat="1" ht="50" customHeight="1" x14ac:dyDescent="0.2">
      <c r="A3" s="79" t="s">
        <v>84</v>
      </c>
      <c r="B3" s="80" t="s">
        <v>824</v>
      </c>
      <c r="C3" s="52" t="str">
        <f>IF(SAGEMAKERInUse="Yes","Yes","No")</f>
        <v>No</v>
      </c>
      <c r="D3" s="52" t="s">
        <v>825</v>
      </c>
      <c r="E3" s="52" t="s">
        <v>826</v>
      </c>
      <c r="F3" s="52" t="str">
        <f t="shared" si="0"/>
        <v>No</v>
      </c>
      <c r="G3" s="52" t="s">
        <v>12</v>
      </c>
      <c r="I3" s="52" t="s">
        <v>217</v>
      </c>
      <c r="J3" s="52" t="s">
        <v>214</v>
      </c>
      <c r="K3" s="52" t="s">
        <v>218</v>
      </c>
      <c r="L3" s="52" t="s">
        <v>4</v>
      </c>
      <c r="T3" s="52" t="s">
        <v>33</v>
      </c>
      <c r="U3" s="52">
        <f>COUNTIF(G2:G16, "&lt;&gt;-")</f>
        <v>4</v>
      </c>
    </row>
    <row r="4" spans="1:21" s="49" customFormat="1" ht="35" customHeight="1" x14ac:dyDescent="0.2">
      <c r="A4" s="79" t="s">
        <v>84</v>
      </c>
      <c r="B4" s="80" t="s">
        <v>827</v>
      </c>
      <c r="C4" s="52" t="str">
        <f>IF(SAGEMAKERInUse="Yes","Yes","No")</f>
        <v>No</v>
      </c>
      <c r="D4" s="52" t="s">
        <v>828</v>
      </c>
      <c r="E4" s="52" t="s">
        <v>829</v>
      </c>
      <c r="F4" s="52" t="str">
        <f t="shared" si="0"/>
        <v>No</v>
      </c>
      <c r="G4" s="52" t="s">
        <v>12</v>
      </c>
      <c r="I4" s="52" t="s">
        <v>217</v>
      </c>
      <c r="J4" s="52" t="s">
        <v>214</v>
      </c>
      <c r="K4" s="52" t="s">
        <v>218</v>
      </c>
      <c r="L4" s="52" t="s">
        <v>4</v>
      </c>
      <c r="T4" s="52" t="s">
        <v>225</v>
      </c>
      <c r="U4" s="52">
        <f>COUNTIF(G2:G16, "No; explanation in comments")</f>
        <v>3</v>
      </c>
    </row>
    <row r="5" spans="1:21" s="49" customFormat="1" ht="20" customHeight="1" x14ac:dyDescent="0.2">
      <c r="A5" s="79" t="s">
        <v>84</v>
      </c>
      <c r="B5" s="80" t="s">
        <v>830</v>
      </c>
      <c r="C5" s="52" t="str">
        <f>IF(SAGEMAKERInUse="Yes","Yes","No")</f>
        <v>No</v>
      </c>
      <c r="D5" s="52" t="s">
        <v>831</v>
      </c>
      <c r="E5" s="52" t="s">
        <v>832</v>
      </c>
      <c r="F5" s="52" t="str">
        <f t="shared" si="0"/>
        <v>No</v>
      </c>
      <c r="G5" s="52" t="s">
        <v>12</v>
      </c>
      <c r="I5" s="52" t="s">
        <v>217</v>
      </c>
      <c r="J5" s="52" t="s">
        <v>214</v>
      </c>
      <c r="K5" s="52" t="s">
        <v>218</v>
      </c>
      <c r="L5" s="52" t="s">
        <v>4</v>
      </c>
      <c r="T5" s="52" t="s">
        <v>7</v>
      </c>
      <c r="U5" s="52">
        <f>COUNTIF(K2:K16, "Mitigated")</f>
        <v>3</v>
      </c>
    </row>
    <row r="6" spans="1:21" s="49" customFormat="1" ht="50" customHeight="1" x14ac:dyDescent="0.2">
      <c r="A6" s="79" t="s">
        <v>84</v>
      </c>
      <c r="B6" s="80" t="s">
        <v>833</v>
      </c>
      <c r="C6" s="52" t="str">
        <f>IF(SAGEMAKERInUse="Yes","Yes","No")</f>
        <v>No</v>
      </c>
      <c r="D6" s="52" t="s">
        <v>834</v>
      </c>
      <c r="E6" s="52" t="s">
        <v>835</v>
      </c>
      <c r="F6" s="52" t="str">
        <f t="shared" si="0"/>
        <v>No</v>
      </c>
      <c r="G6" s="52" t="s">
        <v>12</v>
      </c>
      <c r="I6" s="52" t="s">
        <v>217</v>
      </c>
      <c r="J6" s="52" t="s">
        <v>214</v>
      </c>
      <c r="K6" s="52" t="s">
        <v>218</v>
      </c>
      <c r="L6" s="52" t="s">
        <v>4</v>
      </c>
      <c r="T6" s="52" t="s">
        <v>8</v>
      </c>
      <c r="U6" s="52">
        <f>COUNTIF(K2:K16, "Not Mitigated")</f>
        <v>0</v>
      </c>
    </row>
    <row r="7" spans="1:21" s="49" customFormat="1" ht="80" customHeight="1" x14ac:dyDescent="0.2">
      <c r="A7" s="77" t="s">
        <v>88</v>
      </c>
      <c r="B7" s="78" t="s">
        <v>836</v>
      </c>
      <c r="C7" s="52" t="str">
        <f>IF(FORECASTInUse="Yes","Yes","No")</f>
        <v>No</v>
      </c>
      <c r="D7" s="52" t="s">
        <v>837</v>
      </c>
      <c r="E7" s="52" t="s">
        <v>838</v>
      </c>
      <c r="F7" s="52" t="str">
        <f t="shared" si="0"/>
        <v>No</v>
      </c>
      <c r="G7" s="52" t="s">
        <v>12</v>
      </c>
      <c r="I7" s="52" t="s">
        <v>230</v>
      </c>
      <c r="J7" s="52" t="s">
        <v>31</v>
      </c>
      <c r="K7" s="52" t="s">
        <v>218</v>
      </c>
      <c r="L7" s="52" t="s">
        <v>4</v>
      </c>
    </row>
    <row r="8" spans="1:21" s="49" customFormat="1" ht="35" customHeight="1" x14ac:dyDescent="0.2">
      <c r="A8" s="79" t="s">
        <v>92</v>
      </c>
      <c r="B8" s="80" t="s">
        <v>839</v>
      </c>
      <c r="C8" s="52" t="str">
        <f>IF(AMAZON_LEXInUse="Yes","Yes","No")</f>
        <v>No</v>
      </c>
      <c r="D8" s="52" t="s">
        <v>840</v>
      </c>
      <c r="E8" s="52" t="s">
        <v>841</v>
      </c>
      <c r="F8" s="52" t="str">
        <f t="shared" si="0"/>
        <v>No</v>
      </c>
      <c r="G8" s="52" t="s">
        <v>12</v>
      </c>
      <c r="I8" s="52" t="s">
        <v>217</v>
      </c>
      <c r="J8" s="52" t="s">
        <v>214</v>
      </c>
      <c r="K8" s="52" t="s">
        <v>218</v>
      </c>
      <c r="L8" s="52" t="s">
        <v>4</v>
      </c>
    </row>
    <row r="9" spans="1:21" s="49" customFormat="1" ht="35" customHeight="1" x14ac:dyDescent="0.2">
      <c r="A9" s="79" t="s">
        <v>92</v>
      </c>
      <c r="B9" s="80" t="s">
        <v>842</v>
      </c>
      <c r="C9" s="52" t="str">
        <f>IF(AMAZON_LEXInUse="Yes","Yes","No")</f>
        <v>No</v>
      </c>
      <c r="D9" s="52" t="s">
        <v>843</v>
      </c>
      <c r="E9" s="52" t="s">
        <v>844</v>
      </c>
      <c r="F9" s="52" t="str">
        <f t="shared" si="0"/>
        <v>No</v>
      </c>
      <c r="G9" s="52" t="s">
        <v>12</v>
      </c>
      <c r="I9" s="52" t="s">
        <v>217</v>
      </c>
      <c r="J9" s="52" t="s">
        <v>214</v>
      </c>
      <c r="K9" s="52" t="s">
        <v>218</v>
      </c>
      <c r="L9" s="52" t="s">
        <v>4</v>
      </c>
    </row>
    <row r="10" spans="1:21" s="49" customFormat="1" ht="35" customHeight="1" x14ac:dyDescent="0.2">
      <c r="A10" s="79" t="s">
        <v>92</v>
      </c>
      <c r="B10" s="80" t="s">
        <v>845</v>
      </c>
      <c r="C10" s="52" t="str">
        <f>IF(AMAZON_LEXInUse="Yes","Yes","No")</f>
        <v>No</v>
      </c>
      <c r="D10" s="52" t="s">
        <v>846</v>
      </c>
      <c r="E10" s="52" t="s">
        <v>847</v>
      </c>
      <c r="F10" s="52" t="str">
        <f t="shared" si="0"/>
        <v>No</v>
      </c>
      <c r="G10" s="52" t="s">
        <v>12</v>
      </c>
      <c r="I10" s="52" t="s">
        <v>217</v>
      </c>
      <c r="J10" s="52" t="s">
        <v>214</v>
      </c>
      <c r="K10" s="52" t="s">
        <v>218</v>
      </c>
      <c r="L10" s="52" t="s">
        <v>4</v>
      </c>
    </row>
    <row r="11" spans="1:21" s="49" customFormat="1" ht="50" customHeight="1" x14ac:dyDescent="0.2">
      <c r="A11" s="79" t="s">
        <v>92</v>
      </c>
      <c r="B11" s="80" t="s">
        <v>848</v>
      </c>
      <c r="C11" s="52" t="str">
        <f>IF(AMAZON_LEXInUse="Yes","Yes","No")</f>
        <v>No</v>
      </c>
      <c r="D11" s="52" t="s">
        <v>849</v>
      </c>
      <c r="E11" s="52" t="s">
        <v>850</v>
      </c>
      <c r="F11" s="52" t="str">
        <f t="shared" si="0"/>
        <v>No</v>
      </c>
      <c r="G11" s="52" t="s">
        <v>12</v>
      </c>
      <c r="I11" s="52" t="s">
        <v>217</v>
      </c>
      <c r="J11" s="52" t="s">
        <v>214</v>
      </c>
      <c r="K11" s="52" t="s">
        <v>218</v>
      </c>
      <c r="L11" s="52" t="s">
        <v>4</v>
      </c>
    </row>
    <row r="12" spans="1:21" s="49" customFormat="1" ht="95" customHeight="1" x14ac:dyDescent="0.2">
      <c r="A12" s="77" t="s">
        <v>94</v>
      </c>
      <c r="B12" s="78" t="s">
        <v>851</v>
      </c>
      <c r="C12" s="52" t="str">
        <f>IF(PERSONALIZEInUse="Yes","Yes","No")</f>
        <v>No</v>
      </c>
      <c r="D12" s="52" t="s">
        <v>852</v>
      </c>
      <c r="E12" s="52" t="s">
        <v>853</v>
      </c>
      <c r="F12" s="52" t="str">
        <f t="shared" si="0"/>
        <v>No</v>
      </c>
      <c r="G12" s="52" t="s">
        <v>12</v>
      </c>
      <c r="I12" s="52" t="s">
        <v>217</v>
      </c>
      <c r="J12" s="52" t="s">
        <v>214</v>
      </c>
      <c r="K12" s="52" t="s">
        <v>218</v>
      </c>
      <c r="L12" s="52" t="s">
        <v>4</v>
      </c>
    </row>
    <row r="13" spans="1:21" s="49" customFormat="1" ht="35" customHeight="1" x14ac:dyDescent="0.2">
      <c r="A13" s="79" t="s">
        <v>96</v>
      </c>
      <c r="B13" s="80" t="s">
        <v>854</v>
      </c>
      <c r="C13" s="52" t="str">
        <f>IF(AMAZON_REKOGNITIONInUse="Yes","Yes","No")</f>
        <v>Yes</v>
      </c>
      <c r="D13" s="52" t="s">
        <v>855</v>
      </c>
      <c r="E13" s="52" t="s">
        <v>856</v>
      </c>
      <c r="F13" s="52" t="s">
        <v>31</v>
      </c>
      <c r="G13" s="52" t="s">
        <v>214</v>
      </c>
      <c r="H13" s="49" t="s">
        <v>1451</v>
      </c>
      <c r="I13" s="52" t="s">
        <v>217</v>
      </c>
      <c r="J13" s="52" t="s">
        <v>214</v>
      </c>
      <c r="K13" s="52" t="s">
        <v>7</v>
      </c>
      <c r="L13" s="52" t="s">
        <v>4</v>
      </c>
    </row>
    <row r="14" spans="1:21" s="49" customFormat="1" ht="20" customHeight="1" x14ac:dyDescent="0.2">
      <c r="A14" s="79" t="s">
        <v>96</v>
      </c>
      <c r="B14" s="80" t="s">
        <v>857</v>
      </c>
      <c r="C14" s="52" t="str">
        <f>IF(AMAZON_REKOGNITIONInUse="Yes","Yes","No")</f>
        <v>Yes</v>
      </c>
      <c r="D14" s="52" t="s">
        <v>858</v>
      </c>
      <c r="E14" s="52" t="s">
        <v>859</v>
      </c>
      <c r="F14" s="52" t="s">
        <v>31</v>
      </c>
      <c r="G14" s="52" t="s">
        <v>1437</v>
      </c>
      <c r="H14" s="49" t="s">
        <v>1452</v>
      </c>
      <c r="I14" s="52" t="s">
        <v>230</v>
      </c>
      <c r="J14" s="52" t="s">
        <v>31</v>
      </c>
      <c r="K14" s="52" t="s">
        <v>218</v>
      </c>
      <c r="L14" s="52" t="s">
        <v>4</v>
      </c>
    </row>
    <row r="15" spans="1:21" s="49" customFormat="1" ht="35" customHeight="1" x14ac:dyDescent="0.2">
      <c r="A15" s="79" t="s">
        <v>96</v>
      </c>
      <c r="B15" s="80" t="s">
        <v>860</v>
      </c>
      <c r="C15" s="52" t="str">
        <f>IF(AMAZON_REKOGNITIONInUse="Yes","Yes","No")</f>
        <v>Yes</v>
      </c>
      <c r="D15" s="52" t="s">
        <v>861</v>
      </c>
      <c r="E15" s="52" t="s">
        <v>862</v>
      </c>
      <c r="F15" s="52" t="s">
        <v>31</v>
      </c>
      <c r="G15" s="52" t="s">
        <v>1437</v>
      </c>
      <c r="H15" s="49" t="s">
        <v>1453</v>
      </c>
      <c r="I15" s="52" t="s">
        <v>217</v>
      </c>
      <c r="J15" s="52" t="s">
        <v>214</v>
      </c>
      <c r="K15" s="52" t="s">
        <v>7</v>
      </c>
      <c r="L15" s="52" t="s">
        <v>4</v>
      </c>
    </row>
    <row r="16" spans="1:21" s="49" customFormat="1" ht="35" customHeight="1" x14ac:dyDescent="0.2">
      <c r="A16" s="79" t="s">
        <v>96</v>
      </c>
      <c r="B16" s="80" t="s">
        <v>863</v>
      </c>
      <c r="C16" s="52" t="str">
        <f>IF(AMAZON_REKOGNITIONInUse="Yes","Yes","No")</f>
        <v>Yes</v>
      </c>
      <c r="D16" s="52" t="s">
        <v>864</v>
      </c>
      <c r="E16" s="52" t="s">
        <v>865</v>
      </c>
      <c r="F16" s="52" t="s">
        <v>31</v>
      </c>
      <c r="G16" s="52" t="s">
        <v>1437</v>
      </c>
      <c r="H16" s="49" t="s">
        <v>1454</v>
      </c>
      <c r="I16" s="52" t="s">
        <v>217</v>
      </c>
      <c r="J16" s="52" t="s">
        <v>214</v>
      </c>
      <c r="K16" s="52" t="s">
        <v>7</v>
      </c>
      <c r="L16" s="52" t="s">
        <v>4</v>
      </c>
    </row>
  </sheetData>
  <autoFilter ref="A1:L1" xr:uid="{00000000-0009-0000-0000-00000A000000}"/>
  <dataValidations count="2">
    <dataValidation type="list" sqref="G2:G16" xr:uid="{00000000-0002-0000-0A00-000000000000}">
      <formula1>"-,Yes,No; explanation in comments"</formula1>
    </dataValidation>
    <dataValidation type="list" sqref="K2:K16" xr:uid="{00000000-0002-0000-0A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A00-000001000000}">
            <xm:f>NOT(ISERROR(SEARCH("Yes",F2)))</xm:f>
            <x14:dxf>
              <font>
                <color rgb="FF9C6500"/>
              </font>
              <fill>
                <patternFill patternType="solid">
                  <bgColor rgb="FFFFEB9C"/>
                </patternFill>
              </fill>
            </x14:dxf>
          </x14:cfRule>
          <xm:sqref>F2:F16</xm:sqref>
        </x14:conditionalFormatting>
        <x14:conditionalFormatting xmlns:xm="http://schemas.microsoft.com/office/excel/2006/main">
          <x14:cfRule type="containsText" priority="2" operator="containsText" id="{00000000-000E-0000-0A00-000002000000}">
            <xm:f>NOT(ISERROR(SEARCH("Yes",G2)))</xm:f>
            <x14:dxf>
              <font>
                <color rgb="FF006100"/>
              </font>
              <fill>
                <patternFill patternType="solid">
                  <bgColor rgb="FFC6EFCE"/>
                </patternFill>
              </fill>
            </x14:dxf>
          </x14:cfRule>
          <x14:cfRule type="containsText" priority="2" operator="containsText" id="{00000000-000E-0000-0A00-000002000000}">
            <xm:f>NOT(ISERROR(SEARCH("No; explanation in comments",G2)))</xm:f>
            <x14:dxf>
              <font>
                <color rgb="FF9C0006"/>
              </font>
              <fill>
                <patternFill patternType="solid">
                  <bgColor rgb="FFFFC7CE"/>
                </patternFill>
              </fill>
            </x14:dxf>
          </x14:cfRule>
          <xm:sqref>G2:G16</xm:sqref>
        </x14:conditionalFormatting>
        <x14:conditionalFormatting xmlns:xm="http://schemas.microsoft.com/office/excel/2006/main">
          <x14:cfRule type="containsText" priority="3" operator="containsText" id="{00000000-000E-0000-0A00-000003000000}">
            <xm:f>NOT(ISERROR(SEARCH("Yes",J2)))</xm:f>
            <x14:dxf>
              <font>
                <b/>
                <i/>
                <color rgb="FF403151"/>
              </font>
              <fill>
                <patternFill patternType="solid">
                  <bgColor rgb="FFCCC0DA"/>
                </patternFill>
              </fill>
            </x14:dxf>
          </x14:cfRule>
          <xm:sqref>J2:J16</xm:sqref>
        </x14:conditionalFormatting>
        <x14:conditionalFormatting xmlns:xm="http://schemas.microsoft.com/office/excel/2006/main">
          <x14:cfRule type="containsText" priority="4" operator="containsText" id="{00000000-000E-0000-0A00-000004000000}">
            <xm:f>NOT(ISERROR(SEARCH("Mitigated",K2)))</xm:f>
            <x14:dxf>
              <font>
                <color rgb="FF006100"/>
              </font>
              <fill>
                <patternFill patternType="solid">
                  <bgColor rgb="FFC6EFCE"/>
                </patternFill>
              </fill>
            </x14:dxf>
          </x14:cfRule>
          <x14:cfRule type="containsText" priority="4" operator="containsText" id="{00000000-000E-0000-0A00-000004000000}">
            <xm:f>NOT(ISERROR(SEARCH("Not Mitigated",K2)))</xm:f>
            <x14:dxf>
              <font>
                <color rgb="FF9C0006"/>
              </font>
              <fill>
                <patternFill patternType="solid">
                  <bgColor rgb="FFFFC7CE"/>
                </patternFill>
              </fill>
            </x14:dxf>
          </x14:cfRule>
          <xm:sqref>K2:K16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46"/>
  <sheetViews>
    <sheetView workbookViewId="0">
      <pane ySplit="1" topLeftCell="A2" activePane="bottomLeft" state="frozen"/>
      <selection pane="bottomLeft"/>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50" customHeight="1" x14ac:dyDescent="0.2">
      <c r="A2" s="81" t="s">
        <v>37</v>
      </c>
      <c r="B2" s="82" t="s">
        <v>866</v>
      </c>
      <c r="C2" s="52" t="str">
        <f>IF(ATHENAInUse="Yes","Yes","No")</f>
        <v>No</v>
      </c>
      <c r="D2" s="52" t="s">
        <v>867</v>
      </c>
      <c r="E2" s="52" t="s">
        <v>868</v>
      </c>
      <c r="F2" s="52" t="str">
        <f t="shared" ref="F2:F46" si="0">IF(AND(C2="Yes",G2="-"), "Yes", "No")</f>
        <v>No</v>
      </c>
      <c r="G2" s="52" t="s">
        <v>12</v>
      </c>
      <c r="I2" s="52" t="s">
        <v>217</v>
      </c>
      <c r="J2" s="52" t="s">
        <v>214</v>
      </c>
      <c r="K2" s="52" t="s">
        <v>218</v>
      </c>
      <c r="L2" s="52" t="s">
        <v>4</v>
      </c>
      <c r="T2" s="52" t="s">
        <v>6</v>
      </c>
      <c r="U2" s="52">
        <f>COUNTIFS(C2:C46,"Yes")</f>
        <v>0</v>
      </c>
    </row>
    <row r="3" spans="1:21" s="49" customFormat="1" ht="35" customHeight="1" x14ac:dyDescent="0.2">
      <c r="A3" s="81" t="s">
        <v>37</v>
      </c>
      <c r="B3" s="82" t="s">
        <v>869</v>
      </c>
      <c r="C3" s="52" t="str">
        <f>IF(ATHENAInUse="Yes","Yes","No")</f>
        <v>No</v>
      </c>
      <c r="D3" s="52" t="s">
        <v>870</v>
      </c>
      <c r="E3" s="52" t="s">
        <v>871</v>
      </c>
      <c r="F3" s="52" t="str">
        <f t="shared" si="0"/>
        <v>No</v>
      </c>
      <c r="G3" s="52" t="s">
        <v>12</v>
      </c>
      <c r="I3" s="52" t="s">
        <v>217</v>
      </c>
      <c r="J3" s="52" t="s">
        <v>214</v>
      </c>
      <c r="K3" s="52" t="s">
        <v>218</v>
      </c>
      <c r="L3" s="52" t="s">
        <v>4</v>
      </c>
      <c r="T3" s="52" t="s">
        <v>33</v>
      </c>
      <c r="U3" s="52">
        <f>COUNTIF(G2:G46, "&lt;&gt;-")</f>
        <v>0</v>
      </c>
    </row>
    <row r="4" spans="1:21" s="49" customFormat="1" ht="50" customHeight="1" x14ac:dyDescent="0.2">
      <c r="A4" s="81" t="s">
        <v>37</v>
      </c>
      <c r="B4" s="82" t="s">
        <v>872</v>
      </c>
      <c r="C4" s="52" t="str">
        <f>IF(ATHENAInUse="Yes","Yes","No")</f>
        <v>No</v>
      </c>
      <c r="D4" s="52" t="s">
        <v>873</v>
      </c>
      <c r="E4" s="52" t="s">
        <v>874</v>
      </c>
      <c r="F4" s="52" t="str">
        <f t="shared" si="0"/>
        <v>No</v>
      </c>
      <c r="G4" s="52" t="s">
        <v>12</v>
      </c>
      <c r="I4" s="52" t="s">
        <v>230</v>
      </c>
      <c r="J4" s="52" t="s">
        <v>31</v>
      </c>
      <c r="K4" s="52" t="s">
        <v>218</v>
      </c>
      <c r="L4" s="52" t="s">
        <v>4</v>
      </c>
      <c r="T4" s="52" t="s">
        <v>225</v>
      </c>
      <c r="U4" s="52">
        <f>COUNTIF(G2:G46, "No; explanation in comments")</f>
        <v>0</v>
      </c>
    </row>
    <row r="5" spans="1:21" s="49" customFormat="1" ht="35" customHeight="1" x14ac:dyDescent="0.2">
      <c r="A5" s="83" t="s">
        <v>42</v>
      </c>
      <c r="B5" s="84" t="s">
        <v>875</v>
      </c>
      <c r="C5" s="52" t="str">
        <f>IF(GLUEInUse="Yes","Yes","No")</f>
        <v>No</v>
      </c>
      <c r="D5" s="52" t="s">
        <v>876</v>
      </c>
      <c r="E5" s="52" t="s">
        <v>877</v>
      </c>
      <c r="F5" s="52" t="str">
        <f t="shared" si="0"/>
        <v>No</v>
      </c>
      <c r="G5" s="52" t="s">
        <v>12</v>
      </c>
      <c r="I5" s="52" t="s">
        <v>217</v>
      </c>
      <c r="J5" s="52" t="s">
        <v>214</v>
      </c>
      <c r="K5" s="52" t="s">
        <v>218</v>
      </c>
      <c r="L5" s="52" t="s">
        <v>4</v>
      </c>
      <c r="T5" s="52" t="s">
        <v>7</v>
      </c>
      <c r="U5" s="52">
        <f>COUNTIF(K2:K46, "Mitigated")</f>
        <v>0</v>
      </c>
    </row>
    <row r="6" spans="1:21" s="49" customFormat="1" ht="35" customHeight="1" x14ac:dyDescent="0.2">
      <c r="A6" s="83" t="s">
        <v>42</v>
      </c>
      <c r="B6" s="84" t="s">
        <v>878</v>
      </c>
      <c r="C6" s="52" t="str">
        <f>IF(GLUEInUse="Yes","Yes","No")</f>
        <v>No</v>
      </c>
      <c r="D6" s="52" t="s">
        <v>879</v>
      </c>
      <c r="E6" s="52" t="s">
        <v>880</v>
      </c>
      <c r="F6" s="52" t="str">
        <f t="shared" si="0"/>
        <v>No</v>
      </c>
      <c r="G6" s="52" t="s">
        <v>12</v>
      </c>
      <c r="I6" s="52" t="s">
        <v>217</v>
      </c>
      <c r="J6" s="52" t="s">
        <v>214</v>
      </c>
      <c r="K6" s="52" t="s">
        <v>218</v>
      </c>
      <c r="L6" s="52" t="s">
        <v>4</v>
      </c>
      <c r="T6" s="52" t="s">
        <v>8</v>
      </c>
      <c r="U6" s="52">
        <f>COUNTIF(K2:K46, "Not Mitigated")</f>
        <v>0</v>
      </c>
    </row>
    <row r="7" spans="1:21" s="49" customFormat="1" ht="35" customHeight="1" x14ac:dyDescent="0.2">
      <c r="A7" s="83" t="s">
        <v>42</v>
      </c>
      <c r="B7" s="84" t="s">
        <v>881</v>
      </c>
      <c r="C7" s="52" t="str">
        <f>IF(GLUEInUse="Yes","Yes","No")</f>
        <v>No</v>
      </c>
      <c r="D7" s="52" t="s">
        <v>882</v>
      </c>
      <c r="E7" s="52" t="s">
        <v>883</v>
      </c>
      <c r="F7" s="52" t="str">
        <f t="shared" si="0"/>
        <v>No</v>
      </c>
      <c r="G7" s="52" t="s">
        <v>12</v>
      </c>
      <c r="I7" s="52" t="s">
        <v>217</v>
      </c>
      <c r="J7" s="52" t="s">
        <v>214</v>
      </c>
      <c r="K7" s="52" t="s">
        <v>218</v>
      </c>
      <c r="L7" s="52" t="s">
        <v>4</v>
      </c>
    </row>
    <row r="8" spans="1:21" s="49" customFormat="1" ht="20" customHeight="1" x14ac:dyDescent="0.2">
      <c r="A8" s="81" t="s">
        <v>46</v>
      </c>
      <c r="B8" s="82" t="s">
        <v>884</v>
      </c>
      <c r="C8" s="52" t="str">
        <f t="shared" ref="C8:C16" si="1">IF(ELASTIC_MAP_REDUCEInUse="Yes","Yes","No")</f>
        <v>No</v>
      </c>
      <c r="D8" s="52" t="s">
        <v>885</v>
      </c>
      <c r="E8" s="52" t="s">
        <v>886</v>
      </c>
      <c r="F8" s="52" t="str">
        <f t="shared" si="0"/>
        <v>No</v>
      </c>
      <c r="G8" s="52" t="s">
        <v>12</v>
      </c>
      <c r="I8" s="52" t="s">
        <v>217</v>
      </c>
      <c r="J8" s="52" t="s">
        <v>214</v>
      </c>
      <c r="K8" s="52" t="s">
        <v>218</v>
      </c>
      <c r="L8" s="52" t="s">
        <v>4</v>
      </c>
    </row>
    <row r="9" spans="1:21" s="49" customFormat="1" ht="35" customHeight="1" x14ac:dyDescent="0.2">
      <c r="A9" s="81" t="s">
        <v>46</v>
      </c>
      <c r="B9" s="82" t="s">
        <v>887</v>
      </c>
      <c r="C9" s="52" t="str">
        <f t="shared" si="1"/>
        <v>No</v>
      </c>
      <c r="D9" s="52" t="s">
        <v>888</v>
      </c>
      <c r="E9" s="52" t="s">
        <v>889</v>
      </c>
      <c r="F9" s="52" t="str">
        <f t="shared" si="0"/>
        <v>No</v>
      </c>
      <c r="G9" s="52" t="s">
        <v>12</v>
      </c>
      <c r="I9" s="52" t="s">
        <v>217</v>
      </c>
      <c r="J9" s="52" t="s">
        <v>214</v>
      </c>
      <c r="K9" s="52" t="s">
        <v>218</v>
      </c>
      <c r="L9" s="52" t="s">
        <v>4</v>
      </c>
    </row>
    <row r="10" spans="1:21" s="49" customFormat="1" ht="35" customHeight="1" x14ac:dyDescent="0.2">
      <c r="A10" s="81" t="s">
        <v>46</v>
      </c>
      <c r="B10" s="82" t="s">
        <v>890</v>
      </c>
      <c r="C10" s="52" t="str">
        <f t="shared" si="1"/>
        <v>No</v>
      </c>
      <c r="D10" s="52" t="s">
        <v>891</v>
      </c>
      <c r="E10" s="52" t="s">
        <v>892</v>
      </c>
      <c r="F10" s="52" t="str">
        <f t="shared" si="0"/>
        <v>No</v>
      </c>
      <c r="G10" s="52" t="s">
        <v>12</v>
      </c>
      <c r="I10" s="52" t="s">
        <v>217</v>
      </c>
      <c r="J10" s="52" t="s">
        <v>214</v>
      </c>
      <c r="K10" s="52" t="s">
        <v>218</v>
      </c>
      <c r="L10" s="52" t="s">
        <v>4</v>
      </c>
    </row>
    <row r="11" spans="1:21" s="49" customFormat="1" ht="50" customHeight="1" x14ac:dyDescent="0.2">
      <c r="A11" s="81" t="s">
        <v>46</v>
      </c>
      <c r="B11" s="82" t="s">
        <v>893</v>
      </c>
      <c r="C11" s="52" t="str">
        <f t="shared" si="1"/>
        <v>No</v>
      </c>
      <c r="D11" s="52" t="s">
        <v>894</v>
      </c>
      <c r="E11" s="52" t="s">
        <v>895</v>
      </c>
      <c r="F11" s="52" t="str">
        <f t="shared" si="0"/>
        <v>No</v>
      </c>
      <c r="G11" s="52" t="s">
        <v>12</v>
      </c>
      <c r="I11" s="52" t="s">
        <v>217</v>
      </c>
      <c r="J11" s="52" t="s">
        <v>214</v>
      </c>
      <c r="K11" s="52" t="s">
        <v>218</v>
      </c>
      <c r="L11" s="52" t="s">
        <v>4</v>
      </c>
    </row>
    <row r="12" spans="1:21" s="49" customFormat="1" ht="50" customHeight="1" x14ac:dyDescent="0.2">
      <c r="A12" s="81" t="s">
        <v>46</v>
      </c>
      <c r="B12" s="82" t="s">
        <v>896</v>
      </c>
      <c r="C12" s="52" t="str">
        <f t="shared" si="1"/>
        <v>No</v>
      </c>
      <c r="D12" s="52" t="s">
        <v>897</v>
      </c>
      <c r="E12" s="52" t="s">
        <v>898</v>
      </c>
      <c r="F12" s="52" t="str">
        <f t="shared" si="0"/>
        <v>No</v>
      </c>
      <c r="G12" s="52" t="s">
        <v>12</v>
      </c>
      <c r="I12" s="52" t="s">
        <v>217</v>
      </c>
      <c r="J12" s="52" t="s">
        <v>214</v>
      </c>
      <c r="K12" s="52" t="s">
        <v>218</v>
      </c>
      <c r="L12" s="52" t="s">
        <v>4</v>
      </c>
    </row>
    <row r="13" spans="1:21" s="49" customFormat="1" ht="65" customHeight="1" x14ac:dyDescent="0.2">
      <c r="A13" s="81" t="s">
        <v>46</v>
      </c>
      <c r="B13" s="82" t="s">
        <v>899</v>
      </c>
      <c r="C13" s="52" t="str">
        <f t="shared" si="1"/>
        <v>No</v>
      </c>
      <c r="D13" s="52" t="s">
        <v>900</v>
      </c>
      <c r="E13" s="52" t="s">
        <v>901</v>
      </c>
      <c r="F13" s="52" t="str">
        <f t="shared" si="0"/>
        <v>No</v>
      </c>
      <c r="G13" s="52" t="s">
        <v>12</v>
      </c>
      <c r="I13" s="52" t="s">
        <v>217</v>
      </c>
      <c r="J13" s="52" t="s">
        <v>214</v>
      </c>
      <c r="K13" s="52" t="s">
        <v>218</v>
      </c>
      <c r="L13" s="52" t="s">
        <v>4</v>
      </c>
    </row>
    <row r="14" spans="1:21" s="49" customFormat="1" ht="50" customHeight="1" x14ac:dyDescent="0.2">
      <c r="A14" s="81" t="s">
        <v>46</v>
      </c>
      <c r="B14" s="82" t="s">
        <v>902</v>
      </c>
      <c r="C14" s="52" t="str">
        <f t="shared" si="1"/>
        <v>No</v>
      </c>
      <c r="D14" s="52" t="s">
        <v>903</v>
      </c>
      <c r="E14" s="52" t="s">
        <v>904</v>
      </c>
      <c r="F14" s="52" t="str">
        <f t="shared" si="0"/>
        <v>No</v>
      </c>
      <c r="G14" s="52" t="s">
        <v>12</v>
      </c>
      <c r="I14" s="52" t="s">
        <v>217</v>
      </c>
      <c r="J14" s="52" t="s">
        <v>214</v>
      </c>
      <c r="K14" s="52" t="s">
        <v>218</v>
      </c>
      <c r="L14" s="52" t="s">
        <v>4</v>
      </c>
    </row>
    <row r="15" spans="1:21" s="49" customFormat="1" ht="50" customHeight="1" x14ac:dyDescent="0.2">
      <c r="A15" s="81" t="s">
        <v>46</v>
      </c>
      <c r="B15" s="82" t="s">
        <v>905</v>
      </c>
      <c r="C15" s="52" t="str">
        <f t="shared" si="1"/>
        <v>No</v>
      </c>
      <c r="D15" s="52" t="s">
        <v>906</v>
      </c>
      <c r="E15" s="52" t="s">
        <v>907</v>
      </c>
      <c r="F15" s="52" t="str">
        <f t="shared" si="0"/>
        <v>No</v>
      </c>
      <c r="G15" s="52" t="s">
        <v>12</v>
      </c>
      <c r="I15" s="52" t="s">
        <v>217</v>
      </c>
      <c r="J15" s="52" t="s">
        <v>214</v>
      </c>
      <c r="K15" s="52" t="s">
        <v>218</v>
      </c>
      <c r="L15" s="52" t="s">
        <v>4</v>
      </c>
    </row>
    <row r="16" spans="1:21" s="49" customFormat="1" ht="35" customHeight="1" x14ac:dyDescent="0.2">
      <c r="A16" s="81" t="s">
        <v>46</v>
      </c>
      <c r="B16" s="82" t="s">
        <v>908</v>
      </c>
      <c r="C16" s="52" t="str">
        <f t="shared" si="1"/>
        <v>No</v>
      </c>
      <c r="D16" s="52" t="s">
        <v>909</v>
      </c>
      <c r="E16" s="52" t="s">
        <v>910</v>
      </c>
      <c r="F16" s="52" t="str">
        <f t="shared" si="0"/>
        <v>No</v>
      </c>
      <c r="G16" s="52" t="s">
        <v>12</v>
      </c>
      <c r="I16" s="52" t="s">
        <v>217</v>
      </c>
      <c r="J16" s="52" t="s">
        <v>214</v>
      </c>
      <c r="K16" s="52" t="s">
        <v>218</v>
      </c>
      <c r="L16" s="52" t="s">
        <v>4</v>
      </c>
    </row>
    <row r="17" spans="1:12" s="49" customFormat="1" ht="65" customHeight="1" x14ac:dyDescent="0.2">
      <c r="A17" s="83" t="s">
        <v>50</v>
      </c>
      <c r="B17" s="84" t="s">
        <v>911</v>
      </c>
      <c r="C17" s="52" t="str">
        <f t="shared" ref="C17:C25" si="2">IF(OPENSEARCHInUse="Yes","Yes","No")</f>
        <v>No</v>
      </c>
      <c r="D17" s="52" t="s">
        <v>912</v>
      </c>
      <c r="E17" s="52" t="s">
        <v>913</v>
      </c>
      <c r="F17" s="52" t="str">
        <f t="shared" si="0"/>
        <v>No</v>
      </c>
      <c r="G17" s="52" t="s">
        <v>12</v>
      </c>
      <c r="I17" s="52" t="s">
        <v>217</v>
      </c>
      <c r="J17" s="52" t="s">
        <v>214</v>
      </c>
      <c r="K17" s="52" t="s">
        <v>218</v>
      </c>
      <c r="L17" s="52" t="s">
        <v>4</v>
      </c>
    </row>
    <row r="18" spans="1:12" s="49" customFormat="1" ht="50" customHeight="1" x14ac:dyDescent="0.2">
      <c r="A18" s="83" t="s">
        <v>50</v>
      </c>
      <c r="B18" s="84" t="s">
        <v>914</v>
      </c>
      <c r="C18" s="52" t="str">
        <f t="shared" si="2"/>
        <v>No</v>
      </c>
      <c r="D18" s="52" t="s">
        <v>915</v>
      </c>
      <c r="E18" s="52" t="s">
        <v>916</v>
      </c>
      <c r="F18" s="52" t="str">
        <f t="shared" si="0"/>
        <v>No</v>
      </c>
      <c r="G18" s="52" t="s">
        <v>12</v>
      </c>
      <c r="I18" s="52" t="s">
        <v>217</v>
      </c>
      <c r="J18" s="52" t="s">
        <v>214</v>
      </c>
      <c r="K18" s="52" t="s">
        <v>218</v>
      </c>
      <c r="L18" s="52" t="s">
        <v>4</v>
      </c>
    </row>
    <row r="19" spans="1:12" s="49" customFormat="1" ht="35" customHeight="1" x14ac:dyDescent="0.2">
      <c r="A19" s="83" t="s">
        <v>50</v>
      </c>
      <c r="B19" s="84" t="s">
        <v>917</v>
      </c>
      <c r="C19" s="52" t="str">
        <f t="shared" si="2"/>
        <v>No</v>
      </c>
      <c r="D19" s="52" t="s">
        <v>918</v>
      </c>
      <c r="E19" s="52" t="s">
        <v>919</v>
      </c>
      <c r="F19" s="52" t="str">
        <f t="shared" si="0"/>
        <v>No</v>
      </c>
      <c r="G19" s="52" t="s">
        <v>12</v>
      </c>
      <c r="I19" s="52" t="s">
        <v>230</v>
      </c>
      <c r="J19" s="52" t="s">
        <v>31</v>
      </c>
      <c r="K19" s="52" t="s">
        <v>218</v>
      </c>
      <c r="L19" s="52" t="s">
        <v>4</v>
      </c>
    </row>
    <row r="20" spans="1:12" s="49" customFormat="1" ht="35" customHeight="1" x14ac:dyDescent="0.2">
      <c r="A20" s="83" t="s">
        <v>50</v>
      </c>
      <c r="B20" s="84" t="s">
        <v>920</v>
      </c>
      <c r="C20" s="52" t="str">
        <f t="shared" si="2"/>
        <v>No</v>
      </c>
      <c r="D20" s="52" t="s">
        <v>921</v>
      </c>
      <c r="E20" s="52" t="s">
        <v>922</v>
      </c>
      <c r="F20" s="52" t="str">
        <f t="shared" si="0"/>
        <v>No</v>
      </c>
      <c r="G20" s="52" t="s">
        <v>12</v>
      </c>
      <c r="I20" s="52" t="s">
        <v>230</v>
      </c>
      <c r="J20" s="52" t="s">
        <v>31</v>
      </c>
      <c r="K20" s="52" t="s">
        <v>218</v>
      </c>
      <c r="L20" s="52" t="s">
        <v>4</v>
      </c>
    </row>
    <row r="21" spans="1:12" s="49" customFormat="1" ht="35" customHeight="1" x14ac:dyDescent="0.2">
      <c r="A21" s="83" t="s">
        <v>50</v>
      </c>
      <c r="B21" s="84" t="s">
        <v>923</v>
      </c>
      <c r="C21" s="52" t="str">
        <f t="shared" si="2"/>
        <v>No</v>
      </c>
      <c r="D21" s="52" t="s">
        <v>924</v>
      </c>
      <c r="E21" s="52" t="s">
        <v>925</v>
      </c>
      <c r="F21" s="52" t="str">
        <f t="shared" si="0"/>
        <v>No</v>
      </c>
      <c r="G21" s="52" t="s">
        <v>12</v>
      </c>
      <c r="I21" s="52" t="s">
        <v>217</v>
      </c>
      <c r="J21" s="52" t="s">
        <v>214</v>
      </c>
      <c r="K21" s="52" t="s">
        <v>218</v>
      </c>
      <c r="L21" s="52" t="s">
        <v>4</v>
      </c>
    </row>
    <row r="22" spans="1:12" s="49" customFormat="1" ht="50" customHeight="1" x14ac:dyDescent="0.2">
      <c r="A22" s="83" t="s">
        <v>50</v>
      </c>
      <c r="B22" s="84" t="s">
        <v>926</v>
      </c>
      <c r="C22" s="52" t="str">
        <f t="shared" si="2"/>
        <v>No</v>
      </c>
      <c r="D22" s="52" t="s">
        <v>927</v>
      </c>
      <c r="E22" s="52" t="s">
        <v>928</v>
      </c>
      <c r="F22" s="52" t="str">
        <f t="shared" si="0"/>
        <v>No</v>
      </c>
      <c r="G22" s="52" t="s">
        <v>12</v>
      </c>
      <c r="I22" s="52" t="s">
        <v>217</v>
      </c>
      <c r="J22" s="52" t="s">
        <v>214</v>
      </c>
      <c r="K22" s="52" t="s">
        <v>218</v>
      </c>
      <c r="L22" s="52" t="s">
        <v>4</v>
      </c>
    </row>
    <row r="23" spans="1:12" s="49" customFormat="1" ht="65" customHeight="1" x14ac:dyDescent="0.2">
      <c r="A23" s="83" t="s">
        <v>50</v>
      </c>
      <c r="B23" s="84" t="s">
        <v>929</v>
      </c>
      <c r="C23" s="52" t="str">
        <f t="shared" si="2"/>
        <v>No</v>
      </c>
      <c r="D23" s="52" t="s">
        <v>930</v>
      </c>
      <c r="E23" s="52" t="s">
        <v>931</v>
      </c>
      <c r="F23" s="52" t="str">
        <f t="shared" si="0"/>
        <v>No</v>
      </c>
      <c r="G23" s="52" t="s">
        <v>12</v>
      </c>
      <c r="I23" s="52" t="s">
        <v>217</v>
      </c>
      <c r="J23" s="52" t="s">
        <v>214</v>
      </c>
      <c r="K23" s="52" t="s">
        <v>218</v>
      </c>
      <c r="L23" s="52" t="s">
        <v>4</v>
      </c>
    </row>
    <row r="24" spans="1:12" s="49" customFormat="1" ht="50" customHeight="1" x14ac:dyDescent="0.2">
      <c r="A24" s="83" t="s">
        <v>50</v>
      </c>
      <c r="B24" s="84" t="s">
        <v>932</v>
      </c>
      <c r="C24" s="52" t="str">
        <f t="shared" si="2"/>
        <v>No</v>
      </c>
      <c r="D24" s="52" t="s">
        <v>933</v>
      </c>
      <c r="E24" s="52" t="s">
        <v>934</v>
      </c>
      <c r="F24" s="52" t="str">
        <f t="shared" si="0"/>
        <v>No</v>
      </c>
      <c r="G24" s="52" t="s">
        <v>12</v>
      </c>
      <c r="I24" s="52" t="s">
        <v>217</v>
      </c>
      <c r="J24" s="52" t="s">
        <v>214</v>
      </c>
      <c r="K24" s="52" t="s">
        <v>218</v>
      </c>
      <c r="L24" s="52" t="s">
        <v>4</v>
      </c>
    </row>
    <row r="25" spans="1:12" s="49" customFormat="1" ht="65" customHeight="1" x14ac:dyDescent="0.2">
      <c r="A25" s="83" t="s">
        <v>50</v>
      </c>
      <c r="B25" s="84" t="s">
        <v>935</v>
      </c>
      <c r="C25" s="52" t="str">
        <f t="shared" si="2"/>
        <v>No</v>
      </c>
      <c r="D25" s="52" t="s">
        <v>936</v>
      </c>
      <c r="E25" s="52" t="s">
        <v>937</v>
      </c>
      <c r="F25" s="52" t="str">
        <f t="shared" si="0"/>
        <v>No</v>
      </c>
      <c r="G25" s="52" t="s">
        <v>12</v>
      </c>
      <c r="I25" s="52" t="s">
        <v>217</v>
      </c>
      <c r="J25" s="52" t="s">
        <v>214</v>
      </c>
      <c r="K25" s="52" t="s">
        <v>218</v>
      </c>
      <c r="L25" s="52" t="s">
        <v>4</v>
      </c>
    </row>
    <row r="26" spans="1:12" s="49" customFormat="1" ht="50" customHeight="1" x14ac:dyDescent="0.2">
      <c r="A26" s="81" t="s">
        <v>53</v>
      </c>
      <c r="B26" s="82" t="s">
        <v>938</v>
      </c>
      <c r="C26" s="52" t="str">
        <f>IF(KINESIS_DATA_ANALYTICSInUse="Yes","Yes","No")</f>
        <v>No</v>
      </c>
      <c r="D26" s="52" t="s">
        <v>939</v>
      </c>
      <c r="E26" s="52" t="s">
        <v>940</v>
      </c>
      <c r="F26" s="52" t="str">
        <f t="shared" si="0"/>
        <v>No</v>
      </c>
      <c r="G26" s="52" t="s">
        <v>12</v>
      </c>
      <c r="I26" s="52" t="s">
        <v>217</v>
      </c>
      <c r="J26" s="52" t="s">
        <v>214</v>
      </c>
      <c r="K26" s="52" t="s">
        <v>218</v>
      </c>
      <c r="L26" s="52" t="s">
        <v>4</v>
      </c>
    </row>
    <row r="27" spans="1:12" s="49" customFormat="1" ht="35" customHeight="1" x14ac:dyDescent="0.2">
      <c r="A27" s="81" t="s">
        <v>53</v>
      </c>
      <c r="B27" s="82" t="s">
        <v>941</v>
      </c>
      <c r="C27" s="52" t="str">
        <f>IF(KINESIS_DATA_ANALYTICSInUse="Yes","Yes","No")</f>
        <v>No</v>
      </c>
      <c r="D27" s="52" t="s">
        <v>942</v>
      </c>
      <c r="E27" s="52" t="s">
        <v>943</v>
      </c>
      <c r="F27" s="52" t="str">
        <f t="shared" si="0"/>
        <v>No</v>
      </c>
      <c r="G27" s="52" t="s">
        <v>12</v>
      </c>
      <c r="I27" s="52" t="s">
        <v>230</v>
      </c>
      <c r="J27" s="52" t="s">
        <v>31</v>
      </c>
      <c r="K27" s="52" t="s">
        <v>218</v>
      </c>
      <c r="L27" s="52" t="s">
        <v>4</v>
      </c>
    </row>
    <row r="28" spans="1:12" s="49" customFormat="1" ht="35" customHeight="1" x14ac:dyDescent="0.2">
      <c r="A28" s="81" t="s">
        <v>53</v>
      </c>
      <c r="B28" s="82" t="s">
        <v>944</v>
      </c>
      <c r="C28" s="52" t="str">
        <f>IF(KINESIS_DATA_ANALYTICSInUse="Yes","Yes","No")</f>
        <v>No</v>
      </c>
      <c r="D28" s="52" t="s">
        <v>945</v>
      </c>
      <c r="E28" s="52" t="s">
        <v>946</v>
      </c>
      <c r="F28" s="52" t="str">
        <f t="shared" si="0"/>
        <v>No</v>
      </c>
      <c r="G28" s="52" t="s">
        <v>12</v>
      </c>
      <c r="I28" s="52" t="s">
        <v>230</v>
      </c>
      <c r="J28" s="52" t="s">
        <v>31</v>
      </c>
      <c r="K28" s="52" t="s">
        <v>218</v>
      </c>
      <c r="L28" s="52" t="s">
        <v>4</v>
      </c>
    </row>
    <row r="29" spans="1:12" s="49" customFormat="1" ht="35" customHeight="1" x14ac:dyDescent="0.2">
      <c r="A29" s="81" t="s">
        <v>53</v>
      </c>
      <c r="B29" s="82" t="s">
        <v>947</v>
      </c>
      <c r="C29" s="52" t="str">
        <f>IF(KINESIS_DATA_ANALYTICSInUse="Yes","Yes","No")</f>
        <v>No</v>
      </c>
      <c r="D29" s="52" t="s">
        <v>948</v>
      </c>
      <c r="E29" s="52" t="s">
        <v>949</v>
      </c>
      <c r="F29" s="52" t="str">
        <f t="shared" si="0"/>
        <v>No</v>
      </c>
      <c r="G29" s="52" t="s">
        <v>12</v>
      </c>
      <c r="I29" s="52" t="s">
        <v>230</v>
      </c>
      <c r="J29" s="52" t="s">
        <v>31</v>
      </c>
      <c r="K29" s="52" t="s">
        <v>218</v>
      </c>
      <c r="L29" s="52" t="s">
        <v>4</v>
      </c>
    </row>
    <row r="30" spans="1:12" s="49" customFormat="1" ht="20" customHeight="1" x14ac:dyDescent="0.2">
      <c r="A30" s="83" t="s">
        <v>56</v>
      </c>
      <c r="B30" s="84" t="s">
        <v>950</v>
      </c>
      <c r="C30" s="52" t="str">
        <f>IF(KINESIS_DATA_STREAMInUse="Yes","Yes","No")</f>
        <v>No</v>
      </c>
      <c r="D30" s="52" t="s">
        <v>951</v>
      </c>
      <c r="E30" s="52" t="s">
        <v>952</v>
      </c>
      <c r="F30" s="52" t="str">
        <f t="shared" si="0"/>
        <v>No</v>
      </c>
      <c r="G30" s="52" t="s">
        <v>12</v>
      </c>
      <c r="I30" s="52" t="s">
        <v>217</v>
      </c>
      <c r="J30" s="52" t="s">
        <v>214</v>
      </c>
      <c r="K30" s="52" t="s">
        <v>218</v>
      </c>
      <c r="L30" s="52" t="s">
        <v>4</v>
      </c>
    </row>
    <row r="31" spans="1:12" s="49" customFormat="1" ht="35" customHeight="1" x14ac:dyDescent="0.2">
      <c r="A31" s="83" t="s">
        <v>56</v>
      </c>
      <c r="B31" s="84" t="s">
        <v>953</v>
      </c>
      <c r="C31" s="52" t="str">
        <f>IF(KINESIS_DATA_STREAMInUse="Yes","Yes","No")</f>
        <v>No</v>
      </c>
      <c r="D31" s="52" t="s">
        <v>954</v>
      </c>
      <c r="E31" s="52" t="s">
        <v>955</v>
      </c>
      <c r="F31" s="52" t="str">
        <f t="shared" si="0"/>
        <v>No</v>
      </c>
      <c r="G31" s="52" t="s">
        <v>12</v>
      </c>
      <c r="I31" s="52" t="s">
        <v>230</v>
      </c>
      <c r="J31" s="52" t="s">
        <v>31</v>
      </c>
      <c r="K31" s="52" t="s">
        <v>218</v>
      </c>
      <c r="L31" s="52" t="s">
        <v>4</v>
      </c>
    </row>
    <row r="32" spans="1:12" s="49" customFormat="1" ht="35" customHeight="1" x14ac:dyDescent="0.2">
      <c r="A32" s="83" t="s">
        <v>56</v>
      </c>
      <c r="B32" s="84" t="s">
        <v>956</v>
      </c>
      <c r="C32" s="52" t="str">
        <f>IF(KINESIS_DATA_STREAMInUse="Yes","Yes","No")</f>
        <v>No</v>
      </c>
      <c r="D32" s="52" t="s">
        <v>957</v>
      </c>
      <c r="E32" s="52" t="s">
        <v>958</v>
      </c>
      <c r="F32" s="52" t="str">
        <f t="shared" si="0"/>
        <v>No</v>
      </c>
      <c r="G32" s="52" t="s">
        <v>12</v>
      </c>
      <c r="I32" s="52" t="s">
        <v>230</v>
      </c>
      <c r="J32" s="52" t="s">
        <v>31</v>
      </c>
      <c r="K32" s="52" t="s">
        <v>218</v>
      </c>
      <c r="L32" s="52" t="s">
        <v>4</v>
      </c>
    </row>
    <row r="33" spans="1:12" s="49" customFormat="1" ht="20" customHeight="1" x14ac:dyDescent="0.2">
      <c r="A33" s="83" t="s">
        <v>56</v>
      </c>
      <c r="B33" s="84" t="s">
        <v>959</v>
      </c>
      <c r="C33" s="52" t="str">
        <f>IF(KINESIS_DATA_STREAMInUse="Yes","Yes","No")</f>
        <v>No</v>
      </c>
      <c r="D33" s="52" t="s">
        <v>960</v>
      </c>
      <c r="E33" s="52" t="s">
        <v>961</v>
      </c>
      <c r="F33" s="52" t="str">
        <f t="shared" si="0"/>
        <v>No</v>
      </c>
      <c r="G33" s="52" t="s">
        <v>12</v>
      </c>
      <c r="I33" s="52" t="s">
        <v>230</v>
      </c>
      <c r="J33" s="52" t="s">
        <v>31</v>
      </c>
      <c r="K33" s="52" t="s">
        <v>218</v>
      </c>
      <c r="L33" s="52" t="s">
        <v>4</v>
      </c>
    </row>
    <row r="34" spans="1:12" s="49" customFormat="1" ht="20" customHeight="1" x14ac:dyDescent="0.2">
      <c r="A34" s="81" t="s">
        <v>58</v>
      </c>
      <c r="B34" s="82" t="s">
        <v>962</v>
      </c>
      <c r="C34" s="52" t="str">
        <f t="shared" ref="C34:C42" si="3">IF(MANAGED_STREAMING_FOR_APACHE_KAFKAInUse="Yes","Yes","No")</f>
        <v>No</v>
      </c>
      <c r="D34" s="52" t="s">
        <v>963</v>
      </c>
      <c r="E34" s="52" t="s">
        <v>964</v>
      </c>
      <c r="F34" s="52" t="str">
        <f t="shared" si="0"/>
        <v>No</v>
      </c>
      <c r="G34" s="52" t="s">
        <v>12</v>
      </c>
      <c r="I34" s="52" t="s">
        <v>217</v>
      </c>
      <c r="J34" s="52" t="s">
        <v>214</v>
      </c>
      <c r="K34" s="52" t="s">
        <v>218</v>
      </c>
      <c r="L34" s="52" t="s">
        <v>4</v>
      </c>
    </row>
    <row r="35" spans="1:12" s="49" customFormat="1" ht="95" customHeight="1" x14ac:dyDescent="0.2">
      <c r="A35" s="81" t="s">
        <v>58</v>
      </c>
      <c r="B35" s="82" t="s">
        <v>965</v>
      </c>
      <c r="C35" s="52" t="str">
        <f t="shared" si="3"/>
        <v>No</v>
      </c>
      <c r="D35" s="52" t="s">
        <v>966</v>
      </c>
      <c r="E35" s="52" t="s">
        <v>967</v>
      </c>
      <c r="F35" s="52" t="str">
        <f t="shared" si="0"/>
        <v>No</v>
      </c>
      <c r="G35" s="52" t="s">
        <v>12</v>
      </c>
      <c r="I35" s="52" t="s">
        <v>217</v>
      </c>
      <c r="J35" s="52" t="s">
        <v>214</v>
      </c>
      <c r="K35" s="52" t="s">
        <v>218</v>
      </c>
      <c r="L35" s="52" t="s">
        <v>4</v>
      </c>
    </row>
    <row r="36" spans="1:12" s="49" customFormat="1" ht="35" customHeight="1" x14ac:dyDescent="0.2">
      <c r="A36" s="81" t="s">
        <v>58</v>
      </c>
      <c r="B36" s="82" t="s">
        <v>968</v>
      </c>
      <c r="C36" s="52" t="str">
        <f t="shared" si="3"/>
        <v>No</v>
      </c>
      <c r="D36" s="52" t="s">
        <v>969</v>
      </c>
      <c r="E36" s="52" t="s">
        <v>970</v>
      </c>
      <c r="F36" s="52" t="str">
        <f t="shared" si="0"/>
        <v>No</v>
      </c>
      <c r="G36" s="52" t="s">
        <v>12</v>
      </c>
      <c r="I36" s="52" t="s">
        <v>217</v>
      </c>
      <c r="J36" s="52" t="s">
        <v>214</v>
      </c>
      <c r="K36" s="52" t="s">
        <v>218</v>
      </c>
      <c r="L36" s="52" t="s">
        <v>4</v>
      </c>
    </row>
    <row r="37" spans="1:12" s="49" customFormat="1" ht="125" customHeight="1" x14ac:dyDescent="0.2">
      <c r="A37" s="81" t="s">
        <v>58</v>
      </c>
      <c r="B37" s="82" t="s">
        <v>971</v>
      </c>
      <c r="C37" s="52" t="str">
        <f t="shared" si="3"/>
        <v>No</v>
      </c>
      <c r="D37" s="52" t="s">
        <v>972</v>
      </c>
      <c r="E37" s="52" t="s">
        <v>973</v>
      </c>
      <c r="F37" s="52" t="str">
        <f t="shared" si="0"/>
        <v>No</v>
      </c>
      <c r="G37" s="52" t="s">
        <v>12</v>
      </c>
      <c r="I37" s="52" t="s">
        <v>230</v>
      </c>
      <c r="J37" s="52" t="s">
        <v>31</v>
      </c>
      <c r="K37" s="52" t="s">
        <v>218</v>
      </c>
      <c r="L37" s="52" t="s">
        <v>4</v>
      </c>
    </row>
    <row r="38" spans="1:12" s="49" customFormat="1" ht="65" customHeight="1" x14ac:dyDescent="0.2">
      <c r="A38" s="81" t="s">
        <v>58</v>
      </c>
      <c r="B38" s="82" t="s">
        <v>974</v>
      </c>
      <c r="C38" s="52" t="str">
        <f t="shared" si="3"/>
        <v>No</v>
      </c>
      <c r="D38" s="52" t="s">
        <v>975</v>
      </c>
      <c r="E38" s="52" t="s">
        <v>976</v>
      </c>
      <c r="F38" s="52" t="str">
        <f t="shared" si="0"/>
        <v>No</v>
      </c>
      <c r="G38" s="52" t="s">
        <v>12</v>
      </c>
      <c r="I38" s="52" t="s">
        <v>230</v>
      </c>
      <c r="J38" s="52" t="s">
        <v>31</v>
      </c>
      <c r="K38" s="52" t="s">
        <v>218</v>
      </c>
      <c r="L38" s="52" t="s">
        <v>4</v>
      </c>
    </row>
    <row r="39" spans="1:12" s="49" customFormat="1" ht="80" customHeight="1" x14ac:dyDescent="0.2">
      <c r="A39" s="81" t="s">
        <v>58</v>
      </c>
      <c r="B39" s="82" t="s">
        <v>977</v>
      </c>
      <c r="C39" s="52" t="str">
        <f t="shared" si="3"/>
        <v>No</v>
      </c>
      <c r="D39" s="52" t="s">
        <v>978</v>
      </c>
      <c r="E39" s="52" t="s">
        <v>979</v>
      </c>
      <c r="F39" s="52" t="str">
        <f t="shared" si="0"/>
        <v>No</v>
      </c>
      <c r="G39" s="52" t="s">
        <v>12</v>
      </c>
      <c r="I39" s="52" t="s">
        <v>230</v>
      </c>
      <c r="J39" s="52" t="s">
        <v>31</v>
      </c>
      <c r="K39" s="52" t="s">
        <v>218</v>
      </c>
      <c r="L39" s="52" t="s">
        <v>4</v>
      </c>
    </row>
    <row r="40" spans="1:12" s="49" customFormat="1" ht="35" customHeight="1" x14ac:dyDescent="0.2">
      <c r="A40" s="81" t="s">
        <v>58</v>
      </c>
      <c r="B40" s="82" t="s">
        <v>980</v>
      </c>
      <c r="C40" s="52" t="str">
        <f t="shared" si="3"/>
        <v>No</v>
      </c>
      <c r="D40" s="52" t="s">
        <v>981</v>
      </c>
      <c r="E40" s="52" t="s">
        <v>982</v>
      </c>
      <c r="F40" s="52" t="str">
        <f t="shared" si="0"/>
        <v>No</v>
      </c>
      <c r="G40" s="52" t="s">
        <v>12</v>
      </c>
      <c r="I40" s="52" t="s">
        <v>230</v>
      </c>
      <c r="J40" s="52" t="s">
        <v>31</v>
      </c>
      <c r="K40" s="52" t="s">
        <v>218</v>
      </c>
      <c r="L40" s="52" t="s">
        <v>4</v>
      </c>
    </row>
    <row r="41" spans="1:12" s="49" customFormat="1" ht="50" customHeight="1" x14ac:dyDescent="0.2">
      <c r="A41" s="81" t="s">
        <v>58</v>
      </c>
      <c r="B41" s="82" t="s">
        <v>983</v>
      </c>
      <c r="C41" s="52" t="str">
        <f t="shared" si="3"/>
        <v>No</v>
      </c>
      <c r="D41" s="52" t="s">
        <v>984</v>
      </c>
      <c r="E41" s="52" t="s">
        <v>985</v>
      </c>
      <c r="F41" s="52" t="str">
        <f t="shared" si="0"/>
        <v>No</v>
      </c>
      <c r="G41" s="52" t="s">
        <v>12</v>
      </c>
      <c r="I41" s="52" t="s">
        <v>230</v>
      </c>
      <c r="J41" s="52" t="s">
        <v>31</v>
      </c>
      <c r="K41" s="52" t="s">
        <v>218</v>
      </c>
      <c r="L41" s="52" t="s">
        <v>4</v>
      </c>
    </row>
    <row r="42" spans="1:12" s="49" customFormat="1" ht="50" customHeight="1" x14ac:dyDescent="0.2">
      <c r="A42" s="81" t="s">
        <v>58</v>
      </c>
      <c r="B42" s="82" t="s">
        <v>986</v>
      </c>
      <c r="C42" s="52" t="str">
        <f t="shared" si="3"/>
        <v>No</v>
      </c>
      <c r="D42" s="52" t="s">
        <v>987</v>
      </c>
      <c r="E42" s="52" t="s">
        <v>988</v>
      </c>
      <c r="F42" s="52" t="str">
        <f t="shared" si="0"/>
        <v>No</v>
      </c>
      <c r="G42" s="52" t="s">
        <v>12</v>
      </c>
      <c r="I42" s="52" t="s">
        <v>217</v>
      </c>
      <c r="J42" s="52" t="s">
        <v>214</v>
      </c>
      <c r="K42" s="52" t="s">
        <v>218</v>
      </c>
      <c r="L42" s="52" t="s">
        <v>4</v>
      </c>
    </row>
    <row r="43" spans="1:12" s="49" customFormat="1" ht="50" customHeight="1" x14ac:dyDescent="0.2">
      <c r="A43" s="83" t="s">
        <v>59</v>
      </c>
      <c r="B43" s="84" t="s">
        <v>989</v>
      </c>
      <c r="C43" s="52" t="str">
        <f>IF(QUICKSIGHTInUse="Yes","Yes","No")</f>
        <v>No</v>
      </c>
      <c r="D43" s="52" t="s">
        <v>990</v>
      </c>
      <c r="E43" s="52" t="s">
        <v>991</v>
      </c>
      <c r="F43" s="52" t="str">
        <f t="shared" si="0"/>
        <v>No</v>
      </c>
      <c r="G43" s="52" t="s">
        <v>12</v>
      </c>
      <c r="I43" s="52" t="s">
        <v>217</v>
      </c>
      <c r="J43" s="52" t="s">
        <v>214</v>
      </c>
      <c r="K43" s="52" t="s">
        <v>218</v>
      </c>
      <c r="L43" s="52" t="s">
        <v>4</v>
      </c>
    </row>
    <row r="44" spans="1:12" s="49" customFormat="1" ht="35" customHeight="1" x14ac:dyDescent="0.2">
      <c r="A44" s="83" t="s">
        <v>59</v>
      </c>
      <c r="B44" s="84" t="s">
        <v>992</v>
      </c>
      <c r="C44" s="52" t="str">
        <f>IF(QUICKSIGHTInUse="Yes","Yes","No")</f>
        <v>No</v>
      </c>
      <c r="D44" s="52" t="s">
        <v>993</v>
      </c>
      <c r="E44" s="52" t="s">
        <v>994</v>
      </c>
      <c r="F44" s="52" t="str">
        <f t="shared" si="0"/>
        <v>No</v>
      </c>
      <c r="G44" s="52" t="s">
        <v>12</v>
      </c>
      <c r="I44" s="52" t="s">
        <v>217</v>
      </c>
      <c r="J44" s="52" t="s">
        <v>214</v>
      </c>
      <c r="K44" s="52" t="s">
        <v>218</v>
      </c>
      <c r="L44" s="52" t="s">
        <v>4</v>
      </c>
    </row>
    <row r="45" spans="1:12" s="49" customFormat="1" ht="50" customHeight="1" x14ac:dyDescent="0.2">
      <c r="A45" s="81" t="s">
        <v>60</v>
      </c>
      <c r="B45" s="82" t="s">
        <v>995</v>
      </c>
      <c r="C45" s="52" t="str">
        <f>IF(KINESIS_DATA_FIREHOSEInUse="Yes","Yes","No")</f>
        <v>No</v>
      </c>
      <c r="D45" s="52" t="s">
        <v>996</v>
      </c>
      <c r="E45" s="52" t="s">
        <v>997</v>
      </c>
      <c r="F45" s="52" t="str">
        <f t="shared" si="0"/>
        <v>No</v>
      </c>
      <c r="G45" s="52" t="s">
        <v>12</v>
      </c>
      <c r="I45" s="52" t="s">
        <v>217</v>
      </c>
      <c r="J45" s="52" t="s">
        <v>214</v>
      </c>
      <c r="K45" s="52" t="s">
        <v>218</v>
      </c>
      <c r="L45" s="52" t="s">
        <v>4</v>
      </c>
    </row>
    <row r="46" spans="1:12" s="49" customFormat="1" ht="35" customHeight="1" x14ac:dyDescent="0.2">
      <c r="A46" s="81" t="s">
        <v>60</v>
      </c>
      <c r="B46" s="82" t="s">
        <v>998</v>
      </c>
      <c r="C46" s="52" t="str">
        <f>IF(KINESIS_DATA_FIREHOSEInUse="Yes","Yes","No")</f>
        <v>No</v>
      </c>
      <c r="D46" s="52" t="s">
        <v>999</v>
      </c>
      <c r="E46" s="52" t="s">
        <v>1000</v>
      </c>
      <c r="F46" s="52" t="str">
        <f t="shared" si="0"/>
        <v>No</v>
      </c>
      <c r="G46" s="52" t="s">
        <v>12</v>
      </c>
      <c r="I46" s="52" t="s">
        <v>217</v>
      </c>
      <c r="J46" s="52" t="s">
        <v>214</v>
      </c>
      <c r="K46" s="52" t="s">
        <v>218</v>
      </c>
      <c r="L46" s="52" t="s">
        <v>4</v>
      </c>
    </row>
  </sheetData>
  <autoFilter ref="A1:L1" xr:uid="{00000000-0009-0000-0000-00000B000000}"/>
  <dataValidations count="2">
    <dataValidation type="list" sqref="G2:G46" xr:uid="{00000000-0002-0000-0B00-000000000000}">
      <formula1>"-,Yes,No; explanation in comments"</formula1>
    </dataValidation>
    <dataValidation type="list" sqref="K2:K46" xr:uid="{00000000-0002-0000-0B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B00-000001000000}">
            <xm:f>NOT(ISERROR(SEARCH("Yes",F2)))</xm:f>
            <x14:dxf>
              <font>
                <color rgb="FF9C6500"/>
              </font>
              <fill>
                <patternFill patternType="solid">
                  <bgColor rgb="FFFFEB9C"/>
                </patternFill>
              </fill>
            </x14:dxf>
          </x14:cfRule>
          <xm:sqref>F2:F46</xm:sqref>
        </x14:conditionalFormatting>
        <x14:conditionalFormatting xmlns:xm="http://schemas.microsoft.com/office/excel/2006/main">
          <x14:cfRule type="containsText" priority="2" operator="containsText" id="{00000000-000E-0000-0B00-000002000000}">
            <xm:f>NOT(ISERROR(SEARCH("Yes",G2)))</xm:f>
            <x14:dxf>
              <font>
                <color rgb="FF006100"/>
              </font>
              <fill>
                <patternFill patternType="solid">
                  <bgColor rgb="FFC6EFCE"/>
                </patternFill>
              </fill>
            </x14:dxf>
          </x14:cfRule>
          <x14:cfRule type="containsText" priority="2" operator="containsText" id="{00000000-000E-0000-0B00-000002000000}">
            <xm:f>NOT(ISERROR(SEARCH("No; explanation in comments",G2)))</xm:f>
            <x14:dxf>
              <font>
                <color rgb="FF9C0006"/>
              </font>
              <fill>
                <patternFill patternType="solid">
                  <bgColor rgb="FFFFC7CE"/>
                </patternFill>
              </fill>
            </x14:dxf>
          </x14:cfRule>
          <xm:sqref>G2:G46</xm:sqref>
        </x14:conditionalFormatting>
        <x14:conditionalFormatting xmlns:xm="http://schemas.microsoft.com/office/excel/2006/main">
          <x14:cfRule type="containsText" priority="3" operator="containsText" id="{00000000-000E-0000-0B00-000003000000}">
            <xm:f>NOT(ISERROR(SEARCH("Yes",J2)))</xm:f>
            <x14:dxf>
              <font>
                <b/>
                <i/>
                <color rgb="FF403151"/>
              </font>
              <fill>
                <patternFill patternType="solid">
                  <bgColor rgb="FFCCC0DA"/>
                </patternFill>
              </fill>
            </x14:dxf>
          </x14:cfRule>
          <xm:sqref>J2:J46</xm:sqref>
        </x14:conditionalFormatting>
        <x14:conditionalFormatting xmlns:xm="http://schemas.microsoft.com/office/excel/2006/main">
          <x14:cfRule type="containsText" priority="4" operator="containsText" id="{00000000-000E-0000-0B00-000004000000}">
            <xm:f>NOT(ISERROR(SEARCH("Mitigated",K2)))</xm:f>
            <x14:dxf>
              <font>
                <color rgb="FF006100"/>
              </font>
              <fill>
                <patternFill patternType="solid">
                  <bgColor rgb="FFC6EFCE"/>
                </patternFill>
              </fill>
            </x14:dxf>
          </x14:cfRule>
          <x14:cfRule type="containsText" priority="4" operator="containsText" id="{00000000-000E-0000-0B00-000004000000}">
            <xm:f>NOT(ISERROR(SEARCH("Not Mitigated",K2)))</xm:f>
            <x14:dxf>
              <font>
                <color rgb="FF9C0006"/>
              </font>
              <fill>
                <patternFill patternType="solid">
                  <bgColor rgb="FFFFC7CE"/>
                </patternFill>
              </fill>
            </x14:dxf>
          </x14:cfRule>
          <xm:sqref>K2:K46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32"/>
  <sheetViews>
    <sheetView workbookViewId="0">
      <pane ySplit="1" topLeftCell="A10" activePane="bottomLeft" state="frozen"/>
      <selection pane="bottomLeft" activeCell="L7" sqref="L7"/>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35" customHeight="1" x14ac:dyDescent="0.2">
      <c r="A2" s="85" t="s">
        <v>63</v>
      </c>
      <c r="B2" s="86" t="s">
        <v>1001</v>
      </c>
      <c r="C2" s="52" t="str">
        <f t="shared" ref="C2:C7" si="0">IF(IAMInUse="Yes","Yes","No")</f>
        <v>Yes</v>
      </c>
      <c r="D2" s="52" t="s">
        <v>1002</v>
      </c>
      <c r="E2" s="52" t="s">
        <v>1003</v>
      </c>
      <c r="F2" s="52" t="s">
        <v>31</v>
      </c>
      <c r="G2" s="52" t="s">
        <v>214</v>
      </c>
      <c r="I2" s="52" t="s">
        <v>217</v>
      </c>
      <c r="J2" s="52" t="s">
        <v>214</v>
      </c>
      <c r="K2" s="52" t="s">
        <v>7</v>
      </c>
      <c r="L2" s="52" t="s">
        <v>4</v>
      </c>
      <c r="T2" s="52" t="s">
        <v>6</v>
      </c>
      <c r="U2" s="52">
        <f>COUNTIFS(C2:C32,"Yes")</f>
        <v>6</v>
      </c>
    </row>
    <row r="3" spans="1:21" s="49" customFormat="1" ht="50" customHeight="1" x14ac:dyDescent="0.2">
      <c r="A3" s="85" t="s">
        <v>63</v>
      </c>
      <c r="B3" s="86" t="s">
        <v>1004</v>
      </c>
      <c r="C3" s="52" t="str">
        <f t="shared" si="0"/>
        <v>Yes</v>
      </c>
      <c r="D3" s="52" t="s">
        <v>1005</v>
      </c>
      <c r="E3" s="52" t="s">
        <v>1006</v>
      </c>
      <c r="F3" s="52" t="s">
        <v>31</v>
      </c>
      <c r="G3" s="52" t="s">
        <v>214</v>
      </c>
      <c r="I3" s="52" t="s">
        <v>217</v>
      </c>
      <c r="J3" s="52" t="s">
        <v>214</v>
      </c>
      <c r="K3" s="52" t="s">
        <v>7</v>
      </c>
      <c r="L3" s="52" t="s">
        <v>4</v>
      </c>
      <c r="T3" s="52" t="s">
        <v>33</v>
      </c>
      <c r="U3" s="52">
        <f>COUNTIF(G2:G32, "&lt;&gt;-")</f>
        <v>6</v>
      </c>
    </row>
    <row r="4" spans="1:21" s="49" customFormat="1" ht="35" customHeight="1" x14ac:dyDescent="0.2">
      <c r="A4" s="85" t="s">
        <v>63</v>
      </c>
      <c r="B4" s="86" t="s">
        <v>1007</v>
      </c>
      <c r="C4" s="52" t="str">
        <f t="shared" si="0"/>
        <v>Yes</v>
      </c>
      <c r="D4" s="52" t="s">
        <v>1008</v>
      </c>
      <c r="E4" s="52" t="s">
        <v>1009</v>
      </c>
      <c r="F4" s="52" t="s">
        <v>31</v>
      </c>
      <c r="G4" s="52" t="s">
        <v>214</v>
      </c>
      <c r="I4" s="52" t="s">
        <v>217</v>
      </c>
      <c r="J4" s="52" t="s">
        <v>214</v>
      </c>
      <c r="K4" s="52" t="s">
        <v>7</v>
      </c>
      <c r="L4" s="52" t="s">
        <v>4</v>
      </c>
      <c r="T4" s="52" t="s">
        <v>225</v>
      </c>
      <c r="U4" s="52">
        <f>COUNTIF(G2:G32, "No; explanation in comments")</f>
        <v>0</v>
      </c>
    </row>
    <row r="5" spans="1:21" s="49" customFormat="1" ht="50" customHeight="1" x14ac:dyDescent="0.2">
      <c r="A5" s="85" t="s">
        <v>63</v>
      </c>
      <c r="B5" s="86" t="s">
        <v>1010</v>
      </c>
      <c r="C5" s="52" t="str">
        <f t="shared" si="0"/>
        <v>Yes</v>
      </c>
      <c r="D5" s="52" t="s">
        <v>1011</v>
      </c>
      <c r="E5" s="52" t="s">
        <v>1012</v>
      </c>
      <c r="F5" s="52" t="s">
        <v>31</v>
      </c>
      <c r="G5" s="52" t="s">
        <v>214</v>
      </c>
      <c r="I5" s="52" t="s">
        <v>217</v>
      </c>
      <c r="J5" s="52" t="s">
        <v>214</v>
      </c>
      <c r="K5" s="52" t="s">
        <v>7</v>
      </c>
      <c r="L5" s="52" t="s">
        <v>4</v>
      </c>
      <c r="T5" s="52" t="s">
        <v>7</v>
      </c>
      <c r="U5" s="52">
        <f>COUNTIF(K2:K32, "Mitigated")</f>
        <v>6</v>
      </c>
    </row>
    <row r="6" spans="1:21" s="49" customFormat="1" ht="35" customHeight="1" x14ac:dyDescent="0.2">
      <c r="A6" s="85" t="s">
        <v>63</v>
      </c>
      <c r="B6" s="86" t="s">
        <v>1013</v>
      </c>
      <c r="C6" s="52" t="str">
        <f t="shared" si="0"/>
        <v>Yes</v>
      </c>
      <c r="D6" s="52" t="s">
        <v>1014</v>
      </c>
      <c r="E6" s="52" t="s">
        <v>1015</v>
      </c>
      <c r="F6" s="52" t="s">
        <v>31</v>
      </c>
      <c r="G6" s="52" t="s">
        <v>214</v>
      </c>
      <c r="H6" s="49" t="s">
        <v>1455</v>
      </c>
      <c r="I6" s="52" t="s">
        <v>217</v>
      </c>
      <c r="J6" s="52" t="s">
        <v>214</v>
      </c>
      <c r="K6" s="52" t="s">
        <v>7</v>
      </c>
      <c r="L6" s="52" t="s">
        <v>4</v>
      </c>
      <c r="T6" s="52" t="s">
        <v>8</v>
      </c>
      <c r="U6" s="52">
        <f>COUNTIF(K2:K32, "Not Mitigated")</f>
        <v>0</v>
      </c>
    </row>
    <row r="7" spans="1:21" s="49" customFormat="1" ht="65" customHeight="1" x14ac:dyDescent="0.2">
      <c r="A7" s="85" t="s">
        <v>63</v>
      </c>
      <c r="B7" s="86" t="s">
        <v>1016</v>
      </c>
      <c r="C7" s="52" t="str">
        <f t="shared" si="0"/>
        <v>Yes</v>
      </c>
      <c r="D7" s="52" t="s">
        <v>1017</v>
      </c>
      <c r="E7" s="52" t="s">
        <v>1018</v>
      </c>
      <c r="F7" s="52" t="s">
        <v>31</v>
      </c>
      <c r="G7" s="52" t="s">
        <v>214</v>
      </c>
      <c r="I7" s="52" t="s">
        <v>217</v>
      </c>
      <c r="J7" s="52" t="s">
        <v>214</v>
      </c>
      <c r="K7" s="52" t="s">
        <v>7</v>
      </c>
      <c r="L7" s="52" t="s">
        <v>4</v>
      </c>
    </row>
    <row r="8" spans="1:21" s="49" customFormat="1" ht="20" customHeight="1" x14ac:dyDescent="0.2">
      <c r="A8" s="87" t="s">
        <v>67</v>
      </c>
      <c r="B8" s="88" t="s">
        <v>1019</v>
      </c>
      <c r="C8" s="52" t="str">
        <f t="shared" ref="C8:C14" si="1">IF(COGNITOInUse="Yes","Yes","No")</f>
        <v>No</v>
      </c>
      <c r="D8" s="52" t="s">
        <v>1020</v>
      </c>
      <c r="E8" s="52" t="s">
        <v>1021</v>
      </c>
      <c r="F8" s="52" t="str">
        <f t="shared" ref="F2:F32" si="2">IF(AND(C8="Yes",G8="-"), "Yes", "No")</f>
        <v>No</v>
      </c>
      <c r="G8" s="52" t="s">
        <v>12</v>
      </c>
      <c r="I8" s="52" t="s">
        <v>217</v>
      </c>
      <c r="J8" s="52" t="s">
        <v>214</v>
      </c>
      <c r="K8" s="52" t="s">
        <v>218</v>
      </c>
      <c r="L8" s="52" t="s">
        <v>4</v>
      </c>
    </row>
    <row r="9" spans="1:21" s="49" customFormat="1" ht="35" customHeight="1" x14ac:dyDescent="0.2">
      <c r="A9" s="87" t="s">
        <v>67</v>
      </c>
      <c r="B9" s="88" t="s">
        <v>1022</v>
      </c>
      <c r="C9" s="52" t="str">
        <f t="shared" si="1"/>
        <v>No</v>
      </c>
      <c r="D9" s="52" t="s">
        <v>1023</v>
      </c>
      <c r="E9" s="52" t="s">
        <v>1024</v>
      </c>
      <c r="F9" s="52" t="str">
        <f t="shared" si="2"/>
        <v>No</v>
      </c>
      <c r="G9" s="52" t="s">
        <v>12</v>
      </c>
      <c r="I9" s="52" t="s">
        <v>217</v>
      </c>
      <c r="J9" s="52" t="s">
        <v>214</v>
      </c>
      <c r="K9" s="52" t="s">
        <v>218</v>
      </c>
      <c r="L9" s="52" t="s">
        <v>4</v>
      </c>
    </row>
    <row r="10" spans="1:21" s="49" customFormat="1" ht="35" customHeight="1" x14ac:dyDescent="0.2">
      <c r="A10" s="87" t="s">
        <v>67</v>
      </c>
      <c r="B10" s="88" t="s">
        <v>1025</v>
      </c>
      <c r="C10" s="52" t="str">
        <f t="shared" si="1"/>
        <v>No</v>
      </c>
      <c r="D10" s="52" t="s">
        <v>1026</v>
      </c>
      <c r="E10" s="52" t="s">
        <v>1027</v>
      </c>
      <c r="F10" s="52" t="str">
        <f t="shared" si="2"/>
        <v>No</v>
      </c>
      <c r="G10" s="52" t="s">
        <v>12</v>
      </c>
      <c r="I10" s="52" t="s">
        <v>217</v>
      </c>
      <c r="J10" s="52" t="s">
        <v>214</v>
      </c>
      <c r="K10" s="52" t="s">
        <v>218</v>
      </c>
      <c r="L10" s="52" t="s">
        <v>4</v>
      </c>
    </row>
    <row r="11" spans="1:21" s="49" customFormat="1" ht="65" customHeight="1" x14ac:dyDescent="0.2">
      <c r="A11" s="87" t="s">
        <v>67</v>
      </c>
      <c r="B11" s="88" t="s">
        <v>1028</v>
      </c>
      <c r="C11" s="52" t="str">
        <f t="shared" si="1"/>
        <v>No</v>
      </c>
      <c r="D11" s="52" t="s">
        <v>1029</v>
      </c>
      <c r="E11" s="52" t="s">
        <v>1030</v>
      </c>
      <c r="F11" s="52" t="str">
        <f t="shared" si="2"/>
        <v>No</v>
      </c>
      <c r="G11" s="52" t="s">
        <v>12</v>
      </c>
      <c r="I11" s="52" t="s">
        <v>217</v>
      </c>
      <c r="J11" s="52" t="s">
        <v>214</v>
      </c>
      <c r="K11" s="52" t="s">
        <v>218</v>
      </c>
      <c r="L11" s="52" t="s">
        <v>4</v>
      </c>
    </row>
    <row r="12" spans="1:21" s="49" customFormat="1" ht="65" customHeight="1" x14ac:dyDescent="0.2">
      <c r="A12" s="87" t="s">
        <v>67</v>
      </c>
      <c r="B12" s="88" t="s">
        <v>1031</v>
      </c>
      <c r="C12" s="52" t="str">
        <f t="shared" si="1"/>
        <v>No</v>
      </c>
      <c r="D12" s="52" t="s">
        <v>1032</v>
      </c>
      <c r="E12" s="52" t="s">
        <v>1033</v>
      </c>
      <c r="F12" s="52" t="str">
        <f t="shared" si="2"/>
        <v>No</v>
      </c>
      <c r="G12" s="52" t="s">
        <v>12</v>
      </c>
      <c r="I12" s="52" t="s">
        <v>217</v>
      </c>
      <c r="J12" s="52" t="s">
        <v>214</v>
      </c>
      <c r="K12" s="52" t="s">
        <v>218</v>
      </c>
      <c r="L12" s="52" t="s">
        <v>4</v>
      </c>
    </row>
    <row r="13" spans="1:21" s="49" customFormat="1" ht="50" customHeight="1" x14ac:dyDescent="0.2">
      <c r="A13" s="87" t="s">
        <v>67</v>
      </c>
      <c r="B13" s="88" t="s">
        <v>1034</v>
      </c>
      <c r="C13" s="52" t="str">
        <f t="shared" si="1"/>
        <v>No</v>
      </c>
      <c r="D13" s="52" t="s">
        <v>1035</v>
      </c>
      <c r="E13" s="52" t="s">
        <v>1036</v>
      </c>
      <c r="F13" s="52" t="str">
        <f t="shared" si="2"/>
        <v>No</v>
      </c>
      <c r="G13" s="52" t="s">
        <v>12</v>
      </c>
      <c r="I13" s="52" t="s">
        <v>217</v>
      </c>
      <c r="J13" s="52" t="s">
        <v>214</v>
      </c>
      <c r="K13" s="52" t="s">
        <v>218</v>
      </c>
      <c r="L13" s="52" t="s">
        <v>4</v>
      </c>
    </row>
    <row r="14" spans="1:21" s="49" customFormat="1" ht="65" customHeight="1" x14ac:dyDescent="0.2">
      <c r="A14" s="87" t="s">
        <v>67</v>
      </c>
      <c r="B14" s="88" t="s">
        <v>1037</v>
      </c>
      <c r="C14" s="52" t="str">
        <f t="shared" si="1"/>
        <v>No</v>
      </c>
      <c r="D14" s="52" t="s">
        <v>1038</v>
      </c>
      <c r="E14" s="52" t="s">
        <v>1039</v>
      </c>
      <c r="F14" s="52" t="str">
        <f t="shared" si="2"/>
        <v>No</v>
      </c>
      <c r="G14" s="52" t="s">
        <v>12</v>
      </c>
      <c r="I14" s="52" t="s">
        <v>217</v>
      </c>
      <c r="J14" s="52" t="s">
        <v>214</v>
      </c>
      <c r="K14" s="52" t="s">
        <v>218</v>
      </c>
      <c r="L14" s="52" t="s">
        <v>4</v>
      </c>
    </row>
    <row r="15" spans="1:21" s="49" customFormat="1" ht="20" customHeight="1" x14ac:dyDescent="0.2">
      <c r="A15" s="85" t="s">
        <v>71</v>
      </c>
      <c r="B15" s="86" t="s">
        <v>1040</v>
      </c>
      <c r="C15" s="52" t="str">
        <f>IF(SECRETS_MANAGERInUse="Yes","Yes","No")</f>
        <v>No</v>
      </c>
      <c r="D15" s="52" t="s">
        <v>1041</v>
      </c>
      <c r="E15" s="52" t="s">
        <v>1042</v>
      </c>
      <c r="F15" s="52" t="str">
        <f t="shared" si="2"/>
        <v>No</v>
      </c>
      <c r="G15" s="52" t="s">
        <v>12</v>
      </c>
      <c r="I15" s="52" t="s">
        <v>217</v>
      </c>
      <c r="J15" s="52" t="s">
        <v>214</v>
      </c>
      <c r="K15" s="52" t="s">
        <v>218</v>
      </c>
      <c r="L15" s="52" t="s">
        <v>4</v>
      </c>
    </row>
    <row r="16" spans="1:21" s="49" customFormat="1" ht="35" customHeight="1" x14ac:dyDescent="0.2">
      <c r="A16" s="85" t="s">
        <v>71</v>
      </c>
      <c r="B16" s="86" t="s">
        <v>1043</v>
      </c>
      <c r="C16" s="52" t="str">
        <f>IF(SECRETS_MANAGERInUse="Yes","Yes","No")</f>
        <v>No</v>
      </c>
      <c r="D16" s="52" t="s">
        <v>1044</v>
      </c>
      <c r="E16" s="52" t="s">
        <v>339</v>
      </c>
      <c r="F16" s="52" t="str">
        <f t="shared" si="2"/>
        <v>No</v>
      </c>
      <c r="G16" s="52" t="s">
        <v>12</v>
      </c>
      <c r="I16" s="52" t="s">
        <v>217</v>
      </c>
      <c r="J16" s="52" t="s">
        <v>214</v>
      </c>
      <c r="K16" s="52" t="s">
        <v>218</v>
      </c>
      <c r="L16" s="52" t="s">
        <v>4</v>
      </c>
    </row>
    <row r="17" spans="1:12" s="49" customFormat="1" ht="35" customHeight="1" x14ac:dyDescent="0.2">
      <c r="A17" s="85" t="s">
        <v>71</v>
      </c>
      <c r="B17" s="86" t="s">
        <v>1045</v>
      </c>
      <c r="C17" s="52" t="str">
        <f>IF(SECRETS_MANAGERInUse="Yes","Yes","No")</f>
        <v>No</v>
      </c>
      <c r="D17" s="52" t="s">
        <v>1046</v>
      </c>
      <c r="E17" s="52" t="s">
        <v>339</v>
      </c>
      <c r="F17" s="52" t="str">
        <f t="shared" si="2"/>
        <v>No</v>
      </c>
      <c r="G17" s="52" t="s">
        <v>12</v>
      </c>
      <c r="I17" s="52" t="s">
        <v>217</v>
      </c>
      <c r="J17" s="52" t="s">
        <v>214</v>
      </c>
      <c r="K17" s="52" t="s">
        <v>218</v>
      </c>
      <c r="L17" s="52" t="s">
        <v>4</v>
      </c>
    </row>
    <row r="18" spans="1:12" s="49" customFormat="1" ht="35" customHeight="1" x14ac:dyDescent="0.2">
      <c r="A18" s="85" t="s">
        <v>71</v>
      </c>
      <c r="B18" s="86" t="s">
        <v>1047</v>
      </c>
      <c r="C18" s="52" t="str">
        <f>IF(SECRETS_MANAGERInUse="Yes","Yes","No")</f>
        <v>No</v>
      </c>
      <c r="D18" s="52" t="s">
        <v>1048</v>
      </c>
      <c r="E18" s="52" t="s">
        <v>1049</v>
      </c>
      <c r="F18" s="52" t="str">
        <f t="shared" si="2"/>
        <v>No</v>
      </c>
      <c r="G18" s="52" t="s">
        <v>12</v>
      </c>
      <c r="I18" s="52" t="s">
        <v>217</v>
      </c>
      <c r="J18" s="52" t="s">
        <v>214</v>
      </c>
      <c r="K18" s="52" t="s">
        <v>218</v>
      </c>
      <c r="L18" s="52" t="s">
        <v>4</v>
      </c>
    </row>
    <row r="19" spans="1:12" s="49" customFormat="1" ht="80" customHeight="1" x14ac:dyDescent="0.2">
      <c r="A19" s="87" t="s">
        <v>74</v>
      </c>
      <c r="B19" s="88" t="s">
        <v>1050</v>
      </c>
      <c r="C19" s="52" t="str">
        <f t="shared" ref="C19:C24" si="3">IF(KEY_MANAGEMENT_SERVICEInUse="Yes","Yes","No")</f>
        <v>No</v>
      </c>
      <c r="D19" s="52" t="s">
        <v>1051</v>
      </c>
      <c r="E19" s="52" t="s">
        <v>1052</v>
      </c>
      <c r="F19" s="52" t="str">
        <f t="shared" si="2"/>
        <v>No</v>
      </c>
      <c r="G19" s="52" t="s">
        <v>12</v>
      </c>
      <c r="I19" s="52" t="s">
        <v>217</v>
      </c>
      <c r="J19" s="52" t="s">
        <v>214</v>
      </c>
      <c r="K19" s="52" t="s">
        <v>218</v>
      </c>
      <c r="L19" s="52" t="s">
        <v>4</v>
      </c>
    </row>
    <row r="20" spans="1:12" s="49" customFormat="1" ht="50" customHeight="1" x14ac:dyDescent="0.2">
      <c r="A20" s="87" t="s">
        <v>74</v>
      </c>
      <c r="B20" s="88" t="s">
        <v>1053</v>
      </c>
      <c r="C20" s="52" t="str">
        <f t="shared" si="3"/>
        <v>No</v>
      </c>
      <c r="D20" s="52" t="s">
        <v>1054</v>
      </c>
      <c r="E20" s="52" t="s">
        <v>1055</v>
      </c>
      <c r="F20" s="52" t="str">
        <f t="shared" si="2"/>
        <v>No</v>
      </c>
      <c r="G20" s="52" t="s">
        <v>12</v>
      </c>
      <c r="I20" s="52" t="s">
        <v>217</v>
      </c>
      <c r="J20" s="52" t="s">
        <v>214</v>
      </c>
      <c r="K20" s="52" t="s">
        <v>218</v>
      </c>
      <c r="L20" s="52" t="s">
        <v>4</v>
      </c>
    </row>
    <row r="21" spans="1:12" s="49" customFormat="1" ht="50" customHeight="1" x14ac:dyDescent="0.2">
      <c r="A21" s="87" t="s">
        <v>74</v>
      </c>
      <c r="B21" s="88" t="s">
        <v>1056</v>
      </c>
      <c r="C21" s="52" t="str">
        <f t="shared" si="3"/>
        <v>No</v>
      </c>
      <c r="D21" s="52" t="s">
        <v>1057</v>
      </c>
      <c r="E21" s="52" t="s">
        <v>1058</v>
      </c>
      <c r="F21" s="52" t="str">
        <f t="shared" si="2"/>
        <v>No</v>
      </c>
      <c r="G21" s="52" t="s">
        <v>12</v>
      </c>
      <c r="I21" s="52" t="s">
        <v>230</v>
      </c>
      <c r="J21" s="52" t="s">
        <v>31</v>
      </c>
      <c r="K21" s="52" t="s">
        <v>218</v>
      </c>
      <c r="L21" s="52" t="s">
        <v>4</v>
      </c>
    </row>
    <row r="22" spans="1:12" s="49" customFormat="1" ht="95" customHeight="1" x14ac:dyDescent="0.2">
      <c r="A22" s="87" t="s">
        <v>74</v>
      </c>
      <c r="B22" s="88" t="s">
        <v>1059</v>
      </c>
      <c r="C22" s="52" t="str">
        <f t="shared" si="3"/>
        <v>No</v>
      </c>
      <c r="D22" s="52" t="s">
        <v>1060</v>
      </c>
      <c r="E22" s="52" t="s">
        <v>1061</v>
      </c>
      <c r="F22" s="52" t="str">
        <f t="shared" si="2"/>
        <v>No</v>
      </c>
      <c r="G22" s="52" t="s">
        <v>12</v>
      </c>
      <c r="I22" s="52" t="s">
        <v>230</v>
      </c>
      <c r="J22" s="52" t="s">
        <v>31</v>
      </c>
      <c r="K22" s="52" t="s">
        <v>218</v>
      </c>
      <c r="L22" s="52" t="s">
        <v>4</v>
      </c>
    </row>
    <row r="23" spans="1:12" s="49" customFormat="1" ht="50" customHeight="1" x14ac:dyDescent="0.2">
      <c r="A23" s="87" t="s">
        <v>74</v>
      </c>
      <c r="B23" s="88" t="s">
        <v>1062</v>
      </c>
      <c r="C23" s="52" t="str">
        <f t="shared" si="3"/>
        <v>No</v>
      </c>
      <c r="D23" s="52" t="s">
        <v>1063</v>
      </c>
      <c r="E23" s="52" t="s">
        <v>1064</v>
      </c>
      <c r="F23" s="52" t="str">
        <f t="shared" si="2"/>
        <v>No</v>
      </c>
      <c r="G23" s="52" t="s">
        <v>12</v>
      </c>
      <c r="I23" s="52" t="s">
        <v>217</v>
      </c>
      <c r="J23" s="52" t="s">
        <v>214</v>
      </c>
      <c r="K23" s="52" t="s">
        <v>218</v>
      </c>
      <c r="L23" s="52" t="s">
        <v>4</v>
      </c>
    </row>
    <row r="24" spans="1:12" s="49" customFormat="1" ht="50" customHeight="1" x14ac:dyDescent="0.2">
      <c r="A24" s="87" t="s">
        <v>74</v>
      </c>
      <c r="B24" s="88" t="s">
        <v>1065</v>
      </c>
      <c r="C24" s="52" t="str">
        <f t="shared" si="3"/>
        <v>No</v>
      </c>
      <c r="D24" s="52" t="s">
        <v>1066</v>
      </c>
      <c r="E24" s="52" t="s">
        <v>1067</v>
      </c>
      <c r="F24" s="52" t="str">
        <f t="shared" si="2"/>
        <v>No</v>
      </c>
      <c r="G24" s="52" t="s">
        <v>12</v>
      </c>
      <c r="I24" s="52" t="s">
        <v>230</v>
      </c>
      <c r="J24" s="52" t="s">
        <v>31</v>
      </c>
      <c r="K24" s="52" t="s">
        <v>218</v>
      </c>
      <c r="L24" s="52" t="s">
        <v>4</v>
      </c>
    </row>
    <row r="25" spans="1:12" s="49" customFormat="1" ht="65" customHeight="1" x14ac:dyDescent="0.2">
      <c r="A25" s="85" t="s">
        <v>75</v>
      </c>
      <c r="B25" s="86" t="s">
        <v>1068</v>
      </c>
      <c r="C25" s="52" t="str">
        <f>IF(PARAMETER_STOREInUse="Yes","Yes","No")</f>
        <v>No</v>
      </c>
      <c r="D25" s="52" t="s">
        <v>1069</v>
      </c>
      <c r="E25" s="52" t="s">
        <v>1070</v>
      </c>
      <c r="F25" s="52" t="str">
        <f t="shared" si="2"/>
        <v>No</v>
      </c>
      <c r="G25" s="52" t="s">
        <v>12</v>
      </c>
      <c r="I25" s="52" t="s">
        <v>217</v>
      </c>
      <c r="J25" s="52" t="s">
        <v>214</v>
      </c>
      <c r="K25" s="52" t="s">
        <v>218</v>
      </c>
      <c r="L25" s="52" t="s">
        <v>4</v>
      </c>
    </row>
    <row r="26" spans="1:12" s="49" customFormat="1" ht="50" customHeight="1" x14ac:dyDescent="0.2">
      <c r="A26" s="85" t="s">
        <v>75</v>
      </c>
      <c r="B26" s="86" t="s">
        <v>1071</v>
      </c>
      <c r="C26" s="52" t="str">
        <f>IF(PARAMETER_STOREInUse="Yes","Yes","No")</f>
        <v>No</v>
      </c>
      <c r="D26" s="52" t="s">
        <v>1072</v>
      </c>
      <c r="E26" s="52" t="s">
        <v>1073</v>
      </c>
      <c r="F26" s="52" t="str">
        <f t="shared" si="2"/>
        <v>No</v>
      </c>
      <c r="G26" s="52" t="s">
        <v>12</v>
      </c>
      <c r="I26" s="52" t="s">
        <v>217</v>
      </c>
      <c r="J26" s="52" t="s">
        <v>214</v>
      </c>
      <c r="K26" s="52" t="s">
        <v>218</v>
      </c>
      <c r="L26" s="52" t="s">
        <v>4</v>
      </c>
    </row>
    <row r="27" spans="1:12" s="49" customFormat="1" ht="80" customHeight="1" x14ac:dyDescent="0.2">
      <c r="A27" s="87" t="s">
        <v>76</v>
      </c>
      <c r="B27" s="88" t="s">
        <v>1074</v>
      </c>
      <c r="C27" s="52" t="str">
        <f>IF(AWS_ORGANIZATIONSInUse="Yes","Yes","No")</f>
        <v>No</v>
      </c>
      <c r="D27" s="52" t="s">
        <v>1075</v>
      </c>
      <c r="E27" s="52" t="s">
        <v>1076</v>
      </c>
      <c r="F27" s="52" t="str">
        <f t="shared" si="2"/>
        <v>No</v>
      </c>
      <c r="G27" s="52" t="s">
        <v>12</v>
      </c>
      <c r="I27" s="52" t="s">
        <v>217</v>
      </c>
      <c r="J27" s="52" t="s">
        <v>214</v>
      </c>
      <c r="K27" s="52" t="s">
        <v>218</v>
      </c>
      <c r="L27" s="52" t="s">
        <v>4</v>
      </c>
    </row>
    <row r="28" spans="1:12" s="49" customFormat="1" ht="80" customHeight="1" x14ac:dyDescent="0.2">
      <c r="A28" s="87" t="s">
        <v>76</v>
      </c>
      <c r="B28" s="88" t="s">
        <v>1077</v>
      </c>
      <c r="C28" s="52" t="str">
        <f>IF(AWS_ORGANIZATIONSInUse="Yes","Yes","No")</f>
        <v>No</v>
      </c>
      <c r="D28" s="52" t="s">
        <v>1078</v>
      </c>
      <c r="E28" s="52" t="s">
        <v>1079</v>
      </c>
      <c r="F28" s="52" t="str">
        <f t="shared" si="2"/>
        <v>No</v>
      </c>
      <c r="G28" s="52" t="s">
        <v>12</v>
      </c>
      <c r="I28" s="52" t="s">
        <v>217</v>
      </c>
      <c r="J28" s="52" t="s">
        <v>214</v>
      </c>
      <c r="K28" s="52" t="s">
        <v>218</v>
      </c>
      <c r="L28" s="52" t="s">
        <v>4</v>
      </c>
    </row>
    <row r="29" spans="1:12" s="49" customFormat="1" ht="50" customHeight="1" x14ac:dyDescent="0.2">
      <c r="A29" s="87" t="s">
        <v>76</v>
      </c>
      <c r="B29" s="88" t="s">
        <v>1080</v>
      </c>
      <c r="C29" s="52" t="str">
        <f>IF(AWS_ORGANIZATIONSInUse="Yes","Yes","No")</f>
        <v>No</v>
      </c>
      <c r="D29" s="52" t="s">
        <v>1081</v>
      </c>
      <c r="E29" s="52" t="s">
        <v>1082</v>
      </c>
      <c r="F29" s="52" t="str">
        <f t="shared" si="2"/>
        <v>No</v>
      </c>
      <c r="G29" s="52" t="s">
        <v>12</v>
      </c>
      <c r="I29" s="52" t="s">
        <v>217</v>
      </c>
      <c r="J29" s="52" t="s">
        <v>214</v>
      </c>
      <c r="K29" s="52" t="s">
        <v>218</v>
      </c>
      <c r="L29" s="52" t="s">
        <v>4</v>
      </c>
    </row>
    <row r="30" spans="1:12" s="49" customFormat="1" ht="50" customHeight="1" x14ac:dyDescent="0.2">
      <c r="A30" s="87" t="s">
        <v>76</v>
      </c>
      <c r="B30" s="88" t="s">
        <v>1083</v>
      </c>
      <c r="C30" s="52" t="str">
        <f>IF(AWS_ORGANIZATIONSInUse="Yes","Yes","No")</f>
        <v>No</v>
      </c>
      <c r="D30" s="52" t="s">
        <v>1084</v>
      </c>
      <c r="E30" s="52" t="s">
        <v>1085</v>
      </c>
      <c r="F30" s="52" t="str">
        <f t="shared" si="2"/>
        <v>No</v>
      </c>
      <c r="G30" s="52" t="s">
        <v>12</v>
      </c>
      <c r="I30" s="52" t="s">
        <v>217</v>
      </c>
      <c r="J30" s="52" t="s">
        <v>214</v>
      </c>
      <c r="K30" s="52" t="s">
        <v>218</v>
      </c>
      <c r="L30" s="52" t="s">
        <v>4</v>
      </c>
    </row>
    <row r="31" spans="1:12" s="49" customFormat="1" ht="50" customHeight="1" x14ac:dyDescent="0.2">
      <c r="A31" s="85" t="s">
        <v>77</v>
      </c>
      <c r="B31" s="86" t="s">
        <v>1086</v>
      </c>
      <c r="C31" s="52" t="str">
        <f>IF(AWS_SECURITY_TOKEN_SERVICEInUse="Yes","Yes","No")</f>
        <v>No</v>
      </c>
      <c r="D31" s="52" t="s">
        <v>1087</v>
      </c>
      <c r="E31" s="52" t="s">
        <v>1088</v>
      </c>
      <c r="F31" s="52" t="str">
        <f t="shared" si="2"/>
        <v>No</v>
      </c>
      <c r="G31" s="52" t="s">
        <v>12</v>
      </c>
      <c r="I31" s="52" t="s">
        <v>217</v>
      </c>
      <c r="J31" s="52" t="s">
        <v>214</v>
      </c>
      <c r="K31" s="52" t="s">
        <v>218</v>
      </c>
      <c r="L31" s="52" t="s">
        <v>4</v>
      </c>
    </row>
    <row r="32" spans="1:12" s="49" customFormat="1" ht="50" customHeight="1" x14ac:dyDescent="0.2">
      <c r="A32" s="87" t="s">
        <v>78</v>
      </c>
      <c r="B32" s="88" t="s">
        <v>1089</v>
      </c>
      <c r="C32" s="52" t="str">
        <f>IF(AWS_RESOURCE_ACCESS_MANAGERInUse="Yes","Yes","No")</f>
        <v>No</v>
      </c>
      <c r="D32" s="52" t="s">
        <v>1090</v>
      </c>
      <c r="E32" s="52" t="s">
        <v>1091</v>
      </c>
      <c r="F32" s="52" t="str">
        <f t="shared" si="2"/>
        <v>No</v>
      </c>
      <c r="G32" s="52" t="s">
        <v>12</v>
      </c>
      <c r="I32" s="52" t="s">
        <v>230</v>
      </c>
      <c r="J32" s="52" t="s">
        <v>31</v>
      </c>
      <c r="K32" s="52" t="s">
        <v>218</v>
      </c>
      <c r="L32" s="52" t="s">
        <v>4</v>
      </c>
    </row>
  </sheetData>
  <autoFilter ref="A1:L1" xr:uid="{00000000-0009-0000-0000-00000C000000}"/>
  <dataValidations count="2">
    <dataValidation type="list" sqref="G2:G32" xr:uid="{00000000-0002-0000-0C00-000000000000}">
      <formula1>"-,Yes,No; explanation in comments"</formula1>
    </dataValidation>
    <dataValidation type="list" sqref="K2:K32" xr:uid="{00000000-0002-0000-0C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C00-000001000000}">
            <xm:f>NOT(ISERROR(SEARCH("Yes",F2)))</xm:f>
            <x14:dxf>
              <font>
                <color rgb="FF9C6500"/>
              </font>
              <fill>
                <patternFill patternType="solid">
                  <bgColor rgb="FFFFEB9C"/>
                </patternFill>
              </fill>
            </x14:dxf>
          </x14:cfRule>
          <xm:sqref>F2:F32</xm:sqref>
        </x14:conditionalFormatting>
        <x14:conditionalFormatting xmlns:xm="http://schemas.microsoft.com/office/excel/2006/main">
          <x14:cfRule type="containsText" priority="2" operator="containsText" id="{00000000-000E-0000-0C00-000002000000}">
            <xm:f>NOT(ISERROR(SEARCH("Yes",G2)))</xm:f>
            <x14:dxf>
              <font>
                <color rgb="FF006100"/>
              </font>
              <fill>
                <patternFill patternType="solid">
                  <bgColor rgb="FFC6EFCE"/>
                </patternFill>
              </fill>
            </x14:dxf>
          </x14:cfRule>
          <x14:cfRule type="containsText" priority="2" operator="containsText" id="{00000000-000E-0000-0C00-000002000000}">
            <xm:f>NOT(ISERROR(SEARCH("No; explanation in comments",G2)))</xm:f>
            <x14:dxf>
              <font>
                <color rgb="FF9C0006"/>
              </font>
              <fill>
                <patternFill patternType="solid">
                  <bgColor rgb="FFFFC7CE"/>
                </patternFill>
              </fill>
            </x14:dxf>
          </x14:cfRule>
          <xm:sqref>G2:G32</xm:sqref>
        </x14:conditionalFormatting>
        <x14:conditionalFormatting xmlns:xm="http://schemas.microsoft.com/office/excel/2006/main">
          <x14:cfRule type="containsText" priority="3" operator="containsText" id="{00000000-000E-0000-0C00-000003000000}">
            <xm:f>NOT(ISERROR(SEARCH("Yes",J2)))</xm:f>
            <x14:dxf>
              <font>
                <b/>
                <i/>
                <color rgb="FF403151"/>
              </font>
              <fill>
                <patternFill patternType="solid">
                  <bgColor rgb="FFCCC0DA"/>
                </patternFill>
              </fill>
            </x14:dxf>
          </x14:cfRule>
          <xm:sqref>J2:J32</xm:sqref>
        </x14:conditionalFormatting>
        <x14:conditionalFormatting xmlns:xm="http://schemas.microsoft.com/office/excel/2006/main">
          <x14:cfRule type="containsText" priority="4" operator="containsText" id="{00000000-000E-0000-0C00-000004000000}">
            <xm:f>NOT(ISERROR(SEARCH("Mitigated",K2)))</xm:f>
            <x14:dxf>
              <font>
                <color rgb="FF006100"/>
              </font>
              <fill>
                <patternFill patternType="solid">
                  <bgColor rgb="FFC6EFCE"/>
                </patternFill>
              </fill>
            </x14:dxf>
          </x14:cfRule>
          <x14:cfRule type="containsText" priority="4" operator="containsText" id="{00000000-000E-0000-0C00-000004000000}">
            <xm:f>NOT(ISERROR(SEARCH("Not Mitigated",K2)))</xm:f>
            <x14:dxf>
              <font>
                <color rgb="FF9C0006"/>
              </font>
              <fill>
                <patternFill patternType="solid">
                  <bgColor rgb="FFFFC7CE"/>
                </patternFill>
              </fill>
            </x14:dxf>
          </x14:cfRule>
          <xm:sqref>K2:K32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3"/>
  <sheetViews>
    <sheetView workbookViewId="0">
      <pane ySplit="1" topLeftCell="A6" activePane="bottomLeft" state="frozen"/>
      <selection pane="bottomLeft" activeCell="L11" sqref="L11"/>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20" customHeight="1" x14ac:dyDescent="0.2">
      <c r="A2" s="57" t="s">
        <v>81</v>
      </c>
      <c r="B2" s="58" t="s">
        <v>1092</v>
      </c>
      <c r="C2" s="52" t="str">
        <f>IF(APPSYNCInUse="Yes","Yes","No")</f>
        <v>No</v>
      </c>
      <c r="D2" s="52" t="s">
        <v>1093</v>
      </c>
      <c r="E2" s="52" t="s">
        <v>1094</v>
      </c>
      <c r="F2" s="52" t="str">
        <f t="shared" ref="F2:F13" si="0">IF(AND(C2="Yes",G2="-"), "Yes", "No")</f>
        <v>No</v>
      </c>
      <c r="G2" s="52" t="s">
        <v>12</v>
      </c>
      <c r="I2" s="52" t="s">
        <v>230</v>
      </c>
      <c r="J2" s="52" t="s">
        <v>31</v>
      </c>
      <c r="K2" s="52" t="s">
        <v>218</v>
      </c>
      <c r="L2" s="52" t="s">
        <v>4</v>
      </c>
      <c r="T2" s="52" t="s">
        <v>6</v>
      </c>
      <c r="U2" s="52">
        <f>COUNTIFS(C2:C13,"Yes")</f>
        <v>8</v>
      </c>
    </row>
    <row r="3" spans="1:21" s="49" customFormat="1" ht="50" customHeight="1" x14ac:dyDescent="0.2">
      <c r="A3" s="57" t="s">
        <v>81</v>
      </c>
      <c r="B3" s="58" t="s">
        <v>1095</v>
      </c>
      <c r="C3" s="52" t="str">
        <f>IF(APPSYNCInUse="Yes","Yes","No")</f>
        <v>No</v>
      </c>
      <c r="D3" s="52" t="s">
        <v>1096</v>
      </c>
      <c r="E3" s="52" t="s">
        <v>1097</v>
      </c>
      <c r="F3" s="52" t="str">
        <f t="shared" si="0"/>
        <v>No</v>
      </c>
      <c r="G3" s="52" t="s">
        <v>12</v>
      </c>
      <c r="I3" s="52" t="s">
        <v>217</v>
      </c>
      <c r="J3" s="52" t="s">
        <v>214</v>
      </c>
      <c r="K3" s="52" t="s">
        <v>218</v>
      </c>
      <c r="L3" s="52" t="s">
        <v>4</v>
      </c>
      <c r="T3" s="52" t="s">
        <v>33</v>
      </c>
      <c r="U3" s="52">
        <f>COUNTIF(G2:G13, "&lt;&gt;-")</f>
        <v>8</v>
      </c>
    </row>
    <row r="4" spans="1:21" s="49" customFormat="1" ht="35" customHeight="1" x14ac:dyDescent="0.2">
      <c r="A4" s="59" t="s">
        <v>85</v>
      </c>
      <c r="B4" s="60" t="s">
        <v>1098</v>
      </c>
      <c r="C4" s="52" t="str">
        <f t="shared" ref="C4:C11" si="1">IF(LAMBDAInUse="Yes","Yes","No")</f>
        <v>Yes</v>
      </c>
      <c r="D4" s="52" t="s">
        <v>1099</v>
      </c>
      <c r="E4" s="52" t="s">
        <v>1100</v>
      </c>
      <c r="F4" s="52" t="s">
        <v>31</v>
      </c>
      <c r="G4" s="52" t="s">
        <v>1437</v>
      </c>
      <c r="H4" s="49" t="s">
        <v>1456</v>
      </c>
      <c r="I4" s="52" t="s">
        <v>230</v>
      </c>
      <c r="J4" s="52" t="s">
        <v>31</v>
      </c>
      <c r="K4" s="52" t="s">
        <v>218</v>
      </c>
      <c r="L4" s="52" t="s">
        <v>4</v>
      </c>
      <c r="T4" s="52" t="s">
        <v>225</v>
      </c>
      <c r="U4" s="52">
        <f>COUNTIF(G2:G13, "No; explanation in comments")</f>
        <v>2</v>
      </c>
    </row>
    <row r="5" spans="1:21" s="49" customFormat="1" ht="35" customHeight="1" x14ac:dyDescent="0.2">
      <c r="A5" s="59" t="s">
        <v>85</v>
      </c>
      <c r="B5" s="60" t="s">
        <v>1101</v>
      </c>
      <c r="C5" s="52" t="str">
        <f t="shared" si="1"/>
        <v>Yes</v>
      </c>
      <c r="D5" s="52" t="s">
        <v>1102</v>
      </c>
      <c r="E5" s="52" t="s">
        <v>1103</v>
      </c>
      <c r="F5" s="52" t="s">
        <v>31</v>
      </c>
      <c r="G5" s="52" t="s">
        <v>1437</v>
      </c>
      <c r="H5" s="49" t="s">
        <v>1457</v>
      </c>
      <c r="I5" s="52" t="s">
        <v>217</v>
      </c>
      <c r="J5" s="52" t="s">
        <v>214</v>
      </c>
      <c r="K5" s="52" t="s">
        <v>7</v>
      </c>
      <c r="L5" s="52" t="s">
        <v>4</v>
      </c>
      <c r="T5" s="52" t="s">
        <v>7</v>
      </c>
      <c r="U5" s="52">
        <f>COUNTIF(K2:K13, "Mitigated")</f>
        <v>7</v>
      </c>
    </row>
    <row r="6" spans="1:21" s="49" customFormat="1" ht="35" customHeight="1" x14ac:dyDescent="0.2">
      <c r="A6" s="59" t="s">
        <v>85</v>
      </c>
      <c r="B6" s="60" t="s">
        <v>1104</v>
      </c>
      <c r="C6" s="52" t="str">
        <f t="shared" si="1"/>
        <v>Yes</v>
      </c>
      <c r="D6" s="52" t="s">
        <v>1105</v>
      </c>
      <c r="E6" s="52" t="s">
        <v>339</v>
      </c>
      <c r="F6" s="52" t="s">
        <v>31</v>
      </c>
      <c r="G6" s="52" t="s">
        <v>214</v>
      </c>
      <c r="I6" s="52" t="s">
        <v>217</v>
      </c>
      <c r="J6" s="52" t="s">
        <v>214</v>
      </c>
      <c r="K6" s="52" t="s">
        <v>7</v>
      </c>
      <c r="L6" s="52" t="s">
        <v>4</v>
      </c>
      <c r="T6" s="52" t="s">
        <v>8</v>
      </c>
      <c r="U6" s="52">
        <f>COUNTIF(K2:K13, "Not Mitigated")</f>
        <v>0</v>
      </c>
    </row>
    <row r="7" spans="1:21" s="49" customFormat="1" ht="35" customHeight="1" x14ac:dyDescent="0.2">
      <c r="A7" s="59" t="s">
        <v>85</v>
      </c>
      <c r="B7" s="60" t="s">
        <v>1106</v>
      </c>
      <c r="C7" s="52" t="str">
        <f t="shared" si="1"/>
        <v>Yes</v>
      </c>
      <c r="D7" s="52" t="s">
        <v>1107</v>
      </c>
      <c r="E7" s="52" t="s">
        <v>1108</v>
      </c>
      <c r="F7" s="52" t="s">
        <v>31</v>
      </c>
      <c r="G7" s="52" t="s">
        <v>214</v>
      </c>
      <c r="I7" s="52" t="s">
        <v>217</v>
      </c>
      <c r="J7" s="52" t="s">
        <v>214</v>
      </c>
      <c r="K7" s="52" t="s">
        <v>7</v>
      </c>
      <c r="L7" s="52" t="s">
        <v>4</v>
      </c>
    </row>
    <row r="8" spans="1:21" s="49" customFormat="1" ht="35" customHeight="1" x14ac:dyDescent="0.2">
      <c r="A8" s="59" t="s">
        <v>85</v>
      </c>
      <c r="B8" s="60" t="s">
        <v>1109</v>
      </c>
      <c r="C8" s="52" t="str">
        <f t="shared" si="1"/>
        <v>Yes</v>
      </c>
      <c r="D8" s="52" t="s">
        <v>1110</v>
      </c>
      <c r="E8" s="52" t="s">
        <v>1111</v>
      </c>
      <c r="F8" s="52" t="s">
        <v>31</v>
      </c>
      <c r="G8" s="52" t="s">
        <v>214</v>
      </c>
      <c r="I8" s="52" t="s">
        <v>230</v>
      </c>
      <c r="J8" s="52" t="s">
        <v>31</v>
      </c>
      <c r="K8" s="52" t="s">
        <v>7</v>
      </c>
      <c r="L8" s="52" t="s">
        <v>4</v>
      </c>
    </row>
    <row r="9" spans="1:21" s="49" customFormat="1" ht="50" customHeight="1" x14ac:dyDescent="0.2">
      <c r="A9" s="59" t="s">
        <v>85</v>
      </c>
      <c r="B9" s="60" t="s">
        <v>1112</v>
      </c>
      <c r="C9" s="52" t="str">
        <f t="shared" si="1"/>
        <v>Yes</v>
      </c>
      <c r="D9" s="52" t="s">
        <v>1113</v>
      </c>
      <c r="E9" s="52" t="s">
        <v>1114</v>
      </c>
      <c r="F9" s="52" t="s">
        <v>31</v>
      </c>
      <c r="G9" s="52" t="s">
        <v>214</v>
      </c>
      <c r="I9" s="52" t="s">
        <v>217</v>
      </c>
      <c r="J9" s="52" t="s">
        <v>214</v>
      </c>
      <c r="K9" s="52" t="s">
        <v>7</v>
      </c>
      <c r="L9" s="52" t="s">
        <v>4</v>
      </c>
    </row>
    <row r="10" spans="1:21" s="49" customFormat="1" ht="50" customHeight="1" x14ac:dyDescent="0.2">
      <c r="A10" s="59" t="s">
        <v>85</v>
      </c>
      <c r="B10" s="60" t="s">
        <v>1115</v>
      </c>
      <c r="C10" s="52" t="str">
        <f t="shared" si="1"/>
        <v>Yes</v>
      </c>
      <c r="D10" s="52" t="s">
        <v>1116</v>
      </c>
      <c r="E10" s="52" t="s">
        <v>1117</v>
      </c>
      <c r="F10" s="52" t="s">
        <v>31</v>
      </c>
      <c r="G10" s="52" t="s">
        <v>214</v>
      </c>
      <c r="I10" s="52" t="s">
        <v>217</v>
      </c>
      <c r="J10" s="52" t="s">
        <v>214</v>
      </c>
      <c r="K10" s="52" t="s">
        <v>7</v>
      </c>
      <c r="L10" s="52" t="s">
        <v>4</v>
      </c>
    </row>
    <row r="11" spans="1:21" s="49" customFormat="1" ht="50" customHeight="1" x14ac:dyDescent="0.2">
      <c r="A11" s="59" t="s">
        <v>85</v>
      </c>
      <c r="B11" s="60" t="s">
        <v>1118</v>
      </c>
      <c r="C11" s="52" t="str">
        <f t="shared" si="1"/>
        <v>Yes</v>
      </c>
      <c r="D11" s="52" t="s">
        <v>1119</v>
      </c>
      <c r="E11" s="52" t="s">
        <v>1120</v>
      </c>
      <c r="F11" s="52" t="s">
        <v>31</v>
      </c>
      <c r="G11" s="52" t="s">
        <v>214</v>
      </c>
      <c r="I11" s="52" t="s">
        <v>217</v>
      </c>
      <c r="J11" s="52" t="s">
        <v>214</v>
      </c>
      <c r="K11" s="52" t="s">
        <v>7</v>
      </c>
      <c r="L11" s="52" t="s">
        <v>4</v>
      </c>
    </row>
    <row r="12" spans="1:21" s="49" customFormat="1" ht="35" customHeight="1" x14ac:dyDescent="0.2">
      <c r="A12" s="57" t="s">
        <v>89</v>
      </c>
      <c r="B12" s="58" t="s">
        <v>1121</v>
      </c>
      <c r="C12" s="52" t="str">
        <f>IF(STEP_FUNCTIONSInUse="Yes","Yes","No")</f>
        <v>No</v>
      </c>
      <c r="D12" s="52" t="s">
        <v>1122</v>
      </c>
      <c r="E12" s="52" t="s">
        <v>1123</v>
      </c>
      <c r="F12" s="52" t="str">
        <f t="shared" si="0"/>
        <v>No</v>
      </c>
      <c r="G12" s="52" t="s">
        <v>12</v>
      </c>
      <c r="I12" s="52" t="s">
        <v>217</v>
      </c>
      <c r="J12" s="52" t="s">
        <v>214</v>
      </c>
      <c r="K12" s="52" t="s">
        <v>218</v>
      </c>
      <c r="L12" s="52" t="s">
        <v>4</v>
      </c>
    </row>
    <row r="13" spans="1:21" s="49" customFormat="1" ht="50" customHeight="1" x14ac:dyDescent="0.2">
      <c r="A13" s="57" t="s">
        <v>89</v>
      </c>
      <c r="B13" s="58" t="s">
        <v>1124</v>
      </c>
      <c r="C13" s="52" t="str">
        <f>IF(STEP_FUNCTIONSInUse="Yes","Yes","No")</f>
        <v>No</v>
      </c>
      <c r="D13" s="52" t="s">
        <v>1125</v>
      </c>
      <c r="E13" s="52" t="s">
        <v>1126</v>
      </c>
      <c r="F13" s="52" t="str">
        <f t="shared" si="0"/>
        <v>No</v>
      </c>
      <c r="G13" s="52" t="s">
        <v>12</v>
      </c>
      <c r="I13" s="52" t="s">
        <v>230</v>
      </c>
      <c r="J13" s="52" t="s">
        <v>31</v>
      </c>
      <c r="K13" s="52" t="s">
        <v>218</v>
      </c>
      <c r="L13" s="52" t="s">
        <v>4</v>
      </c>
    </row>
  </sheetData>
  <autoFilter ref="A1:L1" xr:uid="{00000000-0009-0000-0000-00000D000000}"/>
  <dataValidations count="2">
    <dataValidation type="list" sqref="G2:G13" xr:uid="{00000000-0002-0000-0D00-000000000000}">
      <formula1>"-,Yes,No; explanation in comments"</formula1>
    </dataValidation>
    <dataValidation type="list" sqref="K2:K13" xr:uid="{00000000-0002-0000-0D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D00-000001000000}">
            <xm:f>NOT(ISERROR(SEARCH("Yes",F2)))</xm:f>
            <x14:dxf>
              <font>
                <color rgb="FF9C6500"/>
              </font>
              <fill>
                <patternFill patternType="solid">
                  <bgColor rgb="FFFFEB9C"/>
                </patternFill>
              </fill>
            </x14:dxf>
          </x14:cfRule>
          <xm:sqref>F2:F13</xm:sqref>
        </x14:conditionalFormatting>
        <x14:conditionalFormatting xmlns:xm="http://schemas.microsoft.com/office/excel/2006/main">
          <x14:cfRule type="containsText" priority="2" operator="containsText" id="{00000000-000E-0000-0D00-000002000000}">
            <xm:f>NOT(ISERROR(SEARCH("Yes",G2)))</xm:f>
            <x14:dxf>
              <font>
                <color rgb="FF006100"/>
              </font>
              <fill>
                <patternFill patternType="solid">
                  <bgColor rgb="FFC6EFCE"/>
                </patternFill>
              </fill>
            </x14:dxf>
          </x14:cfRule>
          <x14:cfRule type="containsText" priority="2" operator="containsText" id="{00000000-000E-0000-0D00-000002000000}">
            <xm:f>NOT(ISERROR(SEARCH("No; explanation in comments",G2)))</xm:f>
            <x14:dxf>
              <font>
                <color rgb="FF9C0006"/>
              </font>
              <fill>
                <patternFill patternType="solid">
                  <bgColor rgb="FFFFC7CE"/>
                </patternFill>
              </fill>
            </x14:dxf>
          </x14:cfRule>
          <xm:sqref>G2:G13</xm:sqref>
        </x14:conditionalFormatting>
        <x14:conditionalFormatting xmlns:xm="http://schemas.microsoft.com/office/excel/2006/main">
          <x14:cfRule type="containsText" priority="3" operator="containsText" id="{00000000-000E-0000-0D00-000003000000}">
            <xm:f>NOT(ISERROR(SEARCH("Yes",J2)))</xm:f>
            <x14:dxf>
              <font>
                <b/>
                <i/>
                <color rgb="FF403151"/>
              </font>
              <fill>
                <patternFill patternType="solid">
                  <bgColor rgb="FFCCC0DA"/>
                </patternFill>
              </fill>
            </x14:dxf>
          </x14:cfRule>
          <xm:sqref>J2:J13</xm:sqref>
        </x14:conditionalFormatting>
        <x14:conditionalFormatting xmlns:xm="http://schemas.microsoft.com/office/excel/2006/main">
          <x14:cfRule type="containsText" priority="4" operator="containsText" id="{00000000-000E-0000-0D00-000004000000}">
            <xm:f>NOT(ISERROR(SEARCH("Mitigated",K2)))</xm:f>
            <x14:dxf>
              <font>
                <color rgb="FF006100"/>
              </font>
              <fill>
                <patternFill patternType="solid">
                  <bgColor rgb="FFC6EFCE"/>
                </patternFill>
              </fill>
            </x14:dxf>
          </x14:cfRule>
          <x14:cfRule type="containsText" priority="4" operator="containsText" id="{00000000-000E-0000-0D00-000004000000}">
            <xm:f>NOT(ISERROR(SEARCH("Not Mitigated",K2)))</xm:f>
            <x14:dxf>
              <font>
                <color rgb="FF9C0006"/>
              </font>
              <fill>
                <patternFill patternType="solid">
                  <bgColor rgb="FFFFC7CE"/>
                </patternFill>
              </fill>
            </x14:dxf>
          </x14:cfRule>
          <xm:sqref>K2:K13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10"/>
  <sheetViews>
    <sheetView workbookViewId="0">
      <pane ySplit="1" topLeftCell="A2" activePane="bottomLeft" state="frozen"/>
      <selection pane="bottomLeft"/>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35" customHeight="1" x14ac:dyDescent="0.2">
      <c r="A2" s="73" t="s">
        <v>38</v>
      </c>
      <c r="B2" s="74" t="s">
        <v>1127</v>
      </c>
      <c r="C2" s="52" t="str">
        <f>IF(EVENT_BRIDGEInUse="Yes","Yes","No")</f>
        <v>No</v>
      </c>
      <c r="D2" s="52" t="s">
        <v>1128</v>
      </c>
      <c r="E2" s="52" t="s">
        <v>1129</v>
      </c>
      <c r="F2" s="52" t="str">
        <f t="shared" ref="F2:F10" si="0">IF(AND(C2="Yes",G2="-"), "Yes", "No")</f>
        <v>No</v>
      </c>
      <c r="G2" s="52" t="s">
        <v>12</v>
      </c>
      <c r="I2" s="52" t="s">
        <v>217</v>
      </c>
      <c r="J2" s="52" t="s">
        <v>214</v>
      </c>
      <c r="K2" s="52" t="s">
        <v>218</v>
      </c>
      <c r="L2" s="52" t="s">
        <v>4</v>
      </c>
      <c r="T2" s="52" t="s">
        <v>6</v>
      </c>
      <c r="U2" s="52">
        <f>COUNTIFS(C2:C10,"Yes")</f>
        <v>0</v>
      </c>
    </row>
    <row r="3" spans="1:21" s="49" customFormat="1" ht="35" customHeight="1" x14ac:dyDescent="0.2">
      <c r="A3" s="73" t="s">
        <v>38</v>
      </c>
      <c r="B3" s="74" t="s">
        <v>1130</v>
      </c>
      <c r="C3" s="52" t="str">
        <f>IF(EVENT_BRIDGEInUse="Yes","Yes","No")</f>
        <v>No</v>
      </c>
      <c r="D3" s="52" t="s">
        <v>1131</v>
      </c>
      <c r="E3" s="52" t="s">
        <v>1132</v>
      </c>
      <c r="F3" s="52" t="str">
        <f t="shared" si="0"/>
        <v>No</v>
      </c>
      <c r="G3" s="52" t="s">
        <v>12</v>
      </c>
      <c r="I3" s="52" t="s">
        <v>217</v>
      </c>
      <c r="J3" s="52" t="s">
        <v>214</v>
      </c>
      <c r="K3" s="52" t="s">
        <v>218</v>
      </c>
      <c r="L3" s="52" t="s">
        <v>4</v>
      </c>
      <c r="T3" s="52" t="s">
        <v>33</v>
      </c>
      <c r="U3" s="52">
        <f>COUNTIF(G2:G10, "&lt;&gt;-")</f>
        <v>0</v>
      </c>
    </row>
    <row r="4" spans="1:21" s="49" customFormat="1" ht="35" customHeight="1" x14ac:dyDescent="0.2">
      <c r="A4" s="89" t="s">
        <v>43</v>
      </c>
      <c r="B4" s="90" t="s">
        <v>1133</v>
      </c>
      <c r="C4" s="52" t="str">
        <f>IF(SNSInUse="Yes","Yes","No")</f>
        <v>No</v>
      </c>
      <c r="D4" s="52" t="s">
        <v>1134</v>
      </c>
      <c r="E4" s="52" t="s">
        <v>1135</v>
      </c>
      <c r="F4" s="52" t="str">
        <f t="shared" si="0"/>
        <v>No</v>
      </c>
      <c r="G4" s="52" t="s">
        <v>12</v>
      </c>
      <c r="I4" s="52" t="s">
        <v>217</v>
      </c>
      <c r="J4" s="52" t="s">
        <v>214</v>
      </c>
      <c r="K4" s="52" t="s">
        <v>218</v>
      </c>
      <c r="L4" s="52" t="s">
        <v>4</v>
      </c>
      <c r="T4" s="52" t="s">
        <v>225</v>
      </c>
      <c r="U4" s="52">
        <f>COUNTIF(G2:G10, "No; explanation in comments")</f>
        <v>0</v>
      </c>
    </row>
    <row r="5" spans="1:21" s="49" customFormat="1" ht="35" customHeight="1" x14ac:dyDescent="0.2">
      <c r="A5" s="89" t="s">
        <v>43</v>
      </c>
      <c r="B5" s="90" t="s">
        <v>1136</v>
      </c>
      <c r="C5" s="52" t="str">
        <f>IF(SNSInUse="Yes","Yes","No")</f>
        <v>No</v>
      </c>
      <c r="D5" s="52" t="s">
        <v>1137</v>
      </c>
      <c r="E5" s="52" t="s">
        <v>1138</v>
      </c>
      <c r="F5" s="52" t="str">
        <f t="shared" si="0"/>
        <v>No</v>
      </c>
      <c r="G5" s="52" t="s">
        <v>12</v>
      </c>
      <c r="I5" s="52" t="s">
        <v>217</v>
      </c>
      <c r="J5" s="52" t="s">
        <v>214</v>
      </c>
      <c r="K5" s="52" t="s">
        <v>218</v>
      </c>
      <c r="L5" s="52" t="s">
        <v>4</v>
      </c>
      <c r="T5" s="52" t="s">
        <v>7</v>
      </c>
      <c r="U5" s="52">
        <f>COUNTIF(K2:K10, "Mitigated")</f>
        <v>0</v>
      </c>
    </row>
    <row r="6" spans="1:21" s="49" customFormat="1" ht="65" customHeight="1" x14ac:dyDescent="0.2">
      <c r="A6" s="89" t="s">
        <v>43</v>
      </c>
      <c r="B6" s="90" t="s">
        <v>1139</v>
      </c>
      <c r="C6" s="52" t="str">
        <f>IF(SNSInUse="Yes","Yes","No")</f>
        <v>No</v>
      </c>
      <c r="D6" s="52" t="s">
        <v>489</v>
      </c>
      <c r="E6" s="52" t="s">
        <v>1140</v>
      </c>
      <c r="F6" s="52" t="str">
        <f t="shared" si="0"/>
        <v>No</v>
      </c>
      <c r="G6" s="52" t="s">
        <v>12</v>
      </c>
      <c r="I6" s="52" t="s">
        <v>217</v>
      </c>
      <c r="J6" s="52" t="s">
        <v>214</v>
      </c>
      <c r="K6" s="52" t="s">
        <v>218</v>
      </c>
      <c r="L6" s="52" t="s">
        <v>4</v>
      </c>
      <c r="T6" s="52" t="s">
        <v>8</v>
      </c>
      <c r="U6" s="52">
        <f>COUNTIF(K2:K10, "Not Mitigated")</f>
        <v>0</v>
      </c>
    </row>
    <row r="7" spans="1:21" s="49" customFormat="1" ht="35" customHeight="1" x14ac:dyDescent="0.2">
      <c r="A7" s="73" t="s">
        <v>47</v>
      </c>
      <c r="B7" s="74" t="s">
        <v>1141</v>
      </c>
      <c r="C7" s="52" t="str">
        <f>IF(SQSInUse="Yes","Yes","No")</f>
        <v>No</v>
      </c>
      <c r="D7" s="52" t="s">
        <v>1134</v>
      </c>
      <c r="E7" s="52" t="s">
        <v>1142</v>
      </c>
      <c r="F7" s="52" t="str">
        <f t="shared" si="0"/>
        <v>No</v>
      </c>
      <c r="G7" s="52" t="s">
        <v>12</v>
      </c>
      <c r="I7" s="52" t="s">
        <v>217</v>
      </c>
      <c r="J7" s="52" t="s">
        <v>214</v>
      </c>
      <c r="K7" s="52" t="s">
        <v>218</v>
      </c>
      <c r="L7" s="52" t="s">
        <v>4</v>
      </c>
    </row>
    <row r="8" spans="1:21" s="49" customFormat="1" ht="35" customHeight="1" x14ac:dyDescent="0.2">
      <c r="A8" s="73" t="s">
        <v>47</v>
      </c>
      <c r="B8" s="74" t="s">
        <v>1143</v>
      </c>
      <c r="C8" s="52" t="str">
        <f>IF(SQSInUse="Yes","Yes","No")</f>
        <v>No</v>
      </c>
      <c r="D8" s="52" t="s">
        <v>1144</v>
      </c>
      <c r="E8" s="52" t="s">
        <v>1145</v>
      </c>
      <c r="F8" s="52" t="str">
        <f t="shared" si="0"/>
        <v>No</v>
      </c>
      <c r="G8" s="52" t="s">
        <v>12</v>
      </c>
      <c r="I8" s="52" t="s">
        <v>217</v>
      </c>
      <c r="J8" s="52" t="s">
        <v>214</v>
      </c>
      <c r="K8" s="52" t="s">
        <v>218</v>
      </c>
      <c r="L8" s="52" t="s">
        <v>4</v>
      </c>
    </row>
    <row r="9" spans="1:21" s="49" customFormat="1" ht="50" customHeight="1" x14ac:dyDescent="0.2">
      <c r="A9" s="73" t="s">
        <v>47</v>
      </c>
      <c r="B9" s="74" t="s">
        <v>1146</v>
      </c>
      <c r="C9" s="52" t="str">
        <f>IF(SQSInUse="Yes","Yes","No")</f>
        <v>No</v>
      </c>
      <c r="D9" s="52" t="s">
        <v>1147</v>
      </c>
      <c r="E9" s="52" t="s">
        <v>1148</v>
      </c>
      <c r="F9" s="52" t="str">
        <f t="shared" si="0"/>
        <v>No</v>
      </c>
      <c r="G9" s="52" t="s">
        <v>12</v>
      </c>
      <c r="I9" s="52" t="s">
        <v>217</v>
      </c>
      <c r="J9" s="52" t="s">
        <v>214</v>
      </c>
      <c r="K9" s="52" t="s">
        <v>218</v>
      </c>
      <c r="L9" s="52" t="s">
        <v>4</v>
      </c>
    </row>
    <row r="10" spans="1:21" s="49" customFormat="1" ht="50" customHeight="1" x14ac:dyDescent="0.2">
      <c r="A10" s="73" t="s">
        <v>47</v>
      </c>
      <c r="B10" s="74" t="s">
        <v>1149</v>
      </c>
      <c r="C10" s="52" t="str">
        <f>IF(SQSInUse="Yes","Yes","No")</f>
        <v>No</v>
      </c>
      <c r="D10" s="52" t="s">
        <v>1150</v>
      </c>
      <c r="E10" s="52" t="s">
        <v>1151</v>
      </c>
      <c r="F10" s="52" t="str">
        <f t="shared" si="0"/>
        <v>No</v>
      </c>
      <c r="G10" s="52" t="s">
        <v>12</v>
      </c>
      <c r="I10" s="52" t="s">
        <v>217</v>
      </c>
      <c r="J10" s="52" t="s">
        <v>214</v>
      </c>
      <c r="K10" s="52" t="s">
        <v>218</v>
      </c>
      <c r="L10" s="52" t="s">
        <v>4</v>
      </c>
    </row>
  </sheetData>
  <autoFilter ref="A1:L1" xr:uid="{00000000-0009-0000-0000-00000E000000}"/>
  <dataValidations count="2">
    <dataValidation type="list" sqref="G2:G10" xr:uid="{00000000-0002-0000-0E00-000000000000}">
      <formula1>"-,Yes,No; explanation in comments"</formula1>
    </dataValidation>
    <dataValidation type="list" sqref="K2:K10" xr:uid="{00000000-0002-0000-0E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E00-000001000000}">
            <xm:f>NOT(ISERROR(SEARCH("Yes",F2)))</xm:f>
            <x14:dxf>
              <font>
                <color rgb="FF9C6500"/>
              </font>
              <fill>
                <patternFill patternType="solid">
                  <bgColor rgb="FFFFEB9C"/>
                </patternFill>
              </fill>
            </x14:dxf>
          </x14:cfRule>
          <xm:sqref>F2:F10</xm:sqref>
        </x14:conditionalFormatting>
        <x14:conditionalFormatting xmlns:xm="http://schemas.microsoft.com/office/excel/2006/main">
          <x14:cfRule type="containsText" priority="2" operator="containsText" id="{00000000-000E-0000-0E00-000002000000}">
            <xm:f>NOT(ISERROR(SEARCH("Yes",G2)))</xm:f>
            <x14:dxf>
              <font>
                <color rgb="FF006100"/>
              </font>
              <fill>
                <patternFill patternType="solid">
                  <bgColor rgb="FFC6EFCE"/>
                </patternFill>
              </fill>
            </x14:dxf>
          </x14:cfRule>
          <x14:cfRule type="containsText" priority="2" operator="containsText" id="{00000000-000E-0000-0E00-000002000000}">
            <xm:f>NOT(ISERROR(SEARCH("No; explanation in comments",G2)))</xm:f>
            <x14:dxf>
              <font>
                <color rgb="FF9C0006"/>
              </font>
              <fill>
                <patternFill patternType="solid">
                  <bgColor rgb="FFFFC7CE"/>
                </patternFill>
              </fill>
            </x14:dxf>
          </x14:cfRule>
          <xm:sqref>G2:G10</xm:sqref>
        </x14:conditionalFormatting>
        <x14:conditionalFormatting xmlns:xm="http://schemas.microsoft.com/office/excel/2006/main">
          <x14:cfRule type="containsText" priority="3" operator="containsText" id="{00000000-000E-0000-0E00-000003000000}">
            <xm:f>NOT(ISERROR(SEARCH("Yes",J2)))</xm:f>
            <x14:dxf>
              <font>
                <b/>
                <i/>
                <color rgb="FF403151"/>
              </font>
              <fill>
                <patternFill patternType="solid">
                  <bgColor rgb="FFCCC0DA"/>
                </patternFill>
              </fill>
            </x14:dxf>
          </x14:cfRule>
          <xm:sqref>J2:J10</xm:sqref>
        </x14:conditionalFormatting>
        <x14:conditionalFormatting xmlns:xm="http://schemas.microsoft.com/office/excel/2006/main">
          <x14:cfRule type="containsText" priority="4" operator="containsText" id="{00000000-000E-0000-0E00-000004000000}">
            <xm:f>NOT(ISERROR(SEARCH("Mitigated",K2)))</xm:f>
            <x14:dxf>
              <font>
                <color rgb="FF006100"/>
              </font>
              <fill>
                <patternFill patternType="solid">
                  <bgColor rgb="FFC6EFCE"/>
                </patternFill>
              </fill>
            </x14:dxf>
          </x14:cfRule>
          <x14:cfRule type="containsText" priority="4" operator="containsText" id="{00000000-000E-0000-0E00-000004000000}">
            <xm:f>NOT(ISERROR(SEARCH("Not Mitigated",K2)))</xm:f>
            <x14:dxf>
              <font>
                <color rgb="FF9C0006"/>
              </font>
              <fill>
                <patternFill patternType="solid">
                  <bgColor rgb="FFFFC7CE"/>
                </patternFill>
              </fill>
            </x14:dxf>
          </x14:cfRule>
          <xm:sqref>K2:K10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9"/>
  <sheetViews>
    <sheetView workbookViewId="0">
      <pane ySplit="1" topLeftCell="A2" activePane="bottomLeft" state="frozen"/>
      <selection pane="bottomLeft"/>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35" customHeight="1" x14ac:dyDescent="0.2">
      <c r="A2" s="61" t="s">
        <v>64</v>
      </c>
      <c r="B2" s="62" t="s">
        <v>1152</v>
      </c>
      <c r="C2" s="52" t="str">
        <f t="shared" ref="C2:C14" si="0">IF(MEDIA_STOREInUse="Yes","Yes","No")</f>
        <v>No</v>
      </c>
      <c r="D2" s="52" t="s">
        <v>1153</v>
      </c>
      <c r="E2" s="52" t="s">
        <v>1154</v>
      </c>
      <c r="F2" s="52" t="str">
        <f t="shared" ref="F2:F19" si="1">IF(AND(C2="Yes",G2="-"), "Yes", "No")</f>
        <v>No</v>
      </c>
      <c r="G2" s="52" t="s">
        <v>12</v>
      </c>
      <c r="I2" s="52" t="s">
        <v>217</v>
      </c>
      <c r="J2" s="52" t="s">
        <v>214</v>
      </c>
      <c r="K2" s="52" t="s">
        <v>218</v>
      </c>
      <c r="L2" s="52" t="s">
        <v>4</v>
      </c>
      <c r="T2" s="52" t="s">
        <v>6</v>
      </c>
      <c r="U2" s="52">
        <f>COUNTIFS(C2:C19,"Yes")</f>
        <v>0</v>
      </c>
    </row>
    <row r="3" spans="1:21" s="49" customFormat="1" ht="35" customHeight="1" x14ac:dyDescent="0.2">
      <c r="A3" s="61" t="s">
        <v>64</v>
      </c>
      <c r="B3" s="62" t="s">
        <v>1155</v>
      </c>
      <c r="C3" s="52" t="str">
        <f t="shared" si="0"/>
        <v>No</v>
      </c>
      <c r="D3" s="52" t="s">
        <v>1156</v>
      </c>
      <c r="E3" s="52" t="s">
        <v>1157</v>
      </c>
      <c r="F3" s="52" t="str">
        <f t="shared" si="1"/>
        <v>No</v>
      </c>
      <c r="G3" s="52" t="s">
        <v>12</v>
      </c>
      <c r="I3" s="52" t="s">
        <v>217</v>
      </c>
      <c r="J3" s="52" t="s">
        <v>214</v>
      </c>
      <c r="K3" s="52" t="s">
        <v>218</v>
      </c>
      <c r="L3" s="52" t="s">
        <v>4</v>
      </c>
      <c r="T3" s="52" t="s">
        <v>33</v>
      </c>
      <c r="U3" s="52">
        <f>COUNTIF(G2:G19, "&lt;&gt;-")</f>
        <v>0</v>
      </c>
    </row>
    <row r="4" spans="1:21" s="49" customFormat="1" ht="35" customHeight="1" x14ac:dyDescent="0.2">
      <c r="A4" s="61" t="s">
        <v>64</v>
      </c>
      <c r="B4" s="62" t="s">
        <v>1158</v>
      </c>
      <c r="C4" s="52" t="str">
        <f t="shared" si="0"/>
        <v>No</v>
      </c>
      <c r="D4" s="52" t="s">
        <v>1159</v>
      </c>
      <c r="E4" s="52" t="s">
        <v>1160</v>
      </c>
      <c r="F4" s="52" t="str">
        <f t="shared" si="1"/>
        <v>No</v>
      </c>
      <c r="G4" s="52" t="s">
        <v>12</v>
      </c>
      <c r="I4" s="52" t="s">
        <v>217</v>
      </c>
      <c r="J4" s="52" t="s">
        <v>214</v>
      </c>
      <c r="K4" s="52" t="s">
        <v>218</v>
      </c>
      <c r="L4" s="52" t="s">
        <v>4</v>
      </c>
      <c r="T4" s="52" t="s">
        <v>225</v>
      </c>
      <c r="U4" s="52">
        <f>COUNTIF(G2:G19, "No; explanation in comments")</f>
        <v>0</v>
      </c>
    </row>
    <row r="5" spans="1:21" s="49" customFormat="1" ht="20" customHeight="1" x14ac:dyDescent="0.2">
      <c r="A5" s="61" t="s">
        <v>64</v>
      </c>
      <c r="B5" s="62" t="s">
        <v>1161</v>
      </c>
      <c r="C5" s="52" t="str">
        <f t="shared" si="0"/>
        <v>No</v>
      </c>
      <c r="D5" s="52" t="s">
        <v>1162</v>
      </c>
      <c r="E5" s="52" t="s">
        <v>1163</v>
      </c>
      <c r="F5" s="52" t="str">
        <f t="shared" si="1"/>
        <v>No</v>
      </c>
      <c r="G5" s="52" t="s">
        <v>12</v>
      </c>
      <c r="I5" s="52" t="s">
        <v>230</v>
      </c>
      <c r="J5" s="52" t="s">
        <v>31</v>
      </c>
      <c r="K5" s="52" t="s">
        <v>218</v>
      </c>
      <c r="L5" s="52" t="s">
        <v>4</v>
      </c>
      <c r="T5" s="52" t="s">
        <v>7</v>
      </c>
      <c r="U5" s="52">
        <f>COUNTIF(K2:K19, "Mitigated")</f>
        <v>0</v>
      </c>
    </row>
    <row r="6" spans="1:21" s="49" customFormat="1" ht="20" customHeight="1" x14ac:dyDescent="0.2">
      <c r="A6" s="61" t="s">
        <v>64</v>
      </c>
      <c r="B6" s="62" t="s">
        <v>1164</v>
      </c>
      <c r="C6" s="52" t="str">
        <f t="shared" si="0"/>
        <v>No</v>
      </c>
      <c r="D6" s="52" t="s">
        <v>1165</v>
      </c>
      <c r="E6" s="52" t="s">
        <v>339</v>
      </c>
      <c r="F6" s="52" t="str">
        <f t="shared" si="1"/>
        <v>No</v>
      </c>
      <c r="G6" s="52" t="s">
        <v>12</v>
      </c>
      <c r="I6" s="52" t="s">
        <v>217</v>
      </c>
      <c r="J6" s="52" t="s">
        <v>214</v>
      </c>
      <c r="K6" s="52" t="s">
        <v>218</v>
      </c>
      <c r="L6" s="52" t="s">
        <v>4</v>
      </c>
      <c r="T6" s="52" t="s">
        <v>8</v>
      </c>
      <c r="U6" s="52">
        <f>COUNTIF(K2:K19, "Not Mitigated")</f>
        <v>0</v>
      </c>
    </row>
    <row r="7" spans="1:21" s="49" customFormat="1" ht="80" customHeight="1" x14ac:dyDescent="0.2">
      <c r="A7" s="61" t="s">
        <v>64</v>
      </c>
      <c r="B7" s="62" t="s">
        <v>1166</v>
      </c>
      <c r="C7" s="52" t="str">
        <f t="shared" si="0"/>
        <v>No</v>
      </c>
      <c r="D7" s="52" t="s">
        <v>1167</v>
      </c>
      <c r="E7" s="52" t="s">
        <v>1168</v>
      </c>
      <c r="F7" s="52" t="str">
        <f t="shared" si="1"/>
        <v>No</v>
      </c>
      <c r="G7" s="52" t="s">
        <v>12</v>
      </c>
      <c r="I7" s="52" t="s">
        <v>217</v>
      </c>
      <c r="J7" s="52" t="s">
        <v>214</v>
      </c>
      <c r="K7" s="52" t="s">
        <v>218</v>
      </c>
      <c r="L7" s="52" t="s">
        <v>4</v>
      </c>
    </row>
    <row r="8" spans="1:21" s="49" customFormat="1" ht="35" customHeight="1" x14ac:dyDescent="0.2">
      <c r="A8" s="61" t="s">
        <v>64</v>
      </c>
      <c r="B8" s="62" t="s">
        <v>1169</v>
      </c>
      <c r="C8" s="52" t="str">
        <f t="shared" si="0"/>
        <v>No</v>
      </c>
      <c r="D8" s="52" t="s">
        <v>1170</v>
      </c>
      <c r="E8" s="52" t="s">
        <v>1171</v>
      </c>
      <c r="F8" s="52" t="str">
        <f t="shared" si="1"/>
        <v>No</v>
      </c>
      <c r="G8" s="52" t="s">
        <v>12</v>
      </c>
      <c r="I8" s="52" t="s">
        <v>217</v>
      </c>
      <c r="J8" s="52" t="s">
        <v>214</v>
      </c>
      <c r="K8" s="52" t="s">
        <v>218</v>
      </c>
      <c r="L8" s="52" t="s">
        <v>4</v>
      </c>
    </row>
    <row r="9" spans="1:21" s="49" customFormat="1" ht="35" customHeight="1" x14ac:dyDescent="0.2">
      <c r="A9" s="61" t="s">
        <v>64</v>
      </c>
      <c r="B9" s="62" t="s">
        <v>1172</v>
      </c>
      <c r="C9" s="52" t="str">
        <f t="shared" si="0"/>
        <v>No</v>
      </c>
      <c r="D9" s="52" t="s">
        <v>1173</v>
      </c>
      <c r="E9" s="52" t="s">
        <v>1174</v>
      </c>
      <c r="F9" s="52" t="str">
        <f t="shared" si="1"/>
        <v>No</v>
      </c>
      <c r="G9" s="52" t="s">
        <v>12</v>
      </c>
      <c r="I9" s="52" t="s">
        <v>217</v>
      </c>
      <c r="J9" s="52" t="s">
        <v>214</v>
      </c>
      <c r="K9" s="52" t="s">
        <v>218</v>
      </c>
      <c r="L9" s="52" t="s">
        <v>4</v>
      </c>
    </row>
    <row r="10" spans="1:21" s="49" customFormat="1" ht="50" customHeight="1" x14ac:dyDescent="0.2">
      <c r="A10" s="61" t="s">
        <v>64</v>
      </c>
      <c r="B10" s="62" t="s">
        <v>1175</v>
      </c>
      <c r="C10" s="52" t="str">
        <f t="shared" si="0"/>
        <v>No</v>
      </c>
      <c r="D10" s="52" t="s">
        <v>1119</v>
      </c>
      <c r="E10" s="52" t="s">
        <v>1176</v>
      </c>
      <c r="F10" s="52" t="str">
        <f t="shared" si="1"/>
        <v>No</v>
      </c>
      <c r="G10" s="52" t="s">
        <v>12</v>
      </c>
      <c r="I10" s="52" t="s">
        <v>217</v>
      </c>
      <c r="J10" s="52" t="s">
        <v>214</v>
      </c>
      <c r="K10" s="52" t="s">
        <v>218</v>
      </c>
      <c r="L10" s="52" t="s">
        <v>4</v>
      </c>
    </row>
    <row r="11" spans="1:21" s="49" customFormat="1" ht="35" customHeight="1" x14ac:dyDescent="0.2">
      <c r="A11" s="61" t="s">
        <v>64</v>
      </c>
      <c r="B11" s="62" t="s">
        <v>1177</v>
      </c>
      <c r="C11" s="52" t="str">
        <f t="shared" si="0"/>
        <v>No</v>
      </c>
      <c r="D11" s="52" t="s">
        <v>1178</v>
      </c>
      <c r="E11" s="52" t="s">
        <v>1179</v>
      </c>
      <c r="F11" s="52" t="str">
        <f t="shared" si="1"/>
        <v>No</v>
      </c>
      <c r="G11" s="52" t="s">
        <v>12</v>
      </c>
      <c r="I11" s="52" t="s">
        <v>230</v>
      </c>
      <c r="J11" s="52" t="s">
        <v>31</v>
      </c>
      <c r="K11" s="52" t="s">
        <v>218</v>
      </c>
      <c r="L11" s="52" t="s">
        <v>4</v>
      </c>
    </row>
    <row r="12" spans="1:21" s="49" customFormat="1" ht="35" customHeight="1" x14ac:dyDescent="0.2">
      <c r="A12" s="61" t="s">
        <v>64</v>
      </c>
      <c r="B12" s="62" t="s">
        <v>1180</v>
      </c>
      <c r="C12" s="52" t="str">
        <f t="shared" si="0"/>
        <v>No</v>
      </c>
      <c r="D12" s="52" t="s">
        <v>1181</v>
      </c>
      <c r="E12" s="52" t="s">
        <v>1182</v>
      </c>
      <c r="F12" s="52" t="str">
        <f t="shared" si="1"/>
        <v>No</v>
      </c>
      <c r="G12" s="52" t="s">
        <v>12</v>
      </c>
      <c r="I12" s="52" t="s">
        <v>217</v>
      </c>
      <c r="J12" s="52" t="s">
        <v>214</v>
      </c>
      <c r="K12" s="52" t="s">
        <v>218</v>
      </c>
      <c r="L12" s="52" t="s">
        <v>4</v>
      </c>
    </row>
    <row r="13" spans="1:21" s="49" customFormat="1" ht="80" customHeight="1" x14ac:dyDescent="0.2">
      <c r="A13" s="61" t="s">
        <v>64</v>
      </c>
      <c r="B13" s="62" t="s">
        <v>1183</v>
      </c>
      <c r="C13" s="52" t="str">
        <f t="shared" si="0"/>
        <v>No</v>
      </c>
      <c r="D13" s="52" t="s">
        <v>1184</v>
      </c>
      <c r="E13" s="52" t="s">
        <v>1185</v>
      </c>
      <c r="F13" s="52" t="str">
        <f t="shared" si="1"/>
        <v>No</v>
      </c>
      <c r="G13" s="52" t="s">
        <v>12</v>
      </c>
      <c r="I13" s="52" t="s">
        <v>217</v>
      </c>
      <c r="J13" s="52" t="s">
        <v>214</v>
      </c>
      <c r="K13" s="52" t="s">
        <v>218</v>
      </c>
      <c r="L13" s="52" t="s">
        <v>4</v>
      </c>
    </row>
    <row r="14" spans="1:21" s="49" customFormat="1" ht="35" customHeight="1" x14ac:dyDescent="0.2">
      <c r="A14" s="61" t="s">
        <v>64</v>
      </c>
      <c r="B14" s="62" t="s">
        <v>1186</v>
      </c>
      <c r="C14" s="52" t="str">
        <f t="shared" si="0"/>
        <v>No</v>
      </c>
      <c r="D14" s="52" t="s">
        <v>1187</v>
      </c>
      <c r="E14" s="52" t="s">
        <v>1188</v>
      </c>
      <c r="F14" s="52" t="str">
        <f t="shared" si="1"/>
        <v>No</v>
      </c>
      <c r="G14" s="52" t="s">
        <v>12</v>
      </c>
      <c r="I14" s="52" t="s">
        <v>217</v>
      </c>
      <c r="J14" s="52" t="s">
        <v>214</v>
      </c>
      <c r="K14" s="52" t="s">
        <v>218</v>
      </c>
      <c r="L14" s="52" t="s">
        <v>4</v>
      </c>
    </row>
    <row r="15" spans="1:21" s="49" customFormat="1" ht="20" customHeight="1" x14ac:dyDescent="0.2">
      <c r="A15" s="91" t="s">
        <v>68</v>
      </c>
      <c r="B15" s="92" t="s">
        <v>1189</v>
      </c>
      <c r="C15" s="52" t="str">
        <f>IF(MEDIA_LIVEInUse="Yes","Yes","No")</f>
        <v>No</v>
      </c>
      <c r="D15" s="52" t="s">
        <v>1165</v>
      </c>
      <c r="E15" s="52" t="s">
        <v>339</v>
      </c>
      <c r="F15" s="52" t="str">
        <f t="shared" si="1"/>
        <v>No</v>
      </c>
      <c r="G15" s="52" t="s">
        <v>12</v>
      </c>
      <c r="I15" s="52" t="s">
        <v>217</v>
      </c>
      <c r="J15" s="52" t="s">
        <v>214</v>
      </c>
      <c r="K15" s="52" t="s">
        <v>218</v>
      </c>
      <c r="L15" s="52" t="s">
        <v>4</v>
      </c>
    </row>
    <row r="16" spans="1:21" s="49" customFormat="1" ht="80" customHeight="1" x14ac:dyDescent="0.2">
      <c r="A16" s="91" t="s">
        <v>68</v>
      </c>
      <c r="B16" s="92" t="s">
        <v>1190</v>
      </c>
      <c r="C16" s="52" t="str">
        <f>IF(MEDIA_LIVEInUse="Yes","Yes","No")</f>
        <v>No</v>
      </c>
      <c r="D16" s="52" t="s">
        <v>1191</v>
      </c>
      <c r="E16" s="52" t="s">
        <v>1168</v>
      </c>
      <c r="F16" s="52" t="str">
        <f t="shared" si="1"/>
        <v>No</v>
      </c>
      <c r="G16" s="52" t="s">
        <v>12</v>
      </c>
      <c r="I16" s="52" t="s">
        <v>217</v>
      </c>
      <c r="J16" s="52" t="s">
        <v>214</v>
      </c>
      <c r="K16" s="52" t="s">
        <v>218</v>
      </c>
      <c r="L16" s="52" t="s">
        <v>4</v>
      </c>
    </row>
    <row r="17" spans="1:12" s="49" customFormat="1" ht="35" customHeight="1" x14ac:dyDescent="0.2">
      <c r="A17" s="91" t="s">
        <v>68</v>
      </c>
      <c r="B17" s="92" t="s">
        <v>1192</v>
      </c>
      <c r="C17" s="52" t="str">
        <f>IF(MEDIA_LIVEInUse="Yes","Yes","No")</f>
        <v>No</v>
      </c>
      <c r="D17" s="52" t="s">
        <v>1193</v>
      </c>
      <c r="E17" s="52" t="s">
        <v>1194</v>
      </c>
      <c r="F17" s="52" t="str">
        <f t="shared" si="1"/>
        <v>No</v>
      </c>
      <c r="G17" s="52" t="s">
        <v>12</v>
      </c>
      <c r="I17" s="52" t="s">
        <v>217</v>
      </c>
      <c r="J17" s="52" t="s">
        <v>214</v>
      </c>
      <c r="K17" s="52" t="s">
        <v>218</v>
      </c>
      <c r="L17" s="52" t="s">
        <v>4</v>
      </c>
    </row>
    <row r="18" spans="1:12" s="49" customFormat="1" ht="20" customHeight="1" x14ac:dyDescent="0.2">
      <c r="A18" s="91" t="s">
        <v>68</v>
      </c>
      <c r="B18" s="92" t="s">
        <v>1195</v>
      </c>
      <c r="C18" s="52" t="str">
        <f>IF(MEDIA_LIVEInUse="Yes","Yes","No")</f>
        <v>No</v>
      </c>
      <c r="D18" s="52" t="s">
        <v>1196</v>
      </c>
      <c r="E18" s="52" t="s">
        <v>1197</v>
      </c>
      <c r="F18" s="52" t="str">
        <f t="shared" si="1"/>
        <v>No</v>
      </c>
      <c r="G18" s="52" t="s">
        <v>12</v>
      </c>
      <c r="I18" s="52" t="s">
        <v>217</v>
      </c>
      <c r="J18" s="52" t="s">
        <v>214</v>
      </c>
      <c r="K18" s="52" t="s">
        <v>218</v>
      </c>
      <c r="L18" s="52" t="s">
        <v>4</v>
      </c>
    </row>
    <row r="19" spans="1:12" s="49" customFormat="1" ht="35" customHeight="1" x14ac:dyDescent="0.2">
      <c r="A19" s="91" t="s">
        <v>68</v>
      </c>
      <c r="B19" s="92" t="s">
        <v>1198</v>
      </c>
      <c r="C19" s="52" t="str">
        <f>IF(MEDIA_LIVEInUse="Yes","Yes","No")</f>
        <v>No</v>
      </c>
      <c r="D19" s="52" t="s">
        <v>1199</v>
      </c>
      <c r="E19" s="52" t="s">
        <v>1200</v>
      </c>
      <c r="F19" s="52" t="str">
        <f t="shared" si="1"/>
        <v>No</v>
      </c>
      <c r="G19" s="52" t="s">
        <v>12</v>
      </c>
      <c r="I19" s="52" t="s">
        <v>217</v>
      </c>
      <c r="J19" s="52" t="s">
        <v>214</v>
      </c>
      <c r="K19" s="52" t="s">
        <v>218</v>
      </c>
      <c r="L19" s="52" t="s">
        <v>4</v>
      </c>
    </row>
  </sheetData>
  <autoFilter ref="A1:L1" xr:uid="{00000000-0009-0000-0000-00000F000000}"/>
  <dataValidations count="2">
    <dataValidation type="list" sqref="G2:G19" xr:uid="{00000000-0002-0000-0F00-000000000000}">
      <formula1>"-,Yes,No; explanation in comments"</formula1>
    </dataValidation>
    <dataValidation type="list" sqref="K2:K19" xr:uid="{00000000-0002-0000-0F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F00-000001000000}">
            <xm:f>NOT(ISERROR(SEARCH("Yes",F2)))</xm:f>
            <x14:dxf>
              <font>
                <color rgb="FF9C6500"/>
              </font>
              <fill>
                <patternFill patternType="solid">
                  <bgColor rgb="FFFFEB9C"/>
                </patternFill>
              </fill>
            </x14:dxf>
          </x14:cfRule>
          <xm:sqref>F2:F19</xm:sqref>
        </x14:conditionalFormatting>
        <x14:conditionalFormatting xmlns:xm="http://schemas.microsoft.com/office/excel/2006/main">
          <x14:cfRule type="containsText" priority="2" operator="containsText" id="{00000000-000E-0000-0F00-000002000000}">
            <xm:f>NOT(ISERROR(SEARCH("Yes",G2)))</xm:f>
            <x14:dxf>
              <font>
                <color rgb="FF006100"/>
              </font>
              <fill>
                <patternFill patternType="solid">
                  <bgColor rgb="FFC6EFCE"/>
                </patternFill>
              </fill>
            </x14:dxf>
          </x14:cfRule>
          <x14:cfRule type="containsText" priority="2" operator="containsText" id="{00000000-000E-0000-0F00-000002000000}">
            <xm:f>NOT(ISERROR(SEARCH("No; explanation in comments",G2)))</xm:f>
            <x14:dxf>
              <font>
                <color rgb="FF9C0006"/>
              </font>
              <fill>
                <patternFill patternType="solid">
                  <bgColor rgb="FFFFC7CE"/>
                </patternFill>
              </fill>
            </x14:dxf>
          </x14:cfRule>
          <xm:sqref>G2:G19</xm:sqref>
        </x14:conditionalFormatting>
        <x14:conditionalFormatting xmlns:xm="http://schemas.microsoft.com/office/excel/2006/main">
          <x14:cfRule type="containsText" priority="3" operator="containsText" id="{00000000-000E-0000-0F00-000003000000}">
            <xm:f>NOT(ISERROR(SEARCH("Yes",J2)))</xm:f>
            <x14:dxf>
              <font>
                <b/>
                <i/>
                <color rgb="FF403151"/>
              </font>
              <fill>
                <patternFill patternType="solid">
                  <bgColor rgb="FFCCC0DA"/>
                </patternFill>
              </fill>
            </x14:dxf>
          </x14:cfRule>
          <xm:sqref>J2:J19</xm:sqref>
        </x14:conditionalFormatting>
        <x14:conditionalFormatting xmlns:xm="http://schemas.microsoft.com/office/excel/2006/main">
          <x14:cfRule type="containsText" priority="4" operator="containsText" id="{00000000-000E-0000-0F00-000004000000}">
            <xm:f>NOT(ISERROR(SEARCH("Mitigated",K2)))</xm:f>
            <x14:dxf>
              <font>
                <color rgb="FF006100"/>
              </font>
              <fill>
                <patternFill patternType="solid">
                  <bgColor rgb="FFC6EFCE"/>
                </patternFill>
              </fill>
            </x14:dxf>
          </x14:cfRule>
          <x14:cfRule type="containsText" priority="4" operator="containsText" id="{00000000-000E-0000-0F00-000004000000}">
            <xm:f>NOT(ISERROR(SEARCH("Not Mitigated",K2)))</xm:f>
            <x14:dxf>
              <font>
                <color rgb="FF9C0006"/>
              </font>
              <fill>
                <patternFill patternType="solid">
                  <bgColor rgb="FFFFC7CE"/>
                </patternFill>
              </fill>
            </x14:dxf>
          </x14:cfRule>
          <xm:sqref>K2:K19</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7"/>
  <sheetViews>
    <sheetView workbookViewId="0">
      <pane ySplit="1" topLeftCell="A2" activePane="bottomLeft" state="frozen"/>
      <selection pane="bottomLeft"/>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50" customHeight="1" x14ac:dyDescent="0.2">
      <c r="A2" s="93" t="s">
        <v>82</v>
      </c>
      <c r="B2" s="94" t="s">
        <v>1201</v>
      </c>
      <c r="C2" s="52" t="str">
        <f>IF(CODE_BUILDInUse="Yes","Yes","No")</f>
        <v>No</v>
      </c>
      <c r="D2" s="52" t="s">
        <v>1202</v>
      </c>
      <c r="E2" s="52" t="s">
        <v>1203</v>
      </c>
      <c r="F2" s="52" t="str">
        <f t="shared" ref="F2:F7" si="0">IF(AND(C2="Yes",G2="-"), "Yes", "No")</f>
        <v>No</v>
      </c>
      <c r="G2" s="52" t="s">
        <v>12</v>
      </c>
      <c r="I2" s="52" t="s">
        <v>230</v>
      </c>
      <c r="J2" s="52" t="s">
        <v>31</v>
      </c>
      <c r="K2" s="52" t="s">
        <v>218</v>
      </c>
      <c r="L2" s="52" t="s">
        <v>4</v>
      </c>
      <c r="T2" s="52" t="s">
        <v>6</v>
      </c>
      <c r="U2" s="52">
        <f>COUNTIFS(C2:C7,"Yes")</f>
        <v>0</v>
      </c>
    </row>
    <row r="3" spans="1:21" s="49" customFormat="1" ht="50" customHeight="1" x14ac:dyDescent="0.2">
      <c r="A3" s="93" t="s">
        <v>82</v>
      </c>
      <c r="B3" s="94" t="s">
        <v>1204</v>
      </c>
      <c r="C3" s="52" t="str">
        <f>IF(CODE_BUILDInUse="Yes","Yes","No")</f>
        <v>No</v>
      </c>
      <c r="D3" s="52" t="s">
        <v>1205</v>
      </c>
      <c r="E3" s="52" t="s">
        <v>1206</v>
      </c>
      <c r="F3" s="52" t="str">
        <f t="shared" si="0"/>
        <v>No</v>
      </c>
      <c r="G3" s="52" t="s">
        <v>12</v>
      </c>
      <c r="I3" s="52" t="s">
        <v>217</v>
      </c>
      <c r="J3" s="52" t="s">
        <v>214</v>
      </c>
      <c r="K3" s="52" t="s">
        <v>218</v>
      </c>
      <c r="L3" s="52" t="s">
        <v>4</v>
      </c>
      <c r="T3" s="52" t="s">
        <v>33</v>
      </c>
      <c r="U3" s="52">
        <f>COUNTIF(G2:G7, "&lt;&gt;-")</f>
        <v>0</v>
      </c>
    </row>
    <row r="4" spans="1:21" s="49" customFormat="1" ht="35" customHeight="1" x14ac:dyDescent="0.2">
      <c r="A4" s="93" t="s">
        <v>82</v>
      </c>
      <c r="B4" s="94" t="s">
        <v>1207</v>
      </c>
      <c r="C4" s="52" t="str">
        <f>IF(CODE_BUILDInUse="Yes","Yes","No")</f>
        <v>No</v>
      </c>
      <c r="D4" s="52" t="s">
        <v>1208</v>
      </c>
      <c r="E4" s="52" t="s">
        <v>1209</v>
      </c>
      <c r="F4" s="52" t="str">
        <f t="shared" si="0"/>
        <v>No</v>
      </c>
      <c r="G4" s="52" t="s">
        <v>12</v>
      </c>
      <c r="I4" s="52" t="s">
        <v>230</v>
      </c>
      <c r="J4" s="52" t="s">
        <v>31</v>
      </c>
      <c r="K4" s="52" t="s">
        <v>218</v>
      </c>
      <c r="L4" s="52" t="s">
        <v>4</v>
      </c>
      <c r="T4" s="52" t="s">
        <v>225</v>
      </c>
      <c r="U4" s="52">
        <f>COUNTIF(G2:G7, "No; explanation in comments")</f>
        <v>0</v>
      </c>
    </row>
    <row r="5" spans="1:21" s="49" customFormat="1" ht="35" customHeight="1" x14ac:dyDescent="0.2">
      <c r="A5" s="95" t="s">
        <v>86</v>
      </c>
      <c r="B5" s="96" t="s">
        <v>1210</v>
      </c>
      <c r="C5" s="52" t="str">
        <f>IF(CODE_COMMITInUse="Yes","Yes","No")</f>
        <v>No</v>
      </c>
      <c r="D5" s="52" t="s">
        <v>1211</v>
      </c>
      <c r="E5" s="52" t="s">
        <v>1212</v>
      </c>
      <c r="F5" s="52" t="str">
        <f t="shared" si="0"/>
        <v>No</v>
      </c>
      <c r="G5" s="52" t="s">
        <v>12</v>
      </c>
      <c r="I5" s="52" t="s">
        <v>217</v>
      </c>
      <c r="J5" s="52" t="s">
        <v>214</v>
      </c>
      <c r="K5" s="52" t="s">
        <v>218</v>
      </c>
      <c r="L5" s="52" t="s">
        <v>4</v>
      </c>
      <c r="T5" s="52" t="s">
        <v>7</v>
      </c>
      <c r="U5" s="52">
        <f>COUNTIF(K2:K7, "Mitigated")</f>
        <v>0</v>
      </c>
    </row>
    <row r="6" spans="1:21" s="49" customFormat="1" ht="50" customHeight="1" x14ac:dyDescent="0.2">
      <c r="A6" s="93" t="s">
        <v>90</v>
      </c>
      <c r="B6" s="94" t="s">
        <v>1213</v>
      </c>
      <c r="C6" s="52" t="str">
        <f>IF(CLOUD9InUse="Yes","Yes","No")</f>
        <v>No</v>
      </c>
      <c r="D6" s="52" t="s">
        <v>1214</v>
      </c>
      <c r="E6" s="52" t="s">
        <v>1215</v>
      </c>
      <c r="F6" s="52" t="str">
        <f t="shared" si="0"/>
        <v>No</v>
      </c>
      <c r="G6" s="52" t="s">
        <v>12</v>
      </c>
      <c r="I6" s="52" t="s">
        <v>217</v>
      </c>
      <c r="J6" s="52" t="s">
        <v>214</v>
      </c>
      <c r="K6" s="52" t="s">
        <v>218</v>
      </c>
      <c r="L6" s="52" t="s">
        <v>4</v>
      </c>
      <c r="T6" s="52" t="s">
        <v>8</v>
      </c>
      <c r="U6" s="52">
        <f>COUNTIF(K2:K7, "Not Mitigated")</f>
        <v>0</v>
      </c>
    </row>
    <row r="7" spans="1:21" s="49" customFormat="1" ht="50" customHeight="1" x14ac:dyDescent="0.2">
      <c r="A7" s="93" t="s">
        <v>90</v>
      </c>
      <c r="B7" s="94" t="s">
        <v>1216</v>
      </c>
      <c r="C7" s="52" t="str">
        <f>IF(CLOUD9InUse="Yes","Yes","No")</f>
        <v>No</v>
      </c>
      <c r="D7" s="52" t="s">
        <v>1202</v>
      </c>
      <c r="E7" s="52" t="s">
        <v>1203</v>
      </c>
      <c r="F7" s="52" t="str">
        <f t="shared" si="0"/>
        <v>No</v>
      </c>
      <c r="G7" s="52" t="s">
        <v>12</v>
      </c>
      <c r="I7" s="52" t="s">
        <v>230</v>
      </c>
      <c r="J7" s="52" t="s">
        <v>31</v>
      </c>
      <c r="K7" s="52" t="s">
        <v>218</v>
      </c>
      <c r="L7" s="52" t="s">
        <v>4</v>
      </c>
    </row>
  </sheetData>
  <autoFilter ref="A1:L1" xr:uid="{00000000-0009-0000-0000-000010000000}"/>
  <dataValidations count="2">
    <dataValidation type="list" sqref="G2:G7" xr:uid="{00000000-0002-0000-1000-000000000000}">
      <formula1>"-,Yes,No; explanation in comments"</formula1>
    </dataValidation>
    <dataValidation type="list" sqref="K2:K7" xr:uid="{00000000-0002-0000-1000-000001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1000-000001000000}">
            <xm:f>NOT(ISERROR(SEARCH("Yes",F2)))</xm:f>
            <x14:dxf>
              <font>
                <color rgb="FF9C6500"/>
              </font>
              <fill>
                <patternFill patternType="solid">
                  <bgColor rgb="FFFFEB9C"/>
                </patternFill>
              </fill>
            </x14:dxf>
          </x14:cfRule>
          <xm:sqref>F2:F7</xm:sqref>
        </x14:conditionalFormatting>
        <x14:conditionalFormatting xmlns:xm="http://schemas.microsoft.com/office/excel/2006/main">
          <x14:cfRule type="containsText" priority="2" operator="containsText" id="{00000000-000E-0000-1000-000002000000}">
            <xm:f>NOT(ISERROR(SEARCH("Yes",G2)))</xm:f>
            <x14:dxf>
              <font>
                <color rgb="FF006100"/>
              </font>
              <fill>
                <patternFill patternType="solid">
                  <bgColor rgb="FFC6EFCE"/>
                </patternFill>
              </fill>
            </x14:dxf>
          </x14:cfRule>
          <x14:cfRule type="containsText" priority="2" operator="containsText" id="{00000000-000E-0000-1000-000002000000}">
            <xm:f>NOT(ISERROR(SEARCH("No; explanation in comments",G2)))</xm:f>
            <x14:dxf>
              <font>
                <color rgb="FF9C0006"/>
              </font>
              <fill>
                <patternFill patternType="solid">
                  <bgColor rgb="FFFFC7CE"/>
                </patternFill>
              </fill>
            </x14:dxf>
          </x14:cfRule>
          <xm:sqref>G2:G7</xm:sqref>
        </x14:conditionalFormatting>
        <x14:conditionalFormatting xmlns:xm="http://schemas.microsoft.com/office/excel/2006/main">
          <x14:cfRule type="containsText" priority="3" operator="containsText" id="{00000000-000E-0000-1000-000003000000}">
            <xm:f>NOT(ISERROR(SEARCH("Yes",J2)))</xm:f>
            <x14:dxf>
              <font>
                <b/>
                <i/>
                <color rgb="FF403151"/>
              </font>
              <fill>
                <patternFill patternType="solid">
                  <bgColor rgb="FFCCC0DA"/>
                </patternFill>
              </fill>
            </x14:dxf>
          </x14:cfRule>
          <xm:sqref>J2:J7</xm:sqref>
        </x14:conditionalFormatting>
        <x14:conditionalFormatting xmlns:xm="http://schemas.microsoft.com/office/excel/2006/main">
          <x14:cfRule type="containsText" priority="4" operator="containsText" id="{00000000-000E-0000-1000-000004000000}">
            <xm:f>NOT(ISERROR(SEARCH("Mitigated",K2)))</xm:f>
            <x14:dxf>
              <font>
                <color rgb="FF006100"/>
              </font>
              <fill>
                <patternFill patternType="solid">
                  <bgColor rgb="FFC6EFCE"/>
                </patternFill>
              </fill>
            </x14:dxf>
          </x14:cfRule>
          <x14:cfRule type="containsText" priority="4" operator="containsText" id="{00000000-000E-0000-1000-000004000000}">
            <xm:f>NOT(ISERROR(SEARCH("Not Mitigated",K2)))</xm:f>
            <x14:dxf>
              <font>
                <color rgb="FF9C0006"/>
              </font>
              <fill>
                <patternFill patternType="solid">
                  <bgColor rgb="FFFFC7CE"/>
                </patternFill>
              </fill>
            </x14:dxf>
          </x14:cfRule>
          <xm:sqref>K2:K7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30"/>
  <sheetViews>
    <sheetView workbookViewId="0">
      <pane ySplit="1" topLeftCell="A2" activePane="bottomLeft" state="frozen"/>
      <selection pane="bottomLeft"/>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80" customHeight="1" x14ac:dyDescent="0.2">
      <c r="A2" s="57" t="s">
        <v>39</v>
      </c>
      <c r="B2" s="58" t="s">
        <v>1217</v>
      </c>
      <c r="C2" s="52" t="str">
        <f t="shared" ref="C2:C30" si="0">IF(IOT_COREInUse="Yes","Yes","No")</f>
        <v>No</v>
      </c>
      <c r="D2" s="52" t="s">
        <v>1218</v>
      </c>
      <c r="E2" s="52" t="s">
        <v>1219</v>
      </c>
      <c r="F2" s="52" t="str">
        <f t="shared" ref="F2:F30" si="1">IF(AND(C2="Yes",G2="-"), "Yes", "No")</f>
        <v>No</v>
      </c>
      <c r="G2" s="52" t="s">
        <v>12</v>
      </c>
      <c r="I2" s="52" t="s">
        <v>230</v>
      </c>
      <c r="J2" s="52" t="s">
        <v>31</v>
      </c>
      <c r="K2" s="52" t="s">
        <v>218</v>
      </c>
      <c r="L2" s="52" t="s">
        <v>4</v>
      </c>
      <c r="T2" s="52" t="s">
        <v>6</v>
      </c>
      <c r="U2" s="52">
        <f>COUNTIFS(C2:C30,"Yes")</f>
        <v>0</v>
      </c>
    </row>
    <row r="3" spans="1:21" s="49" customFormat="1" ht="95" customHeight="1" x14ac:dyDescent="0.2">
      <c r="A3" s="57" t="s">
        <v>39</v>
      </c>
      <c r="B3" s="58" t="s">
        <v>1220</v>
      </c>
      <c r="C3" s="52" t="str">
        <f t="shared" si="0"/>
        <v>No</v>
      </c>
      <c r="D3" s="52" t="s">
        <v>1221</v>
      </c>
      <c r="E3" s="52" t="s">
        <v>1222</v>
      </c>
      <c r="F3" s="52" t="str">
        <f t="shared" si="1"/>
        <v>No</v>
      </c>
      <c r="G3" s="52" t="s">
        <v>12</v>
      </c>
      <c r="I3" s="52" t="s">
        <v>217</v>
      </c>
      <c r="J3" s="52" t="s">
        <v>214</v>
      </c>
      <c r="K3" s="52" t="s">
        <v>218</v>
      </c>
      <c r="L3" s="52" t="s">
        <v>4</v>
      </c>
      <c r="T3" s="52" t="s">
        <v>33</v>
      </c>
      <c r="U3" s="52">
        <f>COUNTIF(G2:G30, "&lt;&gt;-")</f>
        <v>0</v>
      </c>
    </row>
    <row r="4" spans="1:21" s="49" customFormat="1" ht="80" customHeight="1" x14ac:dyDescent="0.2">
      <c r="A4" s="57" t="s">
        <v>39</v>
      </c>
      <c r="B4" s="58" t="s">
        <v>1223</v>
      </c>
      <c r="C4" s="52" t="str">
        <f t="shared" si="0"/>
        <v>No</v>
      </c>
      <c r="D4" s="52" t="s">
        <v>1224</v>
      </c>
      <c r="E4" s="52" t="s">
        <v>1225</v>
      </c>
      <c r="F4" s="52" t="str">
        <f t="shared" si="1"/>
        <v>No</v>
      </c>
      <c r="G4" s="52" t="s">
        <v>12</v>
      </c>
      <c r="I4" s="52" t="s">
        <v>217</v>
      </c>
      <c r="J4" s="52" t="s">
        <v>214</v>
      </c>
      <c r="K4" s="52" t="s">
        <v>218</v>
      </c>
      <c r="L4" s="52" t="s">
        <v>4</v>
      </c>
      <c r="T4" s="52" t="s">
        <v>225</v>
      </c>
      <c r="U4" s="52">
        <f>COUNTIF(G2:G30, "No; explanation in comments")</f>
        <v>0</v>
      </c>
    </row>
    <row r="5" spans="1:21" s="49" customFormat="1" ht="50" customHeight="1" x14ac:dyDescent="0.2">
      <c r="A5" s="57" t="s">
        <v>39</v>
      </c>
      <c r="B5" s="58" t="s">
        <v>1226</v>
      </c>
      <c r="C5" s="52" t="str">
        <f t="shared" si="0"/>
        <v>No</v>
      </c>
      <c r="D5" s="52" t="s">
        <v>1227</v>
      </c>
      <c r="E5" s="52" t="s">
        <v>1228</v>
      </c>
      <c r="F5" s="52" t="str">
        <f t="shared" si="1"/>
        <v>No</v>
      </c>
      <c r="G5" s="52" t="s">
        <v>12</v>
      </c>
      <c r="I5" s="52" t="s">
        <v>230</v>
      </c>
      <c r="J5" s="52" t="s">
        <v>31</v>
      </c>
      <c r="K5" s="52" t="s">
        <v>218</v>
      </c>
      <c r="L5" s="52" t="s">
        <v>4</v>
      </c>
      <c r="T5" s="52" t="s">
        <v>7</v>
      </c>
      <c r="U5" s="52">
        <f>COUNTIF(K2:K30, "Mitigated")</f>
        <v>0</v>
      </c>
    </row>
    <row r="6" spans="1:21" s="49" customFormat="1" ht="125" customHeight="1" x14ac:dyDescent="0.2">
      <c r="A6" s="57" t="s">
        <v>39</v>
      </c>
      <c r="B6" s="58" t="s">
        <v>1229</v>
      </c>
      <c r="C6" s="52" t="str">
        <f t="shared" si="0"/>
        <v>No</v>
      </c>
      <c r="D6" s="52" t="s">
        <v>1230</v>
      </c>
      <c r="E6" s="52" t="s">
        <v>1231</v>
      </c>
      <c r="F6" s="52" t="str">
        <f t="shared" si="1"/>
        <v>No</v>
      </c>
      <c r="G6" s="52" t="s">
        <v>12</v>
      </c>
      <c r="I6" s="52" t="s">
        <v>217</v>
      </c>
      <c r="J6" s="52" t="s">
        <v>214</v>
      </c>
      <c r="K6" s="52" t="s">
        <v>218</v>
      </c>
      <c r="L6" s="52" t="s">
        <v>4</v>
      </c>
      <c r="T6" s="52" t="s">
        <v>8</v>
      </c>
      <c r="U6" s="52">
        <f>COUNTIF(K2:K30, "Not Mitigated")</f>
        <v>0</v>
      </c>
    </row>
    <row r="7" spans="1:21" s="49" customFormat="1" ht="80" customHeight="1" x14ac:dyDescent="0.2">
      <c r="A7" s="57" t="s">
        <v>39</v>
      </c>
      <c r="B7" s="58" t="s">
        <v>1232</v>
      </c>
      <c r="C7" s="52" t="str">
        <f t="shared" si="0"/>
        <v>No</v>
      </c>
      <c r="D7" s="52" t="s">
        <v>1233</v>
      </c>
      <c r="E7" s="52" t="s">
        <v>1234</v>
      </c>
      <c r="F7" s="52" t="str">
        <f t="shared" si="1"/>
        <v>No</v>
      </c>
      <c r="G7" s="52" t="s">
        <v>12</v>
      </c>
      <c r="I7" s="52" t="s">
        <v>230</v>
      </c>
      <c r="J7" s="52" t="s">
        <v>31</v>
      </c>
      <c r="K7" s="52" t="s">
        <v>218</v>
      </c>
      <c r="L7" s="52" t="s">
        <v>4</v>
      </c>
    </row>
    <row r="8" spans="1:21" s="49" customFormat="1" ht="140" customHeight="1" x14ac:dyDescent="0.2">
      <c r="A8" s="57" t="s">
        <v>39</v>
      </c>
      <c r="B8" s="58" t="s">
        <v>1235</v>
      </c>
      <c r="C8" s="52" t="str">
        <f t="shared" si="0"/>
        <v>No</v>
      </c>
      <c r="D8" s="52" t="s">
        <v>1236</v>
      </c>
      <c r="E8" s="52" t="s">
        <v>1237</v>
      </c>
      <c r="F8" s="52" t="str">
        <f t="shared" si="1"/>
        <v>No</v>
      </c>
      <c r="G8" s="52" t="s">
        <v>12</v>
      </c>
      <c r="I8" s="52" t="s">
        <v>217</v>
      </c>
      <c r="J8" s="52" t="s">
        <v>214</v>
      </c>
      <c r="K8" s="52" t="s">
        <v>218</v>
      </c>
      <c r="L8" s="52" t="s">
        <v>4</v>
      </c>
    </row>
    <row r="9" spans="1:21" s="49" customFormat="1" ht="65" customHeight="1" x14ac:dyDescent="0.2">
      <c r="A9" s="57" t="s">
        <v>39</v>
      </c>
      <c r="B9" s="58" t="s">
        <v>1238</v>
      </c>
      <c r="C9" s="52" t="str">
        <f t="shared" si="0"/>
        <v>No</v>
      </c>
      <c r="D9" s="52" t="s">
        <v>1239</v>
      </c>
      <c r="E9" s="52" t="s">
        <v>1240</v>
      </c>
      <c r="F9" s="52" t="str">
        <f t="shared" si="1"/>
        <v>No</v>
      </c>
      <c r="G9" s="52" t="s">
        <v>12</v>
      </c>
      <c r="I9" s="52" t="s">
        <v>217</v>
      </c>
      <c r="J9" s="52" t="s">
        <v>214</v>
      </c>
      <c r="K9" s="52" t="s">
        <v>218</v>
      </c>
      <c r="L9" s="52" t="s">
        <v>4</v>
      </c>
    </row>
    <row r="10" spans="1:21" s="49" customFormat="1" ht="215" customHeight="1" x14ac:dyDescent="0.2">
      <c r="A10" s="57" t="s">
        <v>39</v>
      </c>
      <c r="B10" s="58" t="s">
        <v>1241</v>
      </c>
      <c r="C10" s="52" t="str">
        <f t="shared" si="0"/>
        <v>No</v>
      </c>
      <c r="D10" s="52" t="s">
        <v>1242</v>
      </c>
      <c r="E10" s="52" t="s">
        <v>1243</v>
      </c>
      <c r="F10" s="52" t="str">
        <f t="shared" si="1"/>
        <v>No</v>
      </c>
      <c r="G10" s="52" t="s">
        <v>12</v>
      </c>
      <c r="I10" s="52" t="s">
        <v>217</v>
      </c>
      <c r="J10" s="52" t="s">
        <v>214</v>
      </c>
      <c r="K10" s="52" t="s">
        <v>218</v>
      </c>
      <c r="L10" s="52" t="s">
        <v>4</v>
      </c>
    </row>
    <row r="11" spans="1:21" s="49" customFormat="1" ht="35" customHeight="1" x14ac:dyDescent="0.2">
      <c r="A11" s="57" t="s">
        <v>39</v>
      </c>
      <c r="B11" s="58" t="s">
        <v>1244</v>
      </c>
      <c r="C11" s="52" t="str">
        <f t="shared" si="0"/>
        <v>No</v>
      </c>
      <c r="D11" s="52" t="s">
        <v>1245</v>
      </c>
      <c r="E11" s="52" t="s">
        <v>1246</v>
      </c>
      <c r="F11" s="52" t="str">
        <f t="shared" si="1"/>
        <v>No</v>
      </c>
      <c r="G11" s="52" t="s">
        <v>12</v>
      </c>
      <c r="I11" s="52" t="s">
        <v>230</v>
      </c>
      <c r="J11" s="52" t="s">
        <v>31</v>
      </c>
      <c r="K11" s="52" t="s">
        <v>218</v>
      </c>
      <c r="L11" s="52" t="s">
        <v>4</v>
      </c>
    </row>
    <row r="12" spans="1:21" s="49" customFormat="1" ht="50" customHeight="1" x14ac:dyDescent="0.2">
      <c r="A12" s="57" t="s">
        <v>39</v>
      </c>
      <c r="B12" s="58" t="s">
        <v>1247</v>
      </c>
      <c r="C12" s="52" t="str">
        <f t="shared" si="0"/>
        <v>No</v>
      </c>
      <c r="D12" s="52" t="s">
        <v>1248</v>
      </c>
      <c r="E12" s="52" t="s">
        <v>1249</v>
      </c>
      <c r="F12" s="52" t="str">
        <f t="shared" si="1"/>
        <v>No</v>
      </c>
      <c r="G12" s="52" t="s">
        <v>12</v>
      </c>
      <c r="I12" s="52" t="s">
        <v>217</v>
      </c>
      <c r="J12" s="52" t="s">
        <v>214</v>
      </c>
      <c r="K12" s="52" t="s">
        <v>218</v>
      </c>
      <c r="L12" s="52" t="s">
        <v>4</v>
      </c>
    </row>
    <row r="13" spans="1:21" s="49" customFormat="1" ht="35" customHeight="1" x14ac:dyDescent="0.2">
      <c r="A13" s="57" t="s">
        <v>39</v>
      </c>
      <c r="B13" s="58" t="s">
        <v>1250</v>
      </c>
      <c r="C13" s="52" t="str">
        <f t="shared" si="0"/>
        <v>No</v>
      </c>
      <c r="D13" s="52" t="s">
        <v>1251</v>
      </c>
      <c r="E13" s="52" t="s">
        <v>1252</v>
      </c>
      <c r="F13" s="52" t="str">
        <f t="shared" si="1"/>
        <v>No</v>
      </c>
      <c r="G13" s="52" t="s">
        <v>12</v>
      </c>
      <c r="I13" s="52" t="s">
        <v>217</v>
      </c>
      <c r="J13" s="52" t="s">
        <v>214</v>
      </c>
      <c r="K13" s="52" t="s">
        <v>218</v>
      </c>
      <c r="L13" s="52" t="s">
        <v>4</v>
      </c>
    </row>
    <row r="14" spans="1:21" s="49" customFormat="1" ht="35" customHeight="1" x14ac:dyDescent="0.2">
      <c r="A14" s="57" t="s">
        <v>39</v>
      </c>
      <c r="B14" s="58" t="s">
        <v>1253</v>
      </c>
      <c r="C14" s="52" t="str">
        <f t="shared" si="0"/>
        <v>No</v>
      </c>
      <c r="D14" s="52" t="s">
        <v>1254</v>
      </c>
      <c r="E14" s="52" t="s">
        <v>1255</v>
      </c>
      <c r="F14" s="52" t="str">
        <f t="shared" si="1"/>
        <v>No</v>
      </c>
      <c r="G14" s="52" t="s">
        <v>12</v>
      </c>
      <c r="I14" s="52" t="s">
        <v>217</v>
      </c>
      <c r="J14" s="52" t="s">
        <v>214</v>
      </c>
      <c r="K14" s="52" t="s">
        <v>218</v>
      </c>
      <c r="L14" s="52" t="s">
        <v>4</v>
      </c>
    </row>
    <row r="15" spans="1:21" s="49" customFormat="1" ht="50" customHeight="1" x14ac:dyDescent="0.2">
      <c r="A15" s="57" t="s">
        <v>39</v>
      </c>
      <c r="B15" s="58" t="s">
        <v>1256</v>
      </c>
      <c r="C15" s="52" t="str">
        <f t="shared" si="0"/>
        <v>No</v>
      </c>
      <c r="D15" s="52" t="s">
        <v>1257</v>
      </c>
      <c r="E15" s="52" t="s">
        <v>1258</v>
      </c>
      <c r="F15" s="52" t="str">
        <f t="shared" si="1"/>
        <v>No</v>
      </c>
      <c r="G15" s="52" t="s">
        <v>12</v>
      </c>
      <c r="I15" s="52" t="s">
        <v>217</v>
      </c>
      <c r="J15" s="52" t="s">
        <v>214</v>
      </c>
      <c r="K15" s="52" t="s">
        <v>218</v>
      </c>
      <c r="L15" s="52" t="s">
        <v>4</v>
      </c>
    </row>
    <row r="16" spans="1:21" s="49" customFormat="1" ht="35" customHeight="1" x14ac:dyDescent="0.2">
      <c r="A16" s="57" t="s">
        <v>39</v>
      </c>
      <c r="B16" s="58" t="s">
        <v>1259</v>
      </c>
      <c r="C16" s="52" t="str">
        <f t="shared" si="0"/>
        <v>No</v>
      </c>
      <c r="D16" s="52" t="s">
        <v>1260</v>
      </c>
      <c r="E16" s="52" t="s">
        <v>1261</v>
      </c>
      <c r="F16" s="52" t="str">
        <f t="shared" si="1"/>
        <v>No</v>
      </c>
      <c r="G16" s="52" t="s">
        <v>12</v>
      </c>
      <c r="I16" s="52" t="s">
        <v>230</v>
      </c>
      <c r="J16" s="52" t="s">
        <v>31</v>
      </c>
      <c r="K16" s="52" t="s">
        <v>218</v>
      </c>
      <c r="L16" s="52" t="s">
        <v>4</v>
      </c>
    </row>
    <row r="17" spans="1:12" s="49" customFormat="1" ht="35" customHeight="1" x14ac:dyDescent="0.2">
      <c r="A17" s="57" t="s">
        <v>39</v>
      </c>
      <c r="B17" s="58" t="s">
        <v>1262</v>
      </c>
      <c r="C17" s="52" t="str">
        <f t="shared" si="0"/>
        <v>No</v>
      </c>
      <c r="D17" s="52" t="s">
        <v>1263</v>
      </c>
      <c r="E17" s="52" t="s">
        <v>1264</v>
      </c>
      <c r="F17" s="52" t="str">
        <f t="shared" si="1"/>
        <v>No</v>
      </c>
      <c r="G17" s="52" t="s">
        <v>12</v>
      </c>
      <c r="I17" s="52" t="s">
        <v>217</v>
      </c>
      <c r="J17" s="52" t="s">
        <v>214</v>
      </c>
      <c r="K17" s="52" t="s">
        <v>218</v>
      </c>
      <c r="L17" s="52" t="s">
        <v>4</v>
      </c>
    </row>
    <row r="18" spans="1:12" s="49" customFormat="1" ht="35" customHeight="1" x14ac:dyDescent="0.2">
      <c r="A18" s="57" t="s">
        <v>39</v>
      </c>
      <c r="B18" s="58" t="s">
        <v>1265</v>
      </c>
      <c r="C18" s="52" t="str">
        <f t="shared" si="0"/>
        <v>No</v>
      </c>
      <c r="D18" s="52" t="s">
        <v>1266</v>
      </c>
      <c r="E18" s="52" t="s">
        <v>1267</v>
      </c>
      <c r="F18" s="52" t="str">
        <f t="shared" si="1"/>
        <v>No</v>
      </c>
      <c r="G18" s="52" t="s">
        <v>12</v>
      </c>
      <c r="I18" s="52" t="s">
        <v>230</v>
      </c>
      <c r="J18" s="52" t="s">
        <v>31</v>
      </c>
      <c r="K18" s="52" t="s">
        <v>218</v>
      </c>
      <c r="L18" s="52" t="s">
        <v>4</v>
      </c>
    </row>
    <row r="19" spans="1:12" s="49" customFormat="1" ht="35" customHeight="1" x14ac:dyDescent="0.2">
      <c r="A19" s="57" t="s">
        <v>39</v>
      </c>
      <c r="B19" s="58" t="s">
        <v>1268</v>
      </c>
      <c r="C19" s="52" t="str">
        <f t="shared" si="0"/>
        <v>No</v>
      </c>
      <c r="D19" s="52" t="s">
        <v>1269</v>
      </c>
      <c r="E19" s="52" t="s">
        <v>1270</v>
      </c>
      <c r="F19" s="52" t="str">
        <f t="shared" si="1"/>
        <v>No</v>
      </c>
      <c r="G19" s="52" t="s">
        <v>12</v>
      </c>
      <c r="I19" s="52" t="s">
        <v>217</v>
      </c>
      <c r="J19" s="52" t="s">
        <v>214</v>
      </c>
      <c r="K19" s="52" t="s">
        <v>218</v>
      </c>
      <c r="L19" s="52" t="s">
        <v>4</v>
      </c>
    </row>
    <row r="20" spans="1:12" s="49" customFormat="1" ht="35" customHeight="1" x14ac:dyDescent="0.2">
      <c r="A20" s="57" t="s">
        <v>39</v>
      </c>
      <c r="B20" s="58" t="s">
        <v>1271</v>
      </c>
      <c r="C20" s="52" t="str">
        <f t="shared" si="0"/>
        <v>No</v>
      </c>
      <c r="D20" s="52" t="s">
        <v>1272</v>
      </c>
      <c r="E20" s="52" t="s">
        <v>1273</v>
      </c>
      <c r="F20" s="52" t="str">
        <f t="shared" si="1"/>
        <v>No</v>
      </c>
      <c r="G20" s="52" t="s">
        <v>12</v>
      </c>
      <c r="I20" s="52" t="s">
        <v>230</v>
      </c>
      <c r="J20" s="52" t="s">
        <v>31</v>
      </c>
      <c r="K20" s="52" t="s">
        <v>218</v>
      </c>
      <c r="L20" s="52" t="s">
        <v>4</v>
      </c>
    </row>
    <row r="21" spans="1:12" s="49" customFormat="1" ht="35" customHeight="1" x14ac:dyDescent="0.2">
      <c r="A21" s="57" t="s">
        <v>39</v>
      </c>
      <c r="B21" s="58" t="s">
        <v>1274</v>
      </c>
      <c r="C21" s="52" t="str">
        <f t="shared" si="0"/>
        <v>No</v>
      </c>
      <c r="D21" s="52" t="s">
        <v>1275</v>
      </c>
      <c r="E21" s="52" t="s">
        <v>1276</v>
      </c>
      <c r="F21" s="52" t="str">
        <f t="shared" si="1"/>
        <v>No</v>
      </c>
      <c r="G21" s="52" t="s">
        <v>12</v>
      </c>
      <c r="I21" s="52" t="s">
        <v>230</v>
      </c>
      <c r="J21" s="52" t="s">
        <v>31</v>
      </c>
      <c r="K21" s="52" t="s">
        <v>218</v>
      </c>
      <c r="L21" s="52" t="s">
        <v>4</v>
      </c>
    </row>
    <row r="22" spans="1:12" s="49" customFormat="1" ht="50" customHeight="1" x14ac:dyDescent="0.2">
      <c r="A22" s="57" t="s">
        <v>39</v>
      </c>
      <c r="B22" s="58" t="s">
        <v>1277</v>
      </c>
      <c r="C22" s="52" t="str">
        <f t="shared" si="0"/>
        <v>No</v>
      </c>
      <c r="D22" s="52" t="s">
        <v>1278</v>
      </c>
      <c r="E22" s="52" t="s">
        <v>1279</v>
      </c>
      <c r="F22" s="52" t="str">
        <f t="shared" si="1"/>
        <v>No</v>
      </c>
      <c r="G22" s="52" t="s">
        <v>12</v>
      </c>
      <c r="I22" s="52" t="s">
        <v>217</v>
      </c>
      <c r="J22" s="52" t="s">
        <v>214</v>
      </c>
      <c r="K22" s="52" t="s">
        <v>218</v>
      </c>
      <c r="L22" s="52" t="s">
        <v>4</v>
      </c>
    </row>
    <row r="23" spans="1:12" s="49" customFormat="1" ht="65" customHeight="1" x14ac:dyDescent="0.2">
      <c r="A23" s="57" t="s">
        <v>39</v>
      </c>
      <c r="B23" s="58" t="s">
        <v>1280</v>
      </c>
      <c r="C23" s="52" t="str">
        <f t="shared" si="0"/>
        <v>No</v>
      </c>
      <c r="D23" s="52" t="s">
        <v>1281</v>
      </c>
      <c r="E23" s="52" t="s">
        <v>1282</v>
      </c>
      <c r="F23" s="52" t="str">
        <f t="shared" si="1"/>
        <v>No</v>
      </c>
      <c r="G23" s="52" t="s">
        <v>12</v>
      </c>
      <c r="I23" s="52" t="s">
        <v>230</v>
      </c>
      <c r="J23" s="52" t="s">
        <v>31</v>
      </c>
      <c r="K23" s="52" t="s">
        <v>218</v>
      </c>
      <c r="L23" s="52" t="s">
        <v>4</v>
      </c>
    </row>
    <row r="24" spans="1:12" s="49" customFormat="1" ht="35" customHeight="1" x14ac:dyDescent="0.2">
      <c r="A24" s="57" t="s">
        <v>39</v>
      </c>
      <c r="B24" s="58" t="s">
        <v>1283</v>
      </c>
      <c r="C24" s="52" t="str">
        <f t="shared" si="0"/>
        <v>No</v>
      </c>
      <c r="D24" s="52" t="s">
        <v>1284</v>
      </c>
      <c r="E24" s="52" t="s">
        <v>1285</v>
      </c>
      <c r="F24" s="52" t="str">
        <f t="shared" si="1"/>
        <v>No</v>
      </c>
      <c r="G24" s="52" t="s">
        <v>12</v>
      </c>
      <c r="I24" s="52" t="s">
        <v>217</v>
      </c>
      <c r="J24" s="52" t="s">
        <v>214</v>
      </c>
      <c r="K24" s="52" t="s">
        <v>218</v>
      </c>
      <c r="L24" s="52" t="s">
        <v>4</v>
      </c>
    </row>
    <row r="25" spans="1:12" s="49" customFormat="1" ht="35" customHeight="1" x14ac:dyDescent="0.2">
      <c r="A25" s="57" t="s">
        <v>39</v>
      </c>
      <c r="B25" s="58" t="s">
        <v>1286</v>
      </c>
      <c r="C25" s="52" t="str">
        <f t="shared" si="0"/>
        <v>No</v>
      </c>
      <c r="D25" s="52" t="s">
        <v>1287</v>
      </c>
      <c r="E25" s="52" t="s">
        <v>1288</v>
      </c>
      <c r="F25" s="52" t="str">
        <f t="shared" si="1"/>
        <v>No</v>
      </c>
      <c r="G25" s="52" t="s">
        <v>12</v>
      </c>
      <c r="I25" s="52" t="s">
        <v>230</v>
      </c>
      <c r="J25" s="52" t="s">
        <v>31</v>
      </c>
      <c r="K25" s="52" t="s">
        <v>218</v>
      </c>
      <c r="L25" s="52" t="s">
        <v>4</v>
      </c>
    </row>
    <row r="26" spans="1:12" s="49" customFormat="1" ht="35" customHeight="1" x14ac:dyDescent="0.2">
      <c r="A26" s="57" t="s">
        <v>39</v>
      </c>
      <c r="B26" s="58" t="s">
        <v>1289</v>
      </c>
      <c r="C26" s="52" t="str">
        <f t="shared" si="0"/>
        <v>No</v>
      </c>
      <c r="D26" s="52" t="s">
        <v>1290</v>
      </c>
      <c r="E26" s="52" t="s">
        <v>1291</v>
      </c>
      <c r="F26" s="52" t="str">
        <f t="shared" si="1"/>
        <v>No</v>
      </c>
      <c r="G26" s="52" t="s">
        <v>12</v>
      </c>
      <c r="I26" s="52" t="s">
        <v>217</v>
      </c>
      <c r="J26" s="52" t="s">
        <v>214</v>
      </c>
      <c r="K26" s="52" t="s">
        <v>218</v>
      </c>
      <c r="L26" s="52" t="s">
        <v>4</v>
      </c>
    </row>
    <row r="27" spans="1:12" s="49" customFormat="1" ht="35" customHeight="1" x14ac:dyDescent="0.2">
      <c r="A27" s="57" t="s">
        <v>39</v>
      </c>
      <c r="B27" s="58" t="s">
        <v>1292</v>
      </c>
      <c r="C27" s="52" t="str">
        <f t="shared" si="0"/>
        <v>No</v>
      </c>
      <c r="D27" s="52" t="s">
        <v>1293</v>
      </c>
      <c r="E27" s="52" t="s">
        <v>1294</v>
      </c>
      <c r="F27" s="52" t="str">
        <f t="shared" si="1"/>
        <v>No</v>
      </c>
      <c r="G27" s="52" t="s">
        <v>12</v>
      </c>
      <c r="I27" s="52" t="s">
        <v>230</v>
      </c>
      <c r="J27" s="52" t="s">
        <v>31</v>
      </c>
      <c r="K27" s="52" t="s">
        <v>218</v>
      </c>
      <c r="L27" s="52" t="s">
        <v>4</v>
      </c>
    </row>
    <row r="28" spans="1:12" s="49" customFormat="1" ht="35" customHeight="1" x14ac:dyDescent="0.2">
      <c r="A28" s="57" t="s">
        <v>39</v>
      </c>
      <c r="B28" s="58" t="s">
        <v>1295</v>
      </c>
      <c r="C28" s="52" t="str">
        <f t="shared" si="0"/>
        <v>No</v>
      </c>
      <c r="D28" s="52" t="s">
        <v>1296</v>
      </c>
      <c r="E28" s="52" t="s">
        <v>1297</v>
      </c>
      <c r="F28" s="52" t="str">
        <f t="shared" si="1"/>
        <v>No</v>
      </c>
      <c r="G28" s="52" t="s">
        <v>12</v>
      </c>
      <c r="I28" s="52" t="s">
        <v>230</v>
      </c>
      <c r="J28" s="52" t="s">
        <v>31</v>
      </c>
      <c r="K28" s="52" t="s">
        <v>218</v>
      </c>
      <c r="L28" s="52" t="s">
        <v>4</v>
      </c>
    </row>
    <row r="29" spans="1:12" s="49" customFormat="1" ht="35" customHeight="1" x14ac:dyDescent="0.2">
      <c r="A29" s="57" t="s">
        <v>39</v>
      </c>
      <c r="B29" s="58" t="s">
        <v>1298</v>
      </c>
      <c r="C29" s="52" t="str">
        <f t="shared" si="0"/>
        <v>No</v>
      </c>
      <c r="D29" s="52" t="s">
        <v>1299</v>
      </c>
      <c r="E29" s="52" t="s">
        <v>1300</v>
      </c>
      <c r="F29" s="52" t="str">
        <f t="shared" si="1"/>
        <v>No</v>
      </c>
      <c r="G29" s="52" t="s">
        <v>12</v>
      </c>
      <c r="I29" s="52" t="s">
        <v>230</v>
      </c>
      <c r="J29" s="52" t="s">
        <v>31</v>
      </c>
      <c r="K29" s="52" t="s">
        <v>218</v>
      </c>
      <c r="L29" s="52" t="s">
        <v>4</v>
      </c>
    </row>
    <row r="30" spans="1:12" s="49" customFormat="1" ht="35" customHeight="1" x14ac:dyDescent="0.2">
      <c r="A30" s="57" t="s">
        <v>39</v>
      </c>
      <c r="B30" s="58" t="s">
        <v>1301</v>
      </c>
      <c r="C30" s="52" t="str">
        <f t="shared" si="0"/>
        <v>No</v>
      </c>
      <c r="D30" s="52" t="s">
        <v>1302</v>
      </c>
      <c r="E30" s="52" t="s">
        <v>1303</v>
      </c>
      <c r="F30" s="52" t="str">
        <f t="shared" si="1"/>
        <v>No</v>
      </c>
      <c r="G30" s="52" t="s">
        <v>12</v>
      </c>
      <c r="I30" s="52" t="s">
        <v>230</v>
      </c>
      <c r="J30" s="52" t="s">
        <v>31</v>
      </c>
      <c r="K30" s="52" t="s">
        <v>218</v>
      </c>
      <c r="L30" s="52" t="s">
        <v>4</v>
      </c>
    </row>
  </sheetData>
  <autoFilter ref="A1:L1" xr:uid="{00000000-0009-0000-0000-000011000000}"/>
  <dataValidations count="2">
    <dataValidation type="list" sqref="G2:G30" xr:uid="{00000000-0002-0000-1100-000000000000}">
      <formula1>"-,Yes,No; explanation in comments"</formula1>
    </dataValidation>
    <dataValidation type="list" sqref="K2:K30" xr:uid="{00000000-0002-0000-11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1100-000001000000}">
            <xm:f>NOT(ISERROR(SEARCH("Yes",F2)))</xm:f>
            <x14:dxf>
              <font>
                <color rgb="FF9C6500"/>
              </font>
              <fill>
                <patternFill patternType="solid">
                  <bgColor rgb="FFFFEB9C"/>
                </patternFill>
              </fill>
            </x14:dxf>
          </x14:cfRule>
          <xm:sqref>F2:F30</xm:sqref>
        </x14:conditionalFormatting>
        <x14:conditionalFormatting xmlns:xm="http://schemas.microsoft.com/office/excel/2006/main">
          <x14:cfRule type="containsText" priority="2" operator="containsText" id="{00000000-000E-0000-1100-000002000000}">
            <xm:f>NOT(ISERROR(SEARCH("Yes",G2)))</xm:f>
            <x14:dxf>
              <font>
                <color rgb="FF006100"/>
              </font>
              <fill>
                <patternFill patternType="solid">
                  <bgColor rgb="FFC6EFCE"/>
                </patternFill>
              </fill>
            </x14:dxf>
          </x14:cfRule>
          <x14:cfRule type="containsText" priority="2" operator="containsText" id="{00000000-000E-0000-1100-000002000000}">
            <xm:f>NOT(ISERROR(SEARCH("No; explanation in comments",G2)))</xm:f>
            <x14:dxf>
              <font>
                <color rgb="FF9C0006"/>
              </font>
              <fill>
                <patternFill patternType="solid">
                  <bgColor rgb="FFFFC7CE"/>
                </patternFill>
              </fill>
            </x14:dxf>
          </x14:cfRule>
          <xm:sqref>G2:G30</xm:sqref>
        </x14:conditionalFormatting>
        <x14:conditionalFormatting xmlns:xm="http://schemas.microsoft.com/office/excel/2006/main">
          <x14:cfRule type="containsText" priority="3" operator="containsText" id="{00000000-000E-0000-1100-000003000000}">
            <xm:f>NOT(ISERROR(SEARCH("Yes",J2)))</xm:f>
            <x14:dxf>
              <font>
                <b/>
                <i/>
                <color rgb="FF403151"/>
              </font>
              <fill>
                <patternFill patternType="solid">
                  <bgColor rgb="FFCCC0DA"/>
                </patternFill>
              </fill>
            </x14:dxf>
          </x14:cfRule>
          <xm:sqref>J2:J30</xm:sqref>
        </x14:conditionalFormatting>
        <x14:conditionalFormatting xmlns:xm="http://schemas.microsoft.com/office/excel/2006/main">
          <x14:cfRule type="containsText" priority="4" operator="containsText" id="{00000000-000E-0000-1100-000004000000}">
            <xm:f>NOT(ISERROR(SEARCH("Mitigated",K2)))</xm:f>
            <x14:dxf>
              <font>
                <color rgb="FF006100"/>
              </font>
              <fill>
                <patternFill patternType="solid">
                  <bgColor rgb="FFC6EFCE"/>
                </patternFill>
              </fill>
            </x14:dxf>
          </x14:cfRule>
          <x14:cfRule type="containsText" priority="4" operator="containsText" id="{00000000-000E-0000-1100-000004000000}">
            <xm:f>NOT(ISERROR(SEARCH("Not Mitigated",K2)))</xm:f>
            <x14:dxf>
              <font>
                <color rgb="FF9C0006"/>
              </font>
              <fill>
                <patternFill patternType="solid">
                  <bgColor rgb="FFFFC7CE"/>
                </patternFill>
              </fill>
            </x14:dxf>
          </x14:cfRule>
          <xm:sqref>K2:K30</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6"/>
  <sheetViews>
    <sheetView workbookViewId="0"/>
  </sheetViews>
  <sheetFormatPr baseColWidth="10" defaultColWidth="8.83203125" defaultRowHeight="15" x14ac:dyDescent="0.2"/>
  <cols>
    <col min="1" max="1" width="18" customWidth="1"/>
    <col min="2" max="2" width="76" customWidth="1"/>
    <col min="3" max="3" width="10" customWidth="1"/>
    <col min="4" max="4" width="20" customWidth="1"/>
  </cols>
  <sheetData>
    <row r="1" spans="1:4" s="97" customFormat="1" ht="16" x14ac:dyDescent="0.2">
      <c r="A1" s="98" t="s">
        <v>1304</v>
      </c>
      <c r="B1" s="98" t="s">
        <v>1305</v>
      </c>
      <c r="C1" s="98" t="s">
        <v>1306</v>
      </c>
      <c r="D1" s="98" t="s">
        <v>1307</v>
      </c>
    </row>
    <row r="2" spans="1:4" s="49" customFormat="1" ht="26.75" customHeight="1" x14ac:dyDescent="0.2">
      <c r="A2" s="52" t="s">
        <v>1308</v>
      </c>
      <c r="B2" s="52" t="s">
        <v>1309</v>
      </c>
      <c r="D2" s="52" t="s">
        <v>1310</v>
      </c>
    </row>
    <row r="3" spans="1:4" s="49" customFormat="1" ht="26.75" customHeight="1" x14ac:dyDescent="0.2">
      <c r="A3" s="52" t="s">
        <v>1311</v>
      </c>
      <c r="B3" s="52" t="s">
        <v>1312</v>
      </c>
      <c r="D3" s="52" t="s">
        <v>1310</v>
      </c>
    </row>
    <row r="4" spans="1:4" s="49" customFormat="1" ht="26.75" customHeight="1" x14ac:dyDescent="0.2">
      <c r="A4" s="52" t="s">
        <v>4</v>
      </c>
      <c r="B4" s="52" t="s">
        <v>1313</v>
      </c>
      <c r="D4" s="52" t="s">
        <v>1310</v>
      </c>
    </row>
    <row r="5" spans="1:4" s="49" customFormat="1" ht="26.75" customHeight="1" x14ac:dyDescent="0.2">
      <c r="A5" s="52" t="s">
        <v>4</v>
      </c>
      <c r="B5" s="52" t="s">
        <v>1314</v>
      </c>
      <c r="D5" s="52" t="s">
        <v>1310</v>
      </c>
    </row>
    <row r="6" spans="1:4" s="49" customFormat="1" ht="26.75" customHeight="1" x14ac:dyDescent="0.2">
      <c r="A6" s="52" t="s">
        <v>4</v>
      </c>
      <c r="B6" s="52" t="s">
        <v>1315</v>
      </c>
      <c r="D6" s="52" t="s">
        <v>1310</v>
      </c>
    </row>
    <row r="7" spans="1:4" s="49" customFormat="1" ht="26.75" customHeight="1" x14ac:dyDescent="0.2">
      <c r="A7" s="52" t="s">
        <v>1316</v>
      </c>
      <c r="B7" s="52" t="s">
        <v>1317</v>
      </c>
      <c r="D7" s="52" t="s">
        <v>1310</v>
      </c>
    </row>
    <row r="8" spans="1:4" s="49" customFormat="1" ht="26.75" customHeight="1" x14ac:dyDescent="0.2">
      <c r="A8" s="52" t="s">
        <v>1318</v>
      </c>
      <c r="B8" s="52" t="s">
        <v>1319</v>
      </c>
      <c r="D8" s="52" t="s">
        <v>1310</v>
      </c>
    </row>
    <row r="9" spans="1:4" s="49" customFormat="1" ht="26.75" customHeight="1" x14ac:dyDescent="0.2">
      <c r="A9" s="52" t="s">
        <v>1320</v>
      </c>
      <c r="B9" s="52" t="s">
        <v>1321</v>
      </c>
      <c r="D9" s="52" t="s">
        <v>1310</v>
      </c>
    </row>
    <row r="10" spans="1:4" s="49" customFormat="1" ht="26.75" customHeight="1" x14ac:dyDescent="0.2">
      <c r="A10" s="52" t="s">
        <v>1322</v>
      </c>
      <c r="B10" s="52" t="s">
        <v>1323</v>
      </c>
      <c r="D10" s="52" t="s">
        <v>1310</v>
      </c>
    </row>
    <row r="11" spans="1:4" s="49" customFormat="1" ht="46.75" customHeight="1" x14ac:dyDescent="0.2">
      <c r="A11" s="52" t="s">
        <v>1324</v>
      </c>
      <c r="B11" s="52" t="s">
        <v>1325</v>
      </c>
      <c r="D11" s="52" t="s">
        <v>1326</v>
      </c>
    </row>
    <row r="12" spans="1:4" s="49" customFormat="1" ht="26.75" customHeight="1" x14ac:dyDescent="0.2">
      <c r="A12" s="52" t="s">
        <v>1327</v>
      </c>
      <c r="B12" s="52" t="s">
        <v>1328</v>
      </c>
      <c r="D12" s="52" t="s">
        <v>1329</v>
      </c>
    </row>
    <row r="13" spans="1:4" s="49" customFormat="1" ht="26.75" customHeight="1" x14ac:dyDescent="0.2">
      <c r="A13" s="52" t="s">
        <v>1330</v>
      </c>
      <c r="B13" s="52" t="s">
        <v>1331</v>
      </c>
      <c r="D13" s="52" t="s">
        <v>1332</v>
      </c>
    </row>
    <row r="14" spans="1:4" s="49" customFormat="1" ht="26.75" customHeight="1" x14ac:dyDescent="0.2">
      <c r="A14" s="52" t="s">
        <v>1333</v>
      </c>
      <c r="B14" s="52" t="s">
        <v>1334</v>
      </c>
      <c r="D14" s="52" t="s">
        <v>1335</v>
      </c>
    </row>
    <row r="15" spans="1:4" s="49" customFormat="1" ht="26.75" customHeight="1" x14ac:dyDescent="0.2">
      <c r="A15" s="52" t="s">
        <v>1336</v>
      </c>
      <c r="B15" s="52" t="s">
        <v>1337</v>
      </c>
      <c r="D15" s="52" t="s">
        <v>1338</v>
      </c>
    </row>
    <row r="16" spans="1:4" s="49" customFormat="1" ht="46.75" customHeight="1" x14ac:dyDescent="0.2">
      <c r="A16" s="52" t="s">
        <v>1339</v>
      </c>
      <c r="B16" s="52" t="s">
        <v>1340</v>
      </c>
      <c r="D16" s="52" t="s">
        <v>1341</v>
      </c>
    </row>
    <row r="17" spans="1:4" s="49" customFormat="1" ht="46.75" customHeight="1" x14ac:dyDescent="0.2">
      <c r="A17" s="52" t="s">
        <v>1342</v>
      </c>
      <c r="B17" s="52" t="s">
        <v>1343</v>
      </c>
      <c r="D17" s="52" t="s">
        <v>1344</v>
      </c>
    </row>
    <row r="18" spans="1:4" s="49" customFormat="1" ht="46.75" customHeight="1" x14ac:dyDescent="0.2">
      <c r="A18" s="52" t="s">
        <v>1345</v>
      </c>
      <c r="B18" s="52" t="s">
        <v>1346</v>
      </c>
      <c r="D18" s="52" t="s">
        <v>1347</v>
      </c>
    </row>
    <row r="19" spans="1:4" s="49" customFormat="1" ht="26.75" customHeight="1" x14ac:dyDescent="0.2">
      <c r="A19" s="52" t="s">
        <v>1348</v>
      </c>
      <c r="B19" s="52" t="s">
        <v>1349</v>
      </c>
      <c r="D19" s="52" t="s">
        <v>1350</v>
      </c>
    </row>
    <row r="20" spans="1:4" s="49" customFormat="1" ht="26.75" customHeight="1" x14ac:dyDescent="0.2">
      <c r="A20" s="52" t="s">
        <v>1351</v>
      </c>
      <c r="B20" s="52" t="s">
        <v>1352</v>
      </c>
      <c r="D20" s="52" t="s">
        <v>1353</v>
      </c>
    </row>
    <row r="21" spans="1:4" s="49" customFormat="1" ht="26.75" customHeight="1" x14ac:dyDescent="0.2">
      <c r="A21" s="52" t="s">
        <v>1354</v>
      </c>
      <c r="B21" s="52" t="s">
        <v>1355</v>
      </c>
      <c r="D21" s="52" t="s">
        <v>1356</v>
      </c>
    </row>
    <row r="22" spans="1:4" s="49" customFormat="1" ht="86.75" customHeight="1" x14ac:dyDescent="0.2">
      <c r="A22" s="52" t="s">
        <v>1357</v>
      </c>
      <c r="B22" s="52" t="s">
        <v>1358</v>
      </c>
      <c r="D22" s="52" t="s">
        <v>1359</v>
      </c>
    </row>
    <row r="23" spans="1:4" s="49" customFormat="1" ht="26.75" customHeight="1" x14ac:dyDescent="0.2">
      <c r="A23" s="52" t="s">
        <v>1360</v>
      </c>
      <c r="B23" s="52" t="s">
        <v>1361</v>
      </c>
      <c r="D23" s="52" t="s">
        <v>1362</v>
      </c>
    </row>
    <row r="24" spans="1:4" s="49" customFormat="1" ht="26.75" customHeight="1" x14ac:dyDescent="0.2">
      <c r="A24" s="52" t="s">
        <v>1363</v>
      </c>
      <c r="B24" s="52" t="s">
        <v>1364</v>
      </c>
      <c r="D24" s="52" t="s">
        <v>1365</v>
      </c>
    </row>
    <row r="25" spans="1:4" s="49" customFormat="1" ht="26.75" customHeight="1" x14ac:dyDescent="0.2">
      <c r="A25" s="52" t="s">
        <v>1366</v>
      </c>
      <c r="B25" s="52" t="s">
        <v>1367</v>
      </c>
      <c r="D25" s="52" t="s">
        <v>1368</v>
      </c>
    </row>
    <row r="26" spans="1:4" s="49" customFormat="1" ht="26.75" customHeight="1" x14ac:dyDescent="0.2">
      <c r="A26" s="52" t="s">
        <v>1369</v>
      </c>
      <c r="B26" s="52" t="s">
        <v>1370</v>
      </c>
      <c r="D26" s="52" t="s">
        <v>1371</v>
      </c>
    </row>
    <row r="27" spans="1:4" s="49" customFormat="1" ht="26.75" customHeight="1" x14ac:dyDescent="0.2">
      <c r="A27" s="52" t="s">
        <v>1372</v>
      </c>
      <c r="B27" s="52" t="s">
        <v>1373</v>
      </c>
      <c r="D27" s="52" t="s">
        <v>1374</v>
      </c>
    </row>
    <row r="28" spans="1:4" s="49" customFormat="1" ht="26.75" customHeight="1" x14ac:dyDescent="0.2">
      <c r="A28" s="52" t="s">
        <v>1375</v>
      </c>
      <c r="B28" s="52" t="s">
        <v>1376</v>
      </c>
      <c r="D28" s="52" t="s">
        <v>1377</v>
      </c>
    </row>
    <row r="29" spans="1:4" s="49" customFormat="1" ht="146.75" customHeight="1" x14ac:dyDescent="0.2">
      <c r="A29" s="52" t="s">
        <v>1378</v>
      </c>
      <c r="B29" s="52" t="s">
        <v>1379</v>
      </c>
      <c r="D29" s="52" t="s">
        <v>1380</v>
      </c>
    </row>
    <row r="30" spans="1:4" s="49" customFormat="1" ht="86.75" customHeight="1" x14ac:dyDescent="0.2">
      <c r="A30" s="52" t="s">
        <v>1381</v>
      </c>
      <c r="B30" s="52" t="s">
        <v>1382</v>
      </c>
      <c r="D30" s="52" t="s">
        <v>1380</v>
      </c>
    </row>
    <row r="31" spans="1:4" s="49" customFormat="1" ht="46.75" customHeight="1" x14ac:dyDescent="0.2">
      <c r="A31" s="52" t="s">
        <v>1383</v>
      </c>
      <c r="B31" s="52" t="s">
        <v>1384</v>
      </c>
      <c r="D31" s="52" t="s">
        <v>1385</v>
      </c>
    </row>
    <row r="32" spans="1:4" s="49" customFormat="1" ht="46.75" customHeight="1" x14ac:dyDescent="0.2">
      <c r="A32" s="52" t="s">
        <v>1386</v>
      </c>
      <c r="B32" s="52" t="s">
        <v>1387</v>
      </c>
      <c r="D32" s="52" t="s">
        <v>1388</v>
      </c>
    </row>
    <row r="33" spans="1:4" s="49" customFormat="1" ht="46.75" customHeight="1" x14ac:dyDescent="0.2">
      <c r="A33" s="52" t="s">
        <v>1389</v>
      </c>
      <c r="B33" s="52" t="s">
        <v>1390</v>
      </c>
      <c r="D33" s="52" t="s">
        <v>1391</v>
      </c>
    </row>
    <row r="34" spans="1:4" s="49" customFormat="1" ht="26.75" customHeight="1" x14ac:dyDescent="0.2">
      <c r="A34" s="52" t="s">
        <v>1392</v>
      </c>
      <c r="B34" s="52" t="s">
        <v>1393</v>
      </c>
      <c r="D34" s="52" t="s">
        <v>1394</v>
      </c>
    </row>
    <row r="35" spans="1:4" s="49" customFormat="1" ht="26.75" customHeight="1" x14ac:dyDescent="0.2">
      <c r="A35" s="52" t="s">
        <v>1395</v>
      </c>
      <c r="B35" s="52" t="s">
        <v>1396</v>
      </c>
      <c r="D35" s="52" t="s">
        <v>1397</v>
      </c>
    </row>
    <row r="36" spans="1:4" s="49" customFormat="1" ht="46.75" customHeight="1" x14ac:dyDescent="0.2">
      <c r="A36" s="52" t="s">
        <v>1398</v>
      </c>
      <c r="B36" s="52" t="s">
        <v>1399</v>
      </c>
      <c r="D36" s="52" t="s">
        <v>1400</v>
      </c>
    </row>
    <row r="37" spans="1:4" s="49" customFormat="1" ht="106.75" customHeight="1" x14ac:dyDescent="0.2">
      <c r="A37" s="52" t="s">
        <v>1401</v>
      </c>
      <c r="B37" s="52" t="s">
        <v>1402</v>
      </c>
      <c r="D37" s="52" t="s">
        <v>1403</v>
      </c>
    </row>
    <row r="38" spans="1:4" s="49" customFormat="1" ht="66.75" customHeight="1" x14ac:dyDescent="0.2">
      <c r="A38" s="52" t="s">
        <v>1404</v>
      </c>
      <c r="B38" s="52" t="s">
        <v>1405</v>
      </c>
      <c r="D38" s="52" t="s">
        <v>1406</v>
      </c>
    </row>
    <row r="39" spans="1:4" s="49" customFormat="1" ht="26.75" customHeight="1" x14ac:dyDescent="0.2">
      <c r="A39" s="52" t="s">
        <v>1407</v>
      </c>
      <c r="B39" s="52" t="s">
        <v>1408</v>
      </c>
      <c r="D39" s="52" t="s">
        <v>1409</v>
      </c>
    </row>
    <row r="40" spans="1:4" s="49" customFormat="1" ht="26.75" customHeight="1" x14ac:dyDescent="0.2">
      <c r="A40" s="52" t="s">
        <v>1410</v>
      </c>
      <c r="B40" s="52" t="s">
        <v>1411</v>
      </c>
      <c r="D40" s="52" t="s">
        <v>1412</v>
      </c>
    </row>
    <row r="41" spans="1:4" s="49" customFormat="1" ht="46.75" customHeight="1" x14ac:dyDescent="0.2">
      <c r="A41" s="52" t="s">
        <v>1413</v>
      </c>
      <c r="B41" s="52" t="s">
        <v>1414</v>
      </c>
      <c r="D41" s="52" t="s">
        <v>1415</v>
      </c>
    </row>
    <row r="42" spans="1:4" s="49" customFormat="1" ht="66.75" customHeight="1" x14ac:dyDescent="0.2">
      <c r="A42" s="52" t="s">
        <v>1416</v>
      </c>
      <c r="B42" s="52" t="s">
        <v>1417</v>
      </c>
      <c r="D42" s="52" t="s">
        <v>1418</v>
      </c>
    </row>
    <row r="43" spans="1:4" s="49" customFormat="1" ht="26.75" customHeight="1" x14ac:dyDescent="0.2">
      <c r="A43" s="52" t="s">
        <v>1419</v>
      </c>
      <c r="B43" s="52" t="s">
        <v>1420</v>
      </c>
      <c r="D43" s="52" t="s">
        <v>1421</v>
      </c>
    </row>
    <row r="44" spans="1:4" s="49" customFormat="1" ht="146.75" customHeight="1" x14ac:dyDescent="0.2">
      <c r="A44" s="52" t="s">
        <v>1422</v>
      </c>
      <c r="B44" s="52" t="s">
        <v>1423</v>
      </c>
      <c r="D44" s="52" t="s">
        <v>1424</v>
      </c>
    </row>
    <row r="45" spans="1:4" s="49" customFormat="1" ht="46.75" customHeight="1" x14ac:dyDescent="0.2">
      <c r="A45" s="52" t="s">
        <v>1425</v>
      </c>
      <c r="B45" s="52" t="s">
        <v>1426</v>
      </c>
      <c r="D45" s="52" t="s">
        <v>1427</v>
      </c>
    </row>
    <row r="46" spans="1:4" s="49" customFormat="1" ht="26.75" customHeight="1" x14ac:dyDescent="0.2">
      <c r="A46" s="99" t="s">
        <v>1428</v>
      </c>
      <c r="B46" s="99" t="s">
        <v>1429</v>
      </c>
      <c r="C46" s="52" t="s">
        <v>1430</v>
      </c>
      <c r="D46" s="52" t="s">
        <v>1431</v>
      </c>
    </row>
  </sheetData>
  <hyperlinks>
    <hyperlink ref="A46" r:id="rId1" xr:uid="{00000000-0004-0000-1200-000000000000}"/>
    <hyperlink ref="B46" r:id="rId2" xr:uid="{00000000-0004-0000-12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A229"/>
  <sheetViews>
    <sheetView showGridLines="0" topLeftCell="A6" workbookViewId="0">
      <selection activeCell="E10" sqref="E10"/>
    </sheetView>
  </sheetViews>
  <sheetFormatPr baseColWidth="10" defaultColWidth="8.83203125" defaultRowHeight="15" x14ac:dyDescent="0.2"/>
  <cols>
    <col min="1" max="2" width="2" style="2" customWidth="1"/>
    <col min="3" max="3" width="30" style="3" customWidth="1"/>
    <col min="4" max="4" width="2" customWidth="1"/>
    <col min="5" max="9" width="18" customWidth="1"/>
    <col min="10" max="10" width="18" style="2" customWidth="1"/>
    <col min="11" max="209" width="9" style="2" customWidth="1"/>
  </cols>
  <sheetData>
    <row r="1" spans="1:209" x14ac:dyDescent="0.2">
      <c r="C1" s="4"/>
      <c r="D1" s="2"/>
      <c r="E1" s="2"/>
      <c r="F1" s="2"/>
      <c r="G1" s="2"/>
      <c r="H1" s="2"/>
      <c r="I1" s="2"/>
    </row>
    <row r="2" spans="1:209" x14ac:dyDescent="0.2">
      <c r="B2" s="5"/>
      <c r="C2" s="6"/>
      <c r="D2" s="7"/>
      <c r="E2" s="7"/>
      <c r="F2" s="7"/>
      <c r="G2" s="7"/>
      <c r="H2" s="7"/>
      <c r="I2" s="8"/>
    </row>
    <row r="3" spans="1:209" ht="19" x14ac:dyDescent="0.25">
      <c r="B3" s="9"/>
      <c r="C3" s="10" t="s">
        <v>1</v>
      </c>
      <c r="D3" s="100"/>
      <c r="E3" s="100"/>
      <c r="F3" s="100"/>
      <c r="G3" s="100"/>
      <c r="I3" s="11"/>
    </row>
    <row r="4" spans="1:209" x14ac:dyDescent="0.2">
      <c r="B4" s="9"/>
      <c r="I4" s="11"/>
    </row>
    <row r="5" spans="1:209" ht="19" x14ac:dyDescent="0.25">
      <c r="B5" s="9"/>
      <c r="C5" s="10" t="s">
        <v>2</v>
      </c>
      <c r="D5" s="100"/>
      <c r="E5" s="100"/>
      <c r="F5" s="100"/>
      <c r="G5" s="100"/>
      <c r="I5" s="11"/>
    </row>
    <row r="6" spans="1:209" x14ac:dyDescent="0.2">
      <c r="B6" s="9"/>
      <c r="I6" s="11"/>
    </row>
    <row r="7" spans="1:209" ht="19" x14ac:dyDescent="0.25">
      <c r="B7" s="9"/>
      <c r="C7" s="10" t="s">
        <v>3</v>
      </c>
      <c r="D7" s="100"/>
      <c r="E7" s="100"/>
      <c r="F7" s="100"/>
      <c r="G7" s="100"/>
      <c r="I7" s="11"/>
    </row>
    <row r="8" spans="1:209" x14ac:dyDescent="0.2">
      <c r="B8" s="9"/>
      <c r="I8" s="11"/>
    </row>
    <row r="9" spans="1:209" s="12" customFormat="1" ht="16" x14ac:dyDescent="0.2">
      <c r="A9" s="13" t="s">
        <v>4</v>
      </c>
      <c r="B9" s="14" t="s">
        <v>4</v>
      </c>
      <c r="C9" s="15" t="s">
        <v>5</v>
      </c>
      <c r="D9" s="16" t="s">
        <v>4</v>
      </c>
      <c r="E9" s="16" t="s">
        <v>6</v>
      </c>
      <c r="F9" s="16" t="s">
        <v>7</v>
      </c>
      <c r="G9" s="16" t="s">
        <v>8</v>
      </c>
      <c r="H9" s="14" t="s">
        <v>9</v>
      </c>
      <c r="I9" s="17" t="s">
        <v>10</v>
      </c>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row>
    <row r="10" spans="1:209" s="19" customFormat="1" ht="16" x14ac:dyDescent="0.2">
      <c r="A10" s="20" t="s">
        <v>4</v>
      </c>
      <c r="B10" s="21" t="s">
        <v>4</v>
      </c>
      <c r="C10" s="22" t="s">
        <v>11</v>
      </c>
      <c r="D10" s="23" t="s">
        <v>4</v>
      </c>
      <c r="E10" s="23">
        <f>SLTotalIdentified</f>
        <v>63</v>
      </c>
      <c r="F10" s="23" t="s">
        <v>12</v>
      </c>
      <c r="G10" s="23" t="s">
        <v>12</v>
      </c>
      <c r="H10" s="21" t="s">
        <v>12</v>
      </c>
      <c r="I10" s="24" t="s">
        <v>12</v>
      </c>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row>
    <row r="11" spans="1:209" s="19" customFormat="1" ht="16" x14ac:dyDescent="0.2">
      <c r="A11" s="20" t="s">
        <v>4</v>
      </c>
      <c r="B11" s="21" t="s">
        <v>4</v>
      </c>
      <c r="C11" s="22" t="s">
        <v>13</v>
      </c>
      <c r="D11" s="23" t="s">
        <v>4</v>
      </c>
      <c r="E11" s="23">
        <f>GENERALTotalIdentified</f>
        <v>17</v>
      </c>
      <c r="F11" s="23">
        <f>GENERALTotalReviewedRiskMitigated</f>
        <v>13</v>
      </c>
      <c r="G11" s="23">
        <f>GENERALTotalReviewedRiskNotMitigated</f>
        <v>0</v>
      </c>
      <c r="H11" s="26">
        <f t="shared" ref="H11:H24" si="0">IF(E11=0, 0,IF(E11&gt;0,(F11)/E11, 1))</f>
        <v>0.76470588235294112</v>
      </c>
      <c r="I11" s="27">
        <f t="shared" ref="I11:I24" si="1">IF(E11=0, 0,IF(E11&gt;0,(F11+G11)/E11, 1))</f>
        <v>0.76470588235294112</v>
      </c>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row>
    <row r="12" spans="1:209" s="19" customFormat="1" ht="16" x14ac:dyDescent="0.2">
      <c r="A12" s="20" t="s">
        <v>4</v>
      </c>
      <c r="B12" s="21" t="s">
        <v>4</v>
      </c>
      <c r="C12" s="22" t="s">
        <v>14</v>
      </c>
      <c r="D12" s="23" t="s">
        <v>4</v>
      </c>
      <c r="E12" s="23">
        <f>COMPUTETotalIdentified</f>
        <v>0</v>
      </c>
      <c r="F12" s="23">
        <f>COMPUTETotalReviewedRiskMitigated</f>
        <v>0</v>
      </c>
      <c r="G12" s="23">
        <f>COMPUTETotalReviewedRiskNotMitigated</f>
        <v>0</v>
      </c>
      <c r="H12" s="26">
        <f t="shared" si="0"/>
        <v>0</v>
      </c>
      <c r="I12" s="27">
        <f t="shared" si="1"/>
        <v>0</v>
      </c>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row>
    <row r="13" spans="1:209" s="19" customFormat="1" ht="16" x14ac:dyDescent="0.2">
      <c r="A13" s="20" t="s">
        <v>4</v>
      </c>
      <c r="B13" s="21" t="s">
        <v>4</v>
      </c>
      <c r="C13" s="22" t="s">
        <v>15</v>
      </c>
      <c r="D13" s="23" t="s">
        <v>4</v>
      </c>
      <c r="E13" s="23">
        <f>STORAGETotalIdentified</f>
        <v>0</v>
      </c>
      <c r="F13" s="23">
        <f>STORAGETotalReviewedRiskMitigated</f>
        <v>0</v>
      </c>
      <c r="G13" s="23">
        <f>STORAGETotalReviewedRiskNotMitigated</f>
        <v>0</v>
      </c>
      <c r="H13" s="26">
        <f t="shared" si="0"/>
        <v>0</v>
      </c>
      <c r="I13" s="27">
        <f t="shared" si="1"/>
        <v>0</v>
      </c>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row>
    <row r="14" spans="1:209" s="19" customFormat="1" ht="16" x14ac:dyDescent="0.2">
      <c r="A14" s="20" t="s">
        <v>4</v>
      </c>
      <c r="B14" s="21" t="s">
        <v>4</v>
      </c>
      <c r="C14" s="22" t="s">
        <v>16</v>
      </c>
      <c r="D14" s="23" t="s">
        <v>4</v>
      </c>
      <c r="E14" s="23">
        <f>DATABASESTotalIdentified</f>
        <v>0</v>
      </c>
      <c r="F14" s="23">
        <f>DATABASESTotalReviewedRiskMitigated</f>
        <v>0</v>
      </c>
      <c r="G14" s="23">
        <f>DATABASESTotalReviewedRiskNotMitigated</f>
        <v>0</v>
      </c>
      <c r="H14" s="26">
        <f t="shared" si="0"/>
        <v>0</v>
      </c>
      <c r="I14" s="27">
        <f t="shared" si="1"/>
        <v>0</v>
      </c>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row>
    <row r="15" spans="1:209" s="19" customFormat="1" ht="16" x14ac:dyDescent="0.2">
      <c r="A15" s="20" t="s">
        <v>4</v>
      </c>
      <c r="B15" s="21" t="s">
        <v>4</v>
      </c>
      <c r="C15" s="22" t="s">
        <v>17</v>
      </c>
      <c r="D15" s="23" t="s">
        <v>4</v>
      </c>
      <c r="E15" s="23">
        <f>NETWORK_AND_DELIVERYTotalIdentified</f>
        <v>9</v>
      </c>
      <c r="F15" s="23">
        <f>NETWORK_AND_DELIVERYTotalReviewedRiskMitigated</f>
        <v>6</v>
      </c>
      <c r="G15" s="23">
        <f>NETWORK_AND_DELIVERYTotalReviewedRiskNotMitigated</f>
        <v>0</v>
      </c>
      <c r="H15" s="26">
        <f t="shared" si="0"/>
        <v>0.66666666666666663</v>
      </c>
      <c r="I15" s="27">
        <f t="shared" si="1"/>
        <v>0.66666666666666663</v>
      </c>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c r="FA15" s="25"/>
      <c r="FB15" s="25"/>
      <c r="FC15" s="25"/>
      <c r="FD15" s="25"/>
      <c r="FE15" s="25"/>
      <c r="FF15" s="25"/>
      <c r="FG15" s="25"/>
      <c r="FH15" s="25"/>
      <c r="FI15" s="25"/>
      <c r="FJ15" s="25"/>
      <c r="FK15" s="25"/>
      <c r="FL15" s="25"/>
      <c r="FM15" s="25"/>
      <c r="FN15" s="25"/>
      <c r="FO15" s="25"/>
      <c r="FP15" s="25"/>
      <c r="FQ15" s="25"/>
      <c r="FR15" s="25"/>
      <c r="FS15" s="25"/>
      <c r="FT15" s="25"/>
      <c r="FU15" s="25"/>
      <c r="FV15" s="25"/>
      <c r="FW15" s="25"/>
      <c r="FX15" s="25"/>
      <c r="FY15" s="25"/>
      <c r="FZ15" s="25"/>
      <c r="GA15" s="25"/>
      <c r="GB15" s="25"/>
      <c r="GC15" s="25"/>
      <c r="GD15" s="25"/>
      <c r="GE15" s="25"/>
      <c r="GF15" s="25"/>
      <c r="GG15" s="25"/>
      <c r="GH15" s="25"/>
      <c r="GI15" s="25"/>
      <c r="GJ15" s="25"/>
      <c r="GK15" s="25"/>
      <c r="GL15" s="25"/>
      <c r="GM15" s="25"/>
      <c r="GN15" s="25"/>
      <c r="GO15" s="25"/>
      <c r="GP15" s="25"/>
      <c r="GQ15" s="25"/>
      <c r="GR15" s="25"/>
      <c r="GS15" s="25"/>
      <c r="GT15" s="25"/>
      <c r="GU15" s="25"/>
      <c r="GV15" s="25"/>
      <c r="GW15" s="25"/>
      <c r="GX15" s="25"/>
      <c r="GY15" s="25"/>
      <c r="GZ15" s="25"/>
      <c r="HA15" s="25"/>
    </row>
    <row r="16" spans="1:209" s="19" customFormat="1" ht="16" x14ac:dyDescent="0.2">
      <c r="A16" s="20" t="s">
        <v>4</v>
      </c>
      <c r="B16" s="21" t="s">
        <v>4</v>
      </c>
      <c r="C16" s="22" t="s">
        <v>18</v>
      </c>
      <c r="D16" s="23" t="s">
        <v>4</v>
      </c>
      <c r="E16" s="23">
        <f>MANAGEMENT_AND_GOVERNANCETotalIdentified</f>
        <v>3</v>
      </c>
      <c r="F16" s="23">
        <f>MANAGEMENT_AND_GOVERNANCETotalReviewedRiskMitigated</f>
        <v>3</v>
      </c>
      <c r="G16" s="23">
        <f>MANAGEMENT_AND_GOVERNANCETotalReviewedRiskNotMitigated</f>
        <v>0</v>
      </c>
      <c r="H16" s="26">
        <f t="shared" si="0"/>
        <v>1</v>
      </c>
      <c r="I16" s="27">
        <f t="shared" si="1"/>
        <v>1</v>
      </c>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c r="FY16" s="25"/>
      <c r="FZ16" s="25"/>
      <c r="GA16" s="25"/>
      <c r="GB16" s="25"/>
      <c r="GC16" s="25"/>
      <c r="GD16" s="25"/>
      <c r="GE16" s="25"/>
      <c r="GF16" s="25"/>
      <c r="GG16" s="25"/>
      <c r="GH16" s="25"/>
      <c r="GI16" s="25"/>
      <c r="GJ16" s="25"/>
      <c r="GK16" s="25"/>
      <c r="GL16" s="25"/>
      <c r="GM16" s="25"/>
      <c r="GN16" s="25"/>
      <c r="GO16" s="25"/>
      <c r="GP16" s="25"/>
      <c r="GQ16" s="25"/>
      <c r="GR16" s="25"/>
      <c r="GS16" s="25"/>
      <c r="GT16" s="25"/>
      <c r="GU16" s="25"/>
      <c r="GV16" s="25"/>
      <c r="GW16" s="25"/>
      <c r="GX16" s="25"/>
      <c r="GY16" s="25"/>
      <c r="GZ16" s="25"/>
      <c r="HA16" s="25"/>
    </row>
    <row r="17" spans="1:209" s="19" customFormat="1" ht="16" x14ac:dyDescent="0.2">
      <c r="A17" s="20" t="s">
        <v>4</v>
      </c>
      <c r="B17" s="21" t="s">
        <v>4</v>
      </c>
      <c r="C17" s="22" t="s">
        <v>19</v>
      </c>
      <c r="D17" s="23" t="s">
        <v>4</v>
      </c>
      <c r="E17" s="23">
        <f>MACHINE_LEARNINGTotalIdentified</f>
        <v>4</v>
      </c>
      <c r="F17" s="23">
        <f>MACHINE_LEARNINGTotalReviewedRiskMitigated</f>
        <v>3</v>
      </c>
      <c r="G17" s="23">
        <f>MACHINE_LEARNINGTotalReviewedRiskNotMitigated</f>
        <v>0</v>
      </c>
      <c r="H17" s="26">
        <f t="shared" si="0"/>
        <v>0.75</v>
      </c>
      <c r="I17" s="27">
        <f t="shared" si="1"/>
        <v>0.75</v>
      </c>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row>
    <row r="18" spans="1:209" s="19" customFormat="1" ht="16" x14ac:dyDescent="0.2">
      <c r="A18" s="20" t="s">
        <v>4</v>
      </c>
      <c r="B18" s="21" t="s">
        <v>4</v>
      </c>
      <c r="C18" s="22" t="s">
        <v>20</v>
      </c>
      <c r="D18" s="23" t="s">
        <v>4</v>
      </c>
      <c r="E18" s="23">
        <f>ANALYTICSTotalIdentified</f>
        <v>0</v>
      </c>
      <c r="F18" s="23">
        <f>ANALYTICSTotalReviewedRiskMitigated</f>
        <v>0</v>
      </c>
      <c r="G18" s="23">
        <f>ANALYTICSTotalReviewedRiskNotMitigated</f>
        <v>0</v>
      </c>
      <c r="H18" s="26">
        <f t="shared" si="0"/>
        <v>0</v>
      </c>
      <c r="I18" s="27">
        <f t="shared" si="1"/>
        <v>0</v>
      </c>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row>
    <row r="19" spans="1:209" s="19" customFormat="1" ht="16" x14ac:dyDescent="0.2">
      <c r="A19" s="20" t="s">
        <v>4</v>
      </c>
      <c r="B19" s="21" t="s">
        <v>4</v>
      </c>
      <c r="C19" s="22" t="s">
        <v>21</v>
      </c>
      <c r="D19" s="23" t="s">
        <v>4</v>
      </c>
      <c r="E19" s="23">
        <f>SECURITY_AND_COMPLIANCETotalIdentified</f>
        <v>6</v>
      </c>
      <c r="F19" s="23">
        <f>SECURITY_AND_COMPLIANCETotalReviewedRiskMitigated</f>
        <v>6</v>
      </c>
      <c r="G19" s="23">
        <f>SECURITY_AND_COMPLIANCETotalReviewedRiskNotMitigated</f>
        <v>0</v>
      </c>
      <c r="H19" s="26">
        <f t="shared" si="0"/>
        <v>1</v>
      </c>
      <c r="I19" s="27">
        <f t="shared" si="1"/>
        <v>1</v>
      </c>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row>
    <row r="20" spans="1:209" s="19" customFormat="1" ht="16" x14ac:dyDescent="0.2">
      <c r="A20" s="20" t="s">
        <v>4</v>
      </c>
      <c r="B20" s="21" t="s">
        <v>4</v>
      </c>
      <c r="C20" s="22" t="s">
        <v>22</v>
      </c>
      <c r="D20" s="23" t="s">
        <v>4</v>
      </c>
      <c r="E20" s="23">
        <f>SERVERLESSTotalIdentified</f>
        <v>8</v>
      </c>
      <c r="F20" s="23">
        <f>SERVERLESSTotalReviewedRiskMitigated</f>
        <v>7</v>
      </c>
      <c r="G20" s="23">
        <f>SERVERLESSTotalReviewedRiskNotMitigated</f>
        <v>0</v>
      </c>
      <c r="H20" s="26">
        <f t="shared" si="0"/>
        <v>0.875</v>
      </c>
      <c r="I20" s="27">
        <f t="shared" si="1"/>
        <v>0.875</v>
      </c>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row>
    <row r="21" spans="1:209" s="19" customFormat="1" ht="16" x14ac:dyDescent="0.2">
      <c r="A21" s="20" t="s">
        <v>4</v>
      </c>
      <c r="B21" s="21" t="s">
        <v>4</v>
      </c>
      <c r="C21" s="22" t="s">
        <v>23</v>
      </c>
      <c r="D21" s="23" t="s">
        <v>4</v>
      </c>
      <c r="E21" s="23">
        <f>APPLICATION_INTEGRATIONTotalIdentified</f>
        <v>0</v>
      </c>
      <c r="F21" s="23">
        <f>APPLICATION_INTEGRATIONTotalReviewedRiskMitigated</f>
        <v>0</v>
      </c>
      <c r="G21" s="23">
        <f>APPLICATION_INTEGRATIONTotalReviewedRiskNotMitigated</f>
        <v>0</v>
      </c>
      <c r="H21" s="26">
        <f t="shared" si="0"/>
        <v>0</v>
      </c>
      <c r="I21" s="27">
        <f t="shared" si="1"/>
        <v>0</v>
      </c>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row>
    <row r="22" spans="1:209" s="19" customFormat="1" ht="16" x14ac:dyDescent="0.2">
      <c r="A22" s="20" t="s">
        <v>4</v>
      </c>
      <c r="B22" s="21" t="s">
        <v>4</v>
      </c>
      <c r="C22" s="22" t="s">
        <v>24</v>
      </c>
      <c r="D22" s="23" t="s">
        <v>4</v>
      </c>
      <c r="E22" s="23">
        <f>MEDIA_SERVICESTotalIdentified</f>
        <v>0</v>
      </c>
      <c r="F22" s="23">
        <f>MEDIA_SERVICESTotalReviewedRiskMitigated</f>
        <v>0</v>
      </c>
      <c r="G22" s="23">
        <f>MEDIA_SERVICESTotalReviewedRiskNotMitigated</f>
        <v>0</v>
      </c>
      <c r="H22" s="26">
        <f t="shared" si="0"/>
        <v>0</v>
      </c>
      <c r="I22" s="27">
        <f t="shared" si="1"/>
        <v>0</v>
      </c>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c r="GW22" s="25"/>
      <c r="GX22" s="25"/>
      <c r="GY22" s="25"/>
      <c r="GZ22" s="25"/>
      <c r="HA22" s="25"/>
    </row>
    <row r="23" spans="1:209" s="19" customFormat="1" ht="16" x14ac:dyDescent="0.2">
      <c r="A23" s="20" t="s">
        <v>4</v>
      </c>
      <c r="B23" s="21" t="s">
        <v>4</v>
      </c>
      <c r="C23" s="22" t="s">
        <v>25</v>
      </c>
      <c r="D23" s="23" t="s">
        <v>4</v>
      </c>
      <c r="E23" s="23">
        <f>DEVELOPER_TOOLSTotalIdentified</f>
        <v>0</v>
      </c>
      <c r="F23" s="23">
        <f>DEVELOPER_TOOLSTotalReviewedRiskMitigated</f>
        <v>0</v>
      </c>
      <c r="G23" s="23">
        <f>DEVELOPER_TOOLSTotalReviewedRiskNotMitigated</f>
        <v>0</v>
      </c>
      <c r="H23" s="26">
        <f t="shared" si="0"/>
        <v>0</v>
      </c>
      <c r="I23" s="27">
        <f t="shared" si="1"/>
        <v>0</v>
      </c>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row>
    <row r="24" spans="1:209" s="19" customFormat="1" ht="16" x14ac:dyDescent="0.2">
      <c r="A24" s="20" t="s">
        <v>4</v>
      </c>
      <c r="B24" s="21" t="s">
        <v>4</v>
      </c>
      <c r="C24" s="22" t="s">
        <v>26</v>
      </c>
      <c r="D24" s="23" t="s">
        <v>4</v>
      </c>
      <c r="E24" s="23">
        <f>INTERNET_OF_THINGSTotalIdentified</f>
        <v>0</v>
      </c>
      <c r="F24" s="23">
        <f>INTERNET_OF_THINGSTotalReviewedRiskMitigated</f>
        <v>0</v>
      </c>
      <c r="G24" s="23">
        <f>INTERNET_OF_THINGSTotalReviewedRiskNotMitigated</f>
        <v>0</v>
      </c>
      <c r="H24" s="26">
        <f t="shared" si="0"/>
        <v>0</v>
      </c>
      <c r="I24" s="27">
        <f t="shared" si="1"/>
        <v>0</v>
      </c>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c r="GI24" s="25"/>
      <c r="GJ24" s="25"/>
      <c r="GK24" s="25"/>
      <c r="GL24" s="25"/>
      <c r="GM24" s="25"/>
      <c r="GN24" s="25"/>
      <c r="GO24" s="25"/>
      <c r="GP24" s="25"/>
      <c r="GQ24" s="25"/>
      <c r="GR24" s="25"/>
      <c r="GS24" s="25"/>
      <c r="GT24" s="25"/>
      <c r="GU24" s="25"/>
      <c r="GV24" s="25"/>
      <c r="GW24" s="25"/>
      <c r="GX24" s="25"/>
      <c r="GY24" s="25"/>
      <c r="GZ24" s="25"/>
      <c r="HA24" s="25"/>
    </row>
    <row r="25" spans="1:209" x14ac:dyDescent="0.2">
      <c r="B25" s="9"/>
      <c r="H25" s="9"/>
      <c r="I25" s="11"/>
    </row>
    <row r="26" spans="1:209" s="12" customFormat="1" ht="16" x14ac:dyDescent="0.2">
      <c r="A26" s="13" t="s">
        <v>4</v>
      </c>
      <c r="B26" s="14" t="s">
        <v>4</v>
      </c>
      <c r="C26" s="28" t="s">
        <v>27</v>
      </c>
      <c r="D26" s="29" t="s">
        <v>4</v>
      </c>
      <c r="E26" s="29">
        <f>SUM(E10:E24)</f>
        <v>110</v>
      </c>
      <c r="F26" s="29">
        <f>SUM(F10:F24)</f>
        <v>38</v>
      </c>
      <c r="G26" s="29">
        <f>SUM(G10:G24)</f>
        <v>0</v>
      </c>
      <c r="H26" s="30">
        <f>IF(E26=0, 0,IF(E26&gt;0,(F26)/E26, 1))</f>
        <v>0.34545454545454546</v>
      </c>
      <c r="I26" s="31">
        <f>IF(E26=0, 0,IF(E26&gt;0,(F26+G26)/E26, 1))</f>
        <v>0.34545454545454546</v>
      </c>
      <c r="J26" s="13" t="s">
        <v>4</v>
      </c>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row>
    <row r="27" spans="1:209" x14ac:dyDescent="0.2">
      <c r="B27" s="9"/>
      <c r="I27" s="11"/>
    </row>
    <row r="28" spans="1:209" ht="16" x14ac:dyDescent="0.2">
      <c r="B28" s="9"/>
      <c r="C28" s="22" t="s">
        <v>28</v>
      </c>
      <c r="I28" s="11"/>
    </row>
    <row r="29" spans="1:209" x14ac:dyDescent="0.2">
      <c r="B29" s="32"/>
      <c r="C29" s="33"/>
      <c r="D29" s="34"/>
      <c r="E29" s="34"/>
      <c r="F29" s="34"/>
      <c r="G29" s="34"/>
      <c r="H29" s="34"/>
      <c r="I29" s="35"/>
    </row>
    <row r="30" spans="1:209" x14ac:dyDescent="0.2">
      <c r="C30" s="4"/>
      <c r="D30" s="2"/>
      <c r="E30" s="2"/>
      <c r="F30" s="2"/>
      <c r="G30" s="2"/>
      <c r="H30" s="2"/>
      <c r="I30" s="2"/>
    </row>
    <row r="31" spans="1:209" x14ac:dyDescent="0.2">
      <c r="C31" s="4"/>
      <c r="D31" s="2"/>
      <c r="E31" s="2"/>
      <c r="F31" s="2"/>
      <c r="G31" s="2"/>
      <c r="H31" s="2"/>
      <c r="I31" s="2"/>
    </row>
    <row r="32" spans="1:209" x14ac:dyDescent="0.2">
      <c r="C32" s="4"/>
      <c r="D32" s="2"/>
      <c r="E32" s="2"/>
      <c r="F32" s="2"/>
      <c r="G32" s="2"/>
      <c r="H32" s="2"/>
      <c r="I32" s="2"/>
    </row>
    <row r="33" spans="3:9" x14ac:dyDescent="0.2">
      <c r="C33" s="4"/>
      <c r="D33" s="2"/>
      <c r="E33" s="2"/>
      <c r="F33" s="2"/>
      <c r="G33" s="2"/>
      <c r="H33" s="2"/>
      <c r="I33" s="2"/>
    </row>
    <row r="34" spans="3:9" x14ac:dyDescent="0.2">
      <c r="C34" s="4"/>
      <c r="D34" s="2"/>
      <c r="E34" s="2"/>
      <c r="F34" s="2"/>
      <c r="G34" s="2"/>
      <c r="H34" s="2"/>
      <c r="I34" s="2"/>
    </row>
    <row r="35" spans="3:9" x14ac:dyDescent="0.2">
      <c r="C35" s="4"/>
      <c r="D35" s="2"/>
      <c r="E35" s="2"/>
      <c r="F35" s="2"/>
      <c r="G35" s="2"/>
      <c r="H35" s="2"/>
      <c r="I35" s="2"/>
    </row>
    <row r="36" spans="3:9" x14ac:dyDescent="0.2">
      <c r="C36" s="4"/>
      <c r="D36" s="2"/>
      <c r="E36" s="2"/>
      <c r="F36" s="2"/>
      <c r="G36" s="2"/>
      <c r="H36" s="2"/>
      <c r="I36" s="2"/>
    </row>
    <row r="37" spans="3:9" x14ac:dyDescent="0.2">
      <c r="C37" s="4"/>
      <c r="D37" s="2"/>
      <c r="E37" s="2"/>
      <c r="F37" s="2"/>
      <c r="G37" s="2"/>
      <c r="H37" s="2"/>
      <c r="I37" s="2"/>
    </row>
    <row r="38" spans="3:9" x14ac:dyDescent="0.2">
      <c r="C38" s="4"/>
      <c r="D38" s="2"/>
      <c r="E38" s="2"/>
      <c r="F38" s="2"/>
      <c r="G38" s="2"/>
      <c r="H38" s="2"/>
      <c r="I38" s="2"/>
    </row>
    <row r="39" spans="3:9" x14ac:dyDescent="0.2">
      <c r="C39" s="4"/>
      <c r="D39" s="2"/>
      <c r="E39" s="2"/>
      <c r="F39" s="2"/>
      <c r="G39" s="2"/>
      <c r="H39" s="2"/>
      <c r="I39" s="2"/>
    </row>
    <row r="40" spans="3:9" x14ac:dyDescent="0.2">
      <c r="C40" s="4"/>
      <c r="D40" s="2"/>
      <c r="E40" s="2"/>
      <c r="F40" s="2"/>
      <c r="G40" s="2"/>
      <c r="H40" s="2"/>
      <c r="I40" s="2"/>
    </row>
    <row r="41" spans="3:9" x14ac:dyDescent="0.2">
      <c r="C41" s="4"/>
      <c r="D41" s="2"/>
      <c r="E41" s="2"/>
      <c r="F41" s="2"/>
      <c r="G41" s="2"/>
      <c r="H41" s="2"/>
      <c r="I41" s="2"/>
    </row>
    <row r="42" spans="3:9" x14ac:dyDescent="0.2">
      <c r="C42" s="4"/>
      <c r="D42" s="2"/>
      <c r="E42" s="2"/>
      <c r="F42" s="2"/>
      <c r="G42" s="2"/>
      <c r="H42" s="2"/>
      <c r="I42" s="2"/>
    </row>
    <row r="43" spans="3:9" x14ac:dyDescent="0.2">
      <c r="C43" s="4"/>
      <c r="D43" s="2"/>
      <c r="E43" s="2"/>
      <c r="F43" s="2"/>
      <c r="G43" s="2"/>
      <c r="H43" s="2"/>
      <c r="I43" s="2"/>
    </row>
    <row r="44" spans="3:9" x14ac:dyDescent="0.2">
      <c r="C44" s="4"/>
      <c r="D44" s="2"/>
      <c r="E44" s="2"/>
      <c r="F44" s="2"/>
      <c r="G44" s="2"/>
      <c r="H44" s="2"/>
      <c r="I44" s="2"/>
    </row>
    <row r="45" spans="3:9" x14ac:dyDescent="0.2">
      <c r="C45" s="4"/>
      <c r="D45" s="2"/>
      <c r="E45" s="2"/>
      <c r="F45" s="2"/>
      <c r="G45" s="2"/>
      <c r="H45" s="2"/>
      <c r="I45" s="2"/>
    </row>
    <row r="46" spans="3:9" x14ac:dyDescent="0.2">
      <c r="C46" s="4"/>
      <c r="D46" s="2"/>
      <c r="E46" s="2"/>
      <c r="F46" s="2"/>
      <c r="G46" s="2"/>
      <c r="H46" s="2"/>
      <c r="I46" s="2"/>
    </row>
    <row r="47" spans="3:9" x14ac:dyDescent="0.2">
      <c r="C47" s="4"/>
      <c r="D47" s="2"/>
      <c r="E47" s="2"/>
      <c r="F47" s="2"/>
      <c r="G47" s="2"/>
      <c r="H47" s="2"/>
      <c r="I47" s="2"/>
    </row>
    <row r="48" spans="3:9" x14ac:dyDescent="0.2">
      <c r="C48" s="4"/>
      <c r="D48" s="2"/>
      <c r="E48" s="2"/>
      <c r="F48" s="2"/>
      <c r="G48" s="2"/>
      <c r="H48" s="2"/>
      <c r="I48" s="2"/>
    </row>
    <row r="49" spans="3:9" x14ac:dyDescent="0.2">
      <c r="C49" s="4"/>
      <c r="D49" s="2"/>
      <c r="E49" s="2"/>
      <c r="F49" s="2"/>
      <c r="G49" s="2"/>
      <c r="H49" s="2"/>
      <c r="I49" s="2"/>
    </row>
    <row r="50" spans="3:9" x14ac:dyDescent="0.2">
      <c r="C50" s="4"/>
      <c r="D50" s="2"/>
      <c r="E50" s="2"/>
      <c r="F50" s="2"/>
      <c r="G50" s="2"/>
      <c r="H50" s="2"/>
      <c r="I50" s="2"/>
    </row>
    <row r="51" spans="3:9" x14ac:dyDescent="0.2">
      <c r="C51" s="4"/>
      <c r="D51" s="2"/>
      <c r="E51" s="2"/>
      <c r="F51" s="2"/>
      <c r="G51" s="2"/>
      <c r="H51" s="2"/>
      <c r="I51" s="2"/>
    </row>
    <row r="52" spans="3:9" x14ac:dyDescent="0.2">
      <c r="C52" s="4"/>
      <c r="D52" s="2"/>
      <c r="E52" s="2"/>
      <c r="F52" s="2"/>
      <c r="G52" s="2"/>
      <c r="H52" s="2"/>
      <c r="I52" s="2"/>
    </row>
    <row r="53" spans="3:9" x14ac:dyDescent="0.2">
      <c r="C53" s="4"/>
      <c r="D53" s="2"/>
      <c r="E53" s="2"/>
      <c r="F53" s="2"/>
      <c r="G53" s="2"/>
      <c r="H53" s="2"/>
      <c r="I53" s="2"/>
    </row>
    <row r="54" spans="3:9" x14ac:dyDescent="0.2">
      <c r="C54" s="4"/>
      <c r="D54" s="2"/>
      <c r="E54" s="2"/>
      <c r="F54" s="2"/>
      <c r="G54" s="2"/>
      <c r="H54" s="2"/>
      <c r="I54" s="2"/>
    </row>
    <row r="55" spans="3:9" x14ac:dyDescent="0.2">
      <c r="C55" s="4"/>
      <c r="D55" s="2"/>
      <c r="E55" s="2"/>
      <c r="F55" s="2"/>
      <c r="G55" s="2"/>
      <c r="H55" s="2"/>
      <c r="I55" s="2"/>
    </row>
    <row r="56" spans="3:9" x14ac:dyDescent="0.2">
      <c r="C56" s="4"/>
      <c r="D56" s="2"/>
      <c r="E56" s="2"/>
      <c r="F56" s="2"/>
      <c r="G56" s="2"/>
      <c r="H56" s="2"/>
      <c r="I56" s="2"/>
    </row>
    <row r="57" spans="3:9" x14ac:dyDescent="0.2">
      <c r="C57" s="4"/>
      <c r="D57" s="2"/>
      <c r="E57" s="2"/>
      <c r="F57" s="2"/>
      <c r="G57" s="2"/>
      <c r="H57" s="2"/>
      <c r="I57" s="2"/>
    </row>
    <row r="58" spans="3:9" x14ac:dyDescent="0.2">
      <c r="C58" s="4"/>
      <c r="D58" s="2"/>
      <c r="E58" s="2"/>
      <c r="F58" s="2"/>
      <c r="G58" s="2"/>
      <c r="H58" s="2"/>
      <c r="I58" s="2"/>
    </row>
    <row r="59" spans="3:9" x14ac:dyDescent="0.2">
      <c r="C59" s="4"/>
      <c r="D59" s="2"/>
      <c r="E59" s="2"/>
      <c r="F59" s="2"/>
      <c r="G59" s="2"/>
      <c r="H59" s="2"/>
      <c r="I59" s="2"/>
    </row>
    <row r="60" spans="3:9" x14ac:dyDescent="0.2">
      <c r="C60" s="4"/>
      <c r="D60" s="2"/>
      <c r="E60" s="2"/>
      <c r="F60" s="2"/>
      <c r="G60" s="2"/>
      <c r="H60" s="2"/>
      <c r="I60" s="2"/>
    </row>
    <row r="61" spans="3:9" x14ac:dyDescent="0.2">
      <c r="C61" s="4"/>
      <c r="D61" s="2"/>
      <c r="E61" s="2"/>
      <c r="F61" s="2"/>
      <c r="G61" s="2"/>
      <c r="H61" s="2"/>
      <c r="I61" s="2"/>
    </row>
    <row r="62" spans="3:9" x14ac:dyDescent="0.2">
      <c r="C62" s="4"/>
      <c r="D62" s="2"/>
      <c r="E62" s="2"/>
      <c r="F62" s="2"/>
      <c r="G62" s="2"/>
      <c r="H62" s="2"/>
      <c r="I62" s="2"/>
    </row>
    <row r="63" spans="3:9" x14ac:dyDescent="0.2">
      <c r="C63" s="4"/>
      <c r="D63" s="2"/>
      <c r="E63" s="2"/>
      <c r="F63" s="2"/>
      <c r="G63" s="2"/>
      <c r="H63" s="2"/>
      <c r="I63" s="2"/>
    </row>
    <row r="64" spans="3:9" x14ac:dyDescent="0.2">
      <c r="C64" s="4"/>
      <c r="D64" s="2"/>
      <c r="E64" s="2"/>
      <c r="F64" s="2"/>
      <c r="G64" s="2"/>
      <c r="H64" s="2"/>
      <c r="I64" s="2"/>
    </row>
    <row r="65" spans="3:9" x14ac:dyDescent="0.2">
      <c r="C65" s="4"/>
      <c r="D65" s="2"/>
      <c r="E65" s="2"/>
      <c r="F65" s="2"/>
      <c r="G65" s="2"/>
      <c r="H65" s="2"/>
      <c r="I65" s="2"/>
    </row>
    <row r="66" spans="3:9" x14ac:dyDescent="0.2">
      <c r="C66" s="4"/>
      <c r="D66" s="2"/>
      <c r="E66" s="2"/>
      <c r="F66" s="2"/>
      <c r="G66" s="2"/>
      <c r="H66" s="2"/>
      <c r="I66" s="2"/>
    </row>
    <row r="67" spans="3:9" x14ac:dyDescent="0.2">
      <c r="C67" s="4"/>
      <c r="D67" s="2"/>
      <c r="E67" s="2"/>
      <c r="F67" s="2"/>
      <c r="G67" s="2"/>
      <c r="H67" s="2"/>
      <c r="I67" s="2"/>
    </row>
    <row r="68" spans="3:9" x14ac:dyDescent="0.2">
      <c r="C68" s="4"/>
      <c r="D68" s="2"/>
      <c r="E68" s="2"/>
      <c r="F68" s="2"/>
      <c r="G68" s="2"/>
      <c r="H68" s="2"/>
      <c r="I68" s="2"/>
    </row>
    <row r="69" spans="3:9" x14ac:dyDescent="0.2">
      <c r="C69" s="4"/>
      <c r="D69" s="2"/>
      <c r="E69" s="2"/>
      <c r="F69" s="2"/>
      <c r="G69" s="2"/>
      <c r="H69" s="2"/>
      <c r="I69" s="2"/>
    </row>
    <row r="70" spans="3:9" x14ac:dyDescent="0.2">
      <c r="C70" s="4"/>
      <c r="D70" s="2"/>
      <c r="E70" s="2"/>
      <c r="F70" s="2"/>
      <c r="G70" s="2"/>
      <c r="H70" s="2"/>
      <c r="I70" s="2"/>
    </row>
    <row r="71" spans="3:9" x14ac:dyDescent="0.2">
      <c r="C71" s="4"/>
      <c r="D71" s="2"/>
      <c r="E71" s="2"/>
      <c r="F71" s="2"/>
      <c r="G71" s="2"/>
      <c r="H71" s="2"/>
      <c r="I71" s="2"/>
    </row>
    <row r="72" spans="3:9" x14ac:dyDescent="0.2">
      <c r="C72" s="4"/>
      <c r="D72" s="2"/>
      <c r="E72" s="2"/>
      <c r="F72" s="2"/>
      <c r="G72" s="2"/>
      <c r="H72" s="2"/>
      <c r="I72" s="2"/>
    </row>
    <row r="73" spans="3:9" x14ac:dyDescent="0.2">
      <c r="C73" s="4"/>
      <c r="D73" s="2"/>
      <c r="E73" s="2"/>
      <c r="F73" s="2"/>
      <c r="G73" s="2"/>
      <c r="H73" s="2"/>
      <c r="I73" s="2"/>
    </row>
    <row r="74" spans="3:9" x14ac:dyDescent="0.2">
      <c r="C74" s="4"/>
      <c r="D74" s="2"/>
      <c r="E74" s="2"/>
      <c r="F74" s="2"/>
      <c r="G74" s="2"/>
      <c r="H74" s="2"/>
      <c r="I74" s="2"/>
    </row>
    <row r="75" spans="3:9" x14ac:dyDescent="0.2">
      <c r="C75" s="4"/>
      <c r="D75" s="2"/>
      <c r="E75" s="2"/>
      <c r="F75" s="2"/>
      <c r="G75" s="2"/>
      <c r="H75" s="2"/>
      <c r="I75" s="2"/>
    </row>
    <row r="76" spans="3:9" x14ac:dyDescent="0.2">
      <c r="C76" s="4"/>
      <c r="D76" s="2"/>
      <c r="E76" s="2"/>
      <c r="F76" s="2"/>
      <c r="G76" s="2"/>
      <c r="H76" s="2"/>
      <c r="I76" s="2"/>
    </row>
    <row r="77" spans="3:9" x14ac:dyDescent="0.2">
      <c r="C77" s="4"/>
      <c r="D77" s="2"/>
      <c r="E77" s="2"/>
      <c r="F77" s="2"/>
      <c r="G77" s="2"/>
      <c r="H77" s="2"/>
      <c r="I77" s="2"/>
    </row>
    <row r="78" spans="3:9" x14ac:dyDescent="0.2">
      <c r="C78" s="4"/>
      <c r="D78" s="2"/>
      <c r="E78" s="2"/>
      <c r="F78" s="2"/>
      <c r="G78" s="2"/>
      <c r="H78" s="2"/>
      <c r="I78" s="2"/>
    </row>
    <row r="79" spans="3:9" x14ac:dyDescent="0.2">
      <c r="C79" s="4"/>
      <c r="D79" s="2"/>
      <c r="E79" s="2"/>
      <c r="F79" s="2"/>
      <c r="G79" s="2"/>
      <c r="H79" s="2"/>
      <c r="I79" s="2"/>
    </row>
    <row r="80" spans="3:9" x14ac:dyDescent="0.2">
      <c r="C80" s="4"/>
      <c r="D80" s="2"/>
      <c r="E80" s="2"/>
      <c r="F80" s="2"/>
      <c r="G80" s="2"/>
      <c r="H80" s="2"/>
      <c r="I80" s="2"/>
    </row>
    <row r="81" spans="3:9" x14ac:dyDescent="0.2">
      <c r="C81" s="4"/>
      <c r="D81" s="2"/>
      <c r="E81" s="2"/>
      <c r="F81" s="2"/>
      <c r="G81" s="2"/>
      <c r="H81" s="2"/>
      <c r="I81" s="2"/>
    </row>
    <row r="82" spans="3:9" x14ac:dyDescent="0.2">
      <c r="C82" s="4"/>
      <c r="D82" s="2"/>
      <c r="E82" s="2"/>
      <c r="F82" s="2"/>
      <c r="G82" s="2"/>
      <c r="H82" s="2"/>
      <c r="I82" s="2"/>
    </row>
    <row r="83" spans="3:9" x14ac:dyDescent="0.2">
      <c r="C83" s="4"/>
      <c r="D83" s="2"/>
      <c r="E83" s="2"/>
      <c r="F83" s="2"/>
      <c r="G83" s="2"/>
      <c r="H83" s="2"/>
      <c r="I83" s="2"/>
    </row>
    <row r="84" spans="3:9" x14ac:dyDescent="0.2">
      <c r="C84" s="4"/>
      <c r="D84" s="2"/>
      <c r="E84" s="2"/>
      <c r="F84" s="2"/>
      <c r="G84" s="2"/>
      <c r="H84" s="2"/>
      <c r="I84" s="2"/>
    </row>
    <row r="85" spans="3:9" x14ac:dyDescent="0.2">
      <c r="C85" s="4"/>
      <c r="D85" s="2"/>
      <c r="E85" s="2"/>
      <c r="F85" s="2"/>
      <c r="G85" s="2"/>
      <c r="H85" s="2"/>
      <c r="I85" s="2"/>
    </row>
    <row r="86" spans="3:9" x14ac:dyDescent="0.2">
      <c r="C86" s="4"/>
      <c r="D86" s="2"/>
      <c r="E86" s="2"/>
      <c r="F86" s="2"/>
      <c r="G86" s="2"/>
      <c r="H86" s="2"/>
      <c r="I86" s="2"/>
    </row>
    <row r="87" spans="3:9" x14ac:dyDescent="0.2">
      <c r="C87" s="4"/>
      <c r="D87" s="2"/>
      <c r="E87" s="2"/>
      <c r="F87" s="2"/>
      <c r="G87" s="2"/>
      <c r="H87" s="2"/>
      <c r="I87" s="2"/>
    </row>
    <row r="88" spans="3:9" x14ac:dyDescent="0.2">
      <c r="C88" s="4"/>
      <c r="D88" s="2"/>
      <c r="E88" s="2"/>
      <c r="F88" s="2"/>
      <c r="G88" s="2"/>
      <c r="H88" s="2"/>
      <c r="I88" s="2"/>
    </row>
    <row r="89" spans="3:9" x14ac:dyDescent="0.2">
      <c r="C89" s="4"/>
      <c r="D89" s="2"/>
      <c r="E89" s="2"/>
      <c r="F89" s="2"/>
      <c r="G89" s="2"/>
      <c r="H89" s="2"/>
      <c r="I89" s="2"/>
    </row>
    <row r="90" spans="3:9" x14ac:dyDescent="0.2">
      <c r="C90" s="4"/>
      <c r="D90" s="2"/>
      <c r="E90" s="2"/>
      <c r="F90" s="2"/>
      <c r="G90" s="2"/>
      <c r="H90" s="2"/>
      <c r="I90" s="2"/>
    </row>
    <row r="91" spans="3:9" x14ac:dyDescent="0.2">
      <c r="C91" s="4"/>
      <c r="D91" s="2"/>
      <c r="E91" s="2"/>
      <c r="F91" s="2"/>
      <c r="G91" s="2"/>
      <c r="H91" s="2"/>
      <c r="I91" s="2"/>
    </row>
    <row r="92" spans="3:9" x14ac:dyDescent="0.2">
      <c r="C92" s="4"/>
      <c r="D92" s="2"/>
      <c r="E92" s="2"/>
      <c r="F92" s="2"/>
      <c r="G92" s="2"/>
      <c r="H92" s="2"/>
      <c r="I92" s="2"/>
    </row>
    <row r="93" spans="3:9" x14ac:dyDescent="0.2">
      <c r="C93" s="4"/>
      <c r="D93" s="2"/>
      <c r="E93" s="2"/>
      <c r="F93" s="2"/>
      <c r="G93" s="2"/>
      <c r="H93" s="2"/>
      <c r="I93" s="2"/>
    </row>
    <row r="94" spans="3:9" x14ac:dyDescent="0.2">
      <c r="C94" s="4"/>
      <c r="D94" s="2"/>
      <c r="E94" s="2"/>
      <c r="F94" s="2"/>
      <c r="G94" s="2"/>
      <c r="H94" s="2"/>
      <c r="I94" s="2"/>
    </row>
    <row r="95" spans="3:9" x14ac:dyDescent="0.2">
      <c r="C95" s="4"/>
      <c r="D95" s="2"/>
      <c r="E95" s="2"/>
      <c r="F95" s="2"/>
      <c r="G95" s="2"/>
      <c r="H95" s="2"/>
      <c r="I95" s="2"/>
    </row>
    <row r="96" spans="3:9" x14ac:dyDescent="0.2">
      <c r="C96" s="4"/>
      <c r="D96" s="2"/>
      <c r="E96" s="2"/>
      <c r="F96" s="2"/>
      <c r="G96" s="2"/>
      <c r="H96" s="2"/>
      <c r="I96" s="2"/>
    </row>
    <row r="97" spans="3:9" x14ac:dyDescent="0.2">
      <c r="C97" s="4"/>
      <c r="D97" s="2"/>
      <c r="E97" s="2"/>
      <c r="F97" s="2"/>
      <c r="G97" s="2"/>
      <c r="H97" s="2"/>
      <c r="I97" s="2"/>
    </row>
    <row r="98" spans="3:9" x14ac:dyDescent="0.2">
      <c r="C98" s="4"/>
      <c r="D98" s="2"/>
      <c r="E98" s="2"/>
      <c r="F98" s="2"/>
      <c r="G98" s="2"/>
      <c r="H98" s="2"/>
      <c r="I98" s="2"/>
    </row>
    <row r="99" spans="3:9" x14ac:dyDescent="0.2">
      <c r="C99" s="4"/>
      <c r="D99" s="2"/>
      <c r="E99" s="2"/>
      <c r="F99" s="2"/>
      <c r="G99" s="2"/>
      <c r="H99" s="2"/>
      <c r="I99" s="2"/>
    </row>
    <row r="100" spans="3:9" x14ac:dyDescent="0.2">
      <c r="C100" s="4"/>
      <c r="D100" s="2"/>
      <c r="E100" s="2"/>
      <c r="F100" s="2"/>
      <c r="G100" s="2"/>
      <c r="H100" s="2"/>
      <c r="I100" s="2"/>
    </row>
    <row r="101" spans="3:9" x14ac:dyDescent="0.2">
      <c r="C101" s="4"/>
      <c r="D101" s="2"/>
      <c r="E101" s="2"/>
      <c r="F101" s="2"/>
      <c r="G101" s="2"/>
      <c r="H101" s="2"/>
      <c r="I101" s="2"/>
    </row>
    <row r="102" spans="3:9" x14ac:dyDescent="0.2">
      <c r="C102" s="4"/>
      <c r="D102" s="2"/>
      <c r="E102" s="2"/>
      <c r="F102" s="2"/>
      <c r="G102" s="2"/>
      <c r="H102" s="2"/>
      <c r="I102" s="2"/>
    </row>
    <row r="103" spans="3:9" x14ac:dyDescent="0.2">
      <c r="C103" s="4"/>
      <c r="D103" s="2"/>
      <c r="E103" s="2"/>
      <c r="F103" s="2"/>
      <c r="G103" s="2"/>
      <c r="H103" s="2"/>
      <c r="I103" s="2"/>
    </row>
    <row r="104" spans="3:9" x14ac:dyDescent="0.2">
      <c r="C104" s="4"/>
      <c r="D104" s="2"/>
      <c r="E104" s="2"/>
      <c r="F104" s="2"/>
      <c r="G104" s="2"/>
      <c r="H104" s="2"/>
      <c r="I104" s="2"/>
    </row>
    <row r="105" spans="3:9" x14ac:dyDescent="0.2">
      <c r="C105" s="4"/>
      <c r="D105" s="2"/>
      <c r="E105" s="2"/>
      <c r="F105" s="2"/>
      <c r="G105" s="2"/>
      <c r="H105" s="2"/>
      <c r="I105" s="2"/>
    </row>
    <row r="106" spans="3:9" x14ac:dyDescent="0.2">
      <c r="C106" s="4"/>
      <c r="D106" s="2"/>
      <c r="E106" s="2"/>
      <c r="F106" s="2"/>
      <c r="G106" s="2"/>
      <c r="H106" s="2"/>
      <c r="I106" s="2"/>
    </row>
    <row r="107" spans="3:9" x14ac:dyDescent="0.2">
      <c r="C107" s="4"/>
      <c r="D107" s="2"/>
      <c r="E107" s="2"/>
      <c r="F107" s="2"/>
      <c r="G107" s="2"/>
      <c r="H107" s="2"/>
      <c r="I107" s="2"/>
    </row>
    <row r="108" spans="3:9" x14ac:dyDescent="0.2">
      <c r="C108" s="4"/>
      <c r="D108" s="2"/>
      <c r="E108" s="2"/>
      <c r="F108" s="2"/>
      <c r="G108" s="2"/>
      <c r="H108" s="2"/>
      <c r="I108" s="2"/>
    </row>
    <row r="109" spans="3:9" x14ac:dyDescent="0.2">
      <c r="C109" s="4"/>
      <c r="D109" s="2"/>
      <c r="E109" s="2"/>
      <c r="F109" s="2"/>
      <c r="G109" s="2"/>
      <c r="H109" s="2"/>
      <c r="I109" s="2"/>
    </row>
    <row r="110" spans="3:9" x14ac:dyDescent="0.2">
      <c r="C110" s="4"/>
      <c r="D110" s="2"/>
      <c r="E110" s="2"/>
      <c r="F110" s="2"/>
      <c r="G110" s="2"/>
      <c r="H110" s="2"/>
      <c r="I110" s="2"/>
    </row>
    <row r="111" spans="3:9" x14ac:dyDescent="0.2">
      <c r="C111" s="4"/>
      <c r="D111" s="2"/>
      <c r="E111" s="2"/>
      <c r="F111" s="2"/>
      <c r="G111" s="2"/>
      <c r="H111" s="2"/>
      <c r="I111" s="2"/>
    </row>
    <row r="112" spans="3:9" x14ac:dyDescent="0.2">
      <c r="C112" s="4"/>
      <c r="D112" s="2"/>
      <c r="E112" s="2"/>
      <c r="F112" s="2"/>
      <c r="G112" s="2"/>
      <c r="H112" s="2"/>
      <c r="I112" s="2"/>
    </row>
    <row r="113" spans="3:9" x14ac:dyDescent="0.2">
      <c r="C113" s="4"/>
      <c r="D113" s="2"/>
      <c r="E113" s="2"/>
      <c r="F113" s="2"/>
      <c r="G113" s="2"/>
      <c r="H113" s="2"/>
      <c r="I113" s="2"/>
    </row>
    <row r="114" spans="3:9" x14ac:dyDescent="0.2">
      <c r="C114" s="4"/>
      <c r="D114" s="2"/>
      <c r="E114" s="2"/>
      <c r="F114" s="2"/>
      <c r="G114" s="2"/>
      <c r="H114" s="2"/>
      <c r="I114" s="2"/>
    </row>
    <row r="115" spans="3:9" x14ac:dyDescent="0.2">
      <c r="C115" s="4"/>
      <c r="D115" s="2"/>
      <c r="E115" s="2"/>
      <c r="F115" s="2"/>
      <c r="G115" s="2"/>
      <c r="H115" s="2"/>
      <c r="I115" s="2"/>
    </row>
    <row r="116" spans="3:9" x14ac:dyDescent="0.2">
      <c r="C116" s="4"/>
      <c r="D116" s="2"/>
      <c r="E116" s="2"/>
      <c r="F116" s="2"/>
      <c r="G116" s="2"/>
      <c r="H116" s="2"/>
      <c r="I116" s="2"/>
    </row>
    <row r="117" spans="3:9" x14ac:dyDescent="0.2">
      <c r="C117" s="4"/>
      <c r="D117" s="2"/>
      <c r="E117" s="2"/>
      <c r="F117" s="2"/>
      <c r="G117" s="2"/>
      <c r="H117" s="2"/>
      <c r="I117" s="2"/>
    </row>
    <row r="118" spans="3:9" x14ac:dyDescent="0.2">
      <c r="C118" s="4"/>
      <c r="D118" s="2"/>
      <c r="E118" s="2"/>
      <c r="F118" s="2"/>
      <c r="G118" s="2"/>
      <c r="H118" s="2"/>
      <c r="I118" s="2"/>
    </row>
    <row r="119" spans="3:9" x14ac:dyDescent="0.2">
      <c r="C119" s="4"/>
      <c r="D119" s="2"/>
      <c r="E119" s="2"/>
      <c r="F119" s="2"/>
      <c r="G119" s="2"/>
      <c r="H119" s="2"/>
      <c r="I119" s="2"/>
    </row>
    <row r="120" spans="3:9" x14ac:dyDescent="0.2">
      <c r="C120" s="4"/>
      <c r="D120" s="2"/>
      <c r="E120" s="2"/>
      <c r="F120" s="2"/>
      <c r="G120" s="2"/>
      <c r="H120" s="2"/>
      <c r="I120" s="2"/>
    </row>
    <row r="121" spans="3:9" x14ac:dyDescent="0.2">
      <c r="C121" s="4"/>
      <c r="D121" s="2"/>
      <c r="E121" s="2"/>
      <c r="F121" s="2"/>
      <c r="G121" s="2"/>
      <c r="H121" s="2"/>
      <c r="I121" s="2"/>
    </row>
    <row r="122" spans="3:9" x14ac:dyDescent="0.2">
      <c r="C122" s="4"/>
      <c r="D122" s="2"/>
      <c r="E122" s="2"/>
      <c r="F122" s="2"/>
      <c r="G122" s="2"/>
      <c r="H122" s="2"/>
      <c r="I122" s="2"/>
    </row>
    <row r="123" spans="3:9" x14ac:dyDescent="0.2">
      <c r="C123" s="4"/>
      <c r="D123" s="2"/>
      <c r="E123" s="2"/>
      <c r="F123" s="2"/>
      <c r="G123" s="2"/>
      <c r="H123" s="2"/>
      <c r="I123" s="2"/>
    </row>
    <row r="124" spans="3:9" x14ac:dyDescent="0.2">
      <c r="C124" s="4"/>
      <c r="D124" s="2"/>
      <c r="E124" s="2"/>
      <c r="F124" s="2"/>
      <c r="G124" s="2"/>
      <c r="H124" s="2"/>
      <c r="I124" s="2"/>
    </row>
    <row r="125" spans="3:9" x14ac:dyDescent="0.2">
      <c r="C125" s="4"/>
      <c r="D125" s="2"/>
      <c r="E125" s="2"/>
      <c r="F125" s="2"/>
      <c r="G125" s="2"/>
      <c r="H125" s="2"/>
      <c r="I125" s="2"/>
    </row>
    <row r="126" spans="3:9" x14ac:dyDescent="0.2">
      <c r="C126" s="4"/>
      <c r="D126" s="2"/>
      <c r="E126" s="2"/>
      <c r="F126" s="2"/>
      <c r="G126" s="2"/>
      <c r="H126" s="2"/>
      <c r="I126" s="2"/>
    </row>
    <row r="127" spans="3:9" x14ac:dyDescent="0.2">
      <c r="C127" s="4"/>
      <c r="D127" s="2"/>
      <c r="E127" s="2"/>
      <c r="F127" s="2"/>
      <c r="G127" s="2"/>
      <c r="H127" s="2"/>
      <c r="I127" s="2"/>
    </row>
    <row r="128" spans="3:9" x14ac:dyDescent="0.2">
      <c r="C128" s="4"/>
      <c r="D128" s="2"/>
      <c r="E128" s="2"/>
      <c r="F128" s="2"/>
      <c r="G128" s="2"/>
      <c r="H128" s="2"/>
      <c r="I128" s="2"/>
    </row>
    <row r="129" spans="3:9" x14ac:dyDescent="0.2">
      <c r="C129" s="4"/>
      <c r="D129" s="2"/>
      <c r="E129" s="2"/>
      <c r="F129" s="2"/>
      <c r="G129" s="2"/>
      <c r="H129" s="2"/>
      <c r="I129" s="2"/>
    </row>
    <row r="130" spans="3:9" x14ac:dyDescent="0.2">
      <c r="C130" s="4"/>
      <c r="D130" s="2"/>
      <c r="E130" s="2"/>
      <c r="F130" s="2"/>
      <c r="G130" s="2"/>
      <c r="H130" s="2"/>
      <c r="I130" s="2"/>
    </row>
    <row r="131" spans="3:9" x14ac:dyDescent="0.2">
      <c r="C131" s="4"/>
      <c r="D131" s="2"/>
      <c r="E131" s="2"/>
      <c r="F131" s="2"/>
      <c r="G131" s="2"/>
      <c r="H131" s="2"/>
      <c r="I131" s="2"/>
    </row>
    <row r="132" spans="3:9" x14ac:dyDescent="0.2">
      <c r="C132" s="4"/>
      <c r="D132" s="2"/>
      <c r="E132" s="2"/>
      <c r="F132" s="2"/>
      <c r="G132" s="2"/>
      <c r="H132" s="2"/>
      <c r="I132" s="2"/>
    </row>
    <row r="133" spans="3:9" x14ac:dyDescent="0.2">
      <c r="C133" s="4"/>
      <c r="D133" s="2"/>
      <c r="E133" s="2"/>
      <c r="F133" s="2"/>
      <c r="G133" s="2"/>
      <c r="H133" s="2"/>
      <c r="I133" s="2"/>
    </row>
    <row r="134" spans="3:9" x14ac:dyDescent="0.2">
      <c r="C134" s="4"/>
      <c r="D134" s="2"/>
      <c r="E134" s="2"/>
      <c r="F134" s="2"/>
      <c r="G134" s="2"/>
      <c r="H134" s="2"/>
      <c r="I134" s="2"/>
    </row>
    <row r="135" spans="3:9" x14ac:dyDescent="0.2">
      <c r="C135" s="4"/>
      <c r="D135" s="2"/>
      <c r="E135" s="2"/>
      <c r="F135" s="2"/>
      <c r="G135" s="2"/>
      <c r="H135" s="2"/>
      <c r="I135" s="2"/>
    </row>
    <row r="136" spans="3:9" x14ac:dyDescent="0.2">
      <c r="C136" s="4"/>
      <c r="D136" s="2"/>
      <c r="E136" s="2"/>
      <c r="F136" s="2"/>
      <c r="G136" s="2"/>
      <c r="H136" s="2"/>
      <c r="I136" s="2"/>
    </row>
    <row r="137" spans="3:9" x14ac:dyDescent="0.2">
      <c r="C137" s="4"/>
      <c r="D137" s="2"/>
      <c r="E137" s="2"/>
      <c r="F137" s="2"/>
      <c r="G137" s="2"/>
      <c r="H137" s="2"/>
      <c r="I137" s="2"/>
    </row>
    <row r="138" spans="3:9" x14ac:dyDescent="0.2">
      <c r="C138" s="4"/>
      <c r="D138" s="2"/>
      <c r="E138" s="2"/>
      <c r="F138" s="2"/>
      <c r="G138" s="2"/>
      <c r="H138" s="2"/>
      <c r="I138" s="2"/>
    </row>
    <row r="139" spans="3:9" x14ac:dyDescent="0.2">
      <c r="C139" s="4"/>
      <c r="D139" s="2"/>
      <c r="E139" s="2"/>
      <c r="F139" s="2"/>
      <c r="G139" s="2"/>
      <c r="H139" s="2"/>
      <c r="I139" s="2"/>
    </row>
    <row r="140" spans="3:9" x14ac:dyDescent="0.2">
      <c r="C140" s="4"/>
      <c r="D140" s="2"/>
      <c r="E140" s="2"/>
      <c r="F140" s="2"/>
      <c r="G140" s="2"/>
      <c r="H140" s="2"/>
      <c r="I140" s="2"/>
    </row>
    <row r="141" spans="3:9" x14ac:dyDescent="0.2">
      <c r="C141" s="4"/>
      <c r="D141" s="2"/>
      <c r="E141" s="2"/>
      <c r="F141" s="2"/>
      <c r="G141" s="2"/>
      <c r="H141" s="2"/>
      <c r="I141" s="2"/>
    </row>
    <row r="142" spans="3:9" x14ac:dyDescent="0.2">
      <c r="C142" s="4"/>
      <c r="D142" s="2"/>
      <c r="E142" s="2"/>
      <c r="F142" s="2"/>
      <c r="G142" s="2"/>
      <c r="H142" s="2"/>
      <c r="I142" s="2"/>
    </row>
    <row r="143" spans="3:9" x14ac:dyDescent="0.2">
      <c r="C143" s="4"/>
      <c r="D143" s="2"/>
      <c r="E143" s="2"/>
      <c r="F143" s="2"/>
      <c r="G143" s="2"/>
      <c r="H143" s="2"/>
      <c r="I143" s="2"/>
    </row>
    <row r="144" spans="3:9" x14ac:dyDescent="0.2">
      <c r="C144" s="4"/>
      <c r="D144" s="2"/>
      <c r="E144" s="2"/>
      <c r="F144" s="2"/>
      <c r="G144" s="2"/>
      <c r="H144" s="2"/>
      <c r="I144" s="2"/>
    </row>
    <row r="145" spans="3:9" x14ac:dyDescent="0.2">
      <c r="C145" s="4"/>
      <c r="D145" s="2"/>
      <c r="E145" s="2"/>
      <c r="F145" s="2"/>
      <c r="G145" s="2"/>
      <c r="H145" s="2"/>
      <c r="I145" s="2"/>
    </row>
    <row r="146" spans="3:9" x14ac:dyDescent="0.2">
      <c r="C146" s="4"/>
      <c r="D146" s="2"/>
      <c r="E146" s="2"/>
      <c r="F146" s="2"/>
      <c r="G146" s="2"/>
      <c r="H146" s="2"/>
      <c r="I146" s="2"/>
    </row>
    <row r="147" spans="3:9" x14ac:dyDescent="0.2">
      <c r="C147" s="4"/>
      <c r="D147" s="2"/>
      <c r="E147" s="2"/>
      <c r="F147" s="2"/>
      <c r="G147" s="2"/>
      <c r="H147" s="2"/>
      <c r="I147" s="2"/>
    </row>
    <row r="148" spans="3:9" x14ac:dyDescent="0.2">
      <c r="C148" s="4"/>
      <c r="D148" s="2"/>
      <c r="E148" s="2"/>
      <c r="F148" s="2"/>
      <c r="G148" s="2"/>
      <c r="H148" s="2"/>
      <c r="I148" s="2"/>
    </row>
    <row r="149" spans="3:9" x14ac:dyDescent="0.2">
      <c r="C149" s="4"/>
      <c r="D149" s="2"/>
      <c r="E149" s="2"/>
      <c r="F149" s="2"/>
      <c r="G149" s="2"/>
      <c r="H149" s="2"/>
      <c r="I149" s="2"/>
    </row>
    <row r="150" spans="3:9" x14ac:dyDescent="0.2">
      <c r="C150" s="4"/>
      <c r="D150" s="2"/>
      <c r="E150" s="2"/>
      <c r="F150" s="2"/>
      <c r="G150" s="2"/>
      <c r="H150" s="2"/>
      <c r="I150" s="2"/>
    </row>
    <row r="151" spans="3:9" x14ac:dyDescent="0.2">
      <c r="C151" s="4"/>
      <c r="D151" s="2"/>
      <c r="E151" s="2"/>
      <c r="F151" s="2"/>
      <c r="G151" s="2"/>
      <c r="H151" s="2"/>
      <c r="I151" s="2"/>
    </row>
    <row r="152" spans="3:9" x14ac:dyDescent="0.2">
      <c r="C152" s="4"/>
      <c r="D152" s="2"/>
      <c r="E152" s="2"/>
      <c r="F152" s="2"/>
      <c r="G152" s="2"/>
      <c r="H152" s="2"/>
      <c r="I152" s="2"/>
    </row>
    <row r="153" spans="3:9" x14ac:dyDescent="0.2">
      <c r="C153" s="4"/>
      <c r="D153" s="2"/>
      <c r="E153" s="2"/>
      <c r="F153" s="2"/>
      <c r="G153" s="2"/>
      <c r="H153" s="2"/>
      <c r="I153" s="2"/>
    </row>
    <row r="154" spans="3:9" x14ac:dyDescent="0.2">
      <c r="C154" s="4"/>
      <c r="D154" s="2"/>
      <c r="E154" s="2"/>
      <c r="F154" s="2"/>
      <c r="G154" s="2"/>
      <c r="H154" s="2"/>
      <c r="I154" s="2"/>
    </row>
    <row r="155" spans="3:9" x14ac:dyDescent="0.2">
      <c r="C155" s="4"/>
      <c r="D155" s="2"/>
      <c r="E155" s="2"/>
      <c r="F155" s="2"/>
      <c r="G155" s="2"/>
      <c r="H155" s="2"/>
      <c r="I155" s="2"/>
    </row>
    <row r="156" spans="3:9" x14ac:dyDescent="0.2">
      <c r="C156" s="4"/>
      <c r="D156" s="2"/>
      <c r="E156" s="2"/>
      <c r="F156" s="2"/>
      <c r="G156" s="2"/>
      <c r="H156" s="2"/>
      <c r="I156" s="2"/>
    </row>
    <row r="157" spans="3:9" x14ac:dyDescent="0.2">
      <c r="C157" s="4"/>
      <c r="D157" s="2"/>
      <c r="E157" s="2"/>
      <c r="F157" s="2"/>
      <c r="G157" s="2"/>
      <c r="H157" s="2"/>
      <c r="I157" s="2"/>
    </row>
    <row r="158" spans="3:9" x14ac:dyDescent="0.2">
      <c r="C158" s="4"/>
      <c r="D158" s="2"/>
      <c r="E158" s="2"/>
      <c r="F158" s="2"/>
      <c r="G158" s="2"/>
      <c r="H158" s="2"/>
      <c r="I158" s="2"/>
    </row>
    <row r="159" spans="3:9" x14ac:dyDescent="0.2">
      <c r="C159" s="4"/>
      <c r="D159" s="2"/>
      <c r="E159" s="2"/>
      <c r="F159" s="2"/>
      <c r="G159" s="2"/>
      <c r="H159" s="2"/>
      <c r="I159" s="2"/>
    </row>
    <row r="160" spans="3:9" x14ac:dyDescent="0.2">
      <c r="C160" s="4"/>
      <c r="D160" s="2"/>
      <c r="E160" s="2"/>
      <c r="F160" s="2"/>
      <c r="G160" s="2"/>
      <c r="H160" s="2"/>
      <c r="I160" s="2"/>
    </row>
    <row r="161" spans="3:9" x14ac:dyDescent="0.2">
      <c r="C161" s="4"/>
      <c r="D161" s="2"/>
      <c r="E161" s="2"/>
      <c r="F161" s="2"/>
      <c r="G161" s="2"/>
      <c r="H161" s="2"/>
      <c r="I161" s="2"/>
    </row>
    <row r="162" spans="3:9" x14ac:dyDescent="0.2">
      <c r="C162" s="4"/>
      <c r="D162" s="2"/>
      <c r="E162" s="2"/>
      <c r="F162" s="2"/>
      <c r="G162" s="2"/>
      <c r="H162" s="2"/>
      <c r="I162" s="2"/>
    </row>
    <row r="163" spans="3:9" x14ac:dyDescent="0.2">
      <c r="C163" s="4"/>
      <c r="D163" s="2"/>
      <c r="E163" s="2"/>
      <c r="F163" s="2"/>
      <c r="G163" s="2"/>
      <c r="H163" s="2"/>
      <c r="I163" s="2"/>
    </row>
    <row r="164" spans="3:9" x14ac:dyDescent="0.2">
      <c r="C164" s="4"/>
      <c r="D164" s="2"/>
      <c r="E164" s="2"/>
      <c r="F164" s="2"/>
      <c r="G164" s="2"/>
      <c r="H164" s="2"/>
      <c r="I164" s="2"/>
    </row>
    <row r="165" spans="3:9" x14ac:dyDescent="0.2">
      <c r="C165" s="4"/>
      <c r="D165" s="2"/>
      <c r="E165" s="2"/>
      <c r="F165" s="2"/>
      <c r="G165" s="2"/>
      <c r="H165" s="2"/>
      <c r="I165" s="2"/>
    </row>
    <row r="166" spans="3:9" x14ac:dyDescent="0.2">
      <c r="C166" s="4"/>
      <c r="D166" s="2"/>
      <c r="E166" s="2"/>
      <c r="F166" s="2"/>
      <c r="G166" s="2"/>
      <c r="H166" s="2"/>
      <c r="I166" s="2"/>
    </row>
    <row r="167" spans="3:9" x14ac:dyDescent="0.2">
      <c r="C167" s="4"/>
      <c r="D167" s="2"/>
      <c r="E167" s="2"/>
      <c r="F167" s="2"/>
      <c r="G167" s="2"/>
      <c r="H167" s="2"/>
      <c r="I167" s="2"/>
    </row>
    <row r="168" spans="3:9" x14ac:dyDescent="0.2">
      <c r="C168" s="4"/>
      <c r="D168" s="2"/>
      <c r="E168" s="2"/>
      <c r="F168" s="2"/>
      <c r="G168" s="2"/>
      <c r="H168" s="2"/>
      <c r="I168" s="2"/>
    </row>
    <row r="169" spans="3:9" x14ac:dyDescent="0.2">
      <c r="C169" s="4"/>
      <c r="D169" s="2"/>
      <c r="E169" s="2"/>
      <c r="F169" s="2"/>
      <c r="G169" s="2"/>
      <c r="H169" s="2"/>
      <c r="I169" s="2"/>
    </row>
    <row r="170" spans="3:9" x14ac:dyDescent="0.2">
      <c r="C170" s="4"/>
      <c r="D170" s="2"/>
      <c r="E170" s="2"/>
      <c r="F170" s="2"/>
      <c r="G170" s="2"/>
      <c r="H170" s="2"/>
      <c r="I170" s="2"/>
    </row>
    <row r="171" spans="3:9" x14ac:dyDescent="0.2">
      <c r="C171" s="4"/>
      <c r="D171" s="2"/>
      <c r="E171" s="2"/>
      <c r="F171" s="2"/>
      <c r="G171" s="2"/>
      <c r="H171" s="2"/>
      <c r="I171" s="2"/>
    </row>
    <row r="172" spans="3:9" x14ac:dyDescent="0.2">
      <c r="C172" s="4"/>
      <c r="D172" s="2"/>
      <c r="E172" s="2"/>
      <c r="F172" s="2"/>
      <c r="G172" s="2"/>
      <c r="H172" s="2"/>
      <c r="I172" s="2"/>
    </row>
    <row r="173" spans="3:9" x14ac:dyDescent="0.2">
      <c r="C173" s="4"/>
      <c r="D173" s="2"/>
      <c r="E173" s="2"/>
      <c r="F173" s="2"/>
      <c r="G173" s="2"/>
      <c r="H173" s="2"/>
      <c r="I173" s="2"/>
    </row>
    <row r="174" spans="3:9" x14ac:dyDescent="0.2">
      <c r="C174" s="4"/>
      <c r="D174" s="2"/>
      <c r="E174" s="2"/>
      <c r="F174" s="2"/>
      <c r="G174" s="2"/>
      <c r="H174" s="2"/>
      <c r="I174" s="2"/>
    </row>
    <row r="175" spans="3:9" x14ac:dyDescent="0.2">
      <c r="C175" s="4"/>
      <c r="D175" s="2"/>
      <c r="E175" s="2"/>
      <c r="F175" s="2"/>
      <c r="G175" s="2"/>
      <c r="H175" s="2"/>
      <c r="I175" s="2"/>
    </row>
    <row r="176" spans="3:9" x14ac:dyDescent="0.2">
      <c r="C176" s="4"/>
      <c r="D176" s="2"/>
      <c r="E176" s="2"/>
      <c r="F176" s="2"/>
      <c r="G176" s="2"/>
      <c r="H176" s="2"/>
      <c r="I176" s="2"/>
    </row>
    <row r="177" spans="3:9" x14ac:dyDescent="0.2">
      <c r="C177" s="4"/>
      <c r="D177" s="2"/>
      <c r="E177" s="2"/>
      <c r="F177" s="2"/>
      <c r="G177" s="2"/>
      <c r="H177" s="2"/>
      <c r="I177" s="2"/>
    </row>
    <row r="178" spans="3:9" x14ac:dyDescent="0.2">
      <c r="C178" s="4"/>
      <c r="D178" s="2"/>
      <c r="E178" s="2"/>
      <c r="F178" s="2"/>
      <c r="G178" s="2"/>
      <c r="H178" s="2"/>
      <c r="I178" s="2"/>
    </row>
    <row r="179" spans="3:9" x14ac:dyDescent="0.2">
      <c r="C179" s="4"/>
      <c r="D179" s="2"/>
      <c r="E179" s="2"/>
      <c r="F179" s="2"/>
      <c r="G179" s="2"/>
      <c r="H179" s="2"/>
      <c r="I179" s="2"/>
    </row>
    <row r="180" spans="3:9" x14ac:dyDescent="0.2">
      <c r="C180" s="4"/>
      <c r="D180" s="2"/>
      <c r="E180" s="2"/>
      <c r="F180" s="2"/>
      <c r="G180" s="2"/>
      <c r="H180" s="2"/>
      <c r="I180" s="2"/>
    </row>
    <row r="181" spans="3:9" x14ac:dyDescent="0.2">
      <c r="C181" s="4"/>
      <c r="D181" s="2"/>
      <c r="E181" s="2"/>
      <c r="F181" s="2"/>
      <c r="G181" s="2"/>
      <c r="H181" s="2"/>
      <c r="I181" s="2"/>
    </row>
    <row r="182" spans="3:9" x14ac:dyDescent="0.2">
      <c r="C182" s="4"/>
      <c r="D182" s="2"/>
      <c r="E182" s="2"/>
      <c r="F182" s="2"/>
      <c r="G182" s="2"/>
      <c r="H182" s="2"/>
      <c r="I182" s="2"/>
    </row>
    <row r="183" spans="3:9" x14ac:dyDescent="0.2">
      <c r="C183" s="4"/>
      <c r="D183" s="2"/>
      <c r="E183" s="2"/>
      <c r="F183" s="2"/>
      <c r="G183" s="2"/>
      <c r="H183" s="2"/>
      <c r="I183" s="2"/>
    </row>
    <row r="184" spans="3:9" x14ac:dyDescent="0.2">
      <c r="C184" s="4"/>
      <c r="D184" s="2"/>
      <c r="E184" s="2"/>
      <c r="F184" s="2"/>
      <c r="G184" s="2"/>
      <c r="H184" s="2"/>
      <c r="I184" s="2"/>
    </row>
    <row r="185" spans="3:9" x14ac:dyDescent="0.2">
      <c r="C185" s="4"/>
      <c r="D185" s="2"/>
      <c r="E185" s="2"/>
      <c r="F185" s="2"/>
      <c r="G185" s="2"/>
      <c r="H185" s="2"/>
      <c r="I185" s="2"/>
    </row>
    <row r="186" spans="3:9" x14ac:dyDescent="0.2">
      <c r="C186" s="4"/>
      <c r="D186" s="2"/>
      <c r="E186" s="2"/>
      <c r="F186" s="2"/>
      <c r="G186" s="2"/>
      <c r="H186" s="2"/>
      <c r="I186" s="2"/>
    </row>
    <row r="187" spans="3:9" x14ac:dyDescent="0.2">
      <c r="C187" s="4"/>
      <c r="D187" s="2"/>
      <c r="E187" s="2"/>
      <c r="F187" s="2"/>
      <c r="G187" s="2"/>
      <c r="H187" s="2"/>
      <c r="I187" s="2"/>
    </row>
    <row r="188" spans="3:9" x14ac:dyDescent="0.2">
      <c r="C188" s="4"/>
      <c r="D188" s="2"/>
      <c r="E188" s="2"/>
      <c r="F188" s="2"/>
      <c r="G188" s="2"/>
      <c r="H188" s="2"/>
      <c r="I188" s="2"/>
    </row>
    <row r="189" spans="3:9" x14ac:dyDescent="0.2">
      <c r="C189" s="4"/>
      <c r="D189" s="2"/>
      <c r="E189" s="2"/>
      <c r="F189" s="2"/>
      <c r="G189" s="2"/>
      <c r="H189" s="2"/>
      <c r="I189" s="2"/>
    </row>
    <row r="190" spans="3:9" x14ac:dyDescent="0.2">
      <c r="C190" s="4"/>
      <c r="D190" s="2"/>
      <c r="E190" s="2"/>
      <c r="F190" s="2"/>
      <c r="G190" s="2"/>
      <c r="H190" s="2"/>
      <c r="I190" s="2"/>
    </row>
    <row r="191" spans="3:9" x14ac:dyDescent="0.2">
      <c r="C191" s="4"/>
      <c r="D191" s="2"/>
      <c r="E191" s="2"/>
      <c r="F191" s="2"/>
      <c r="G191" s="2"/>
      <c r="H191" s="2"/>
      <c r="I191" s="2"/>
    </row>
    <row r="192" spans="3:9" x14ac:dyDescent="0.2">
      <c r="C192" s="4"/>
      <c r="D192" s="2"/>
      <c r="E192" s="2"/>
      <c r="F192" s="2"/>
      <c r="G192" s="2"/>
      <c r="H192" s="2"/>
      <c r="I192" s="2"/>
    </row>
    <row r="193" spans="3:9" x14ac:dyDescent="0.2">
      <c r="C193" s="4"/>
      <c r="D193" s="2"/>
      <c r="E193" s="2"/>
      <c r="F193" s="2"/>
      <c r="G193" s="2"/>
      <c r="H193" s="2"/>
      <c r="I193" s="2"/>
    </row>
    <row r="194" spans="3:9" x14ac:dyDescent="0.2">
      <c r="C194" s="4"/>
      <c r="D194" s="2"/>
      <c r="E194" s="2"/>
      <c r="F194" s="2"/>
      <c r="G194" s="2"/>
      <c r="H194" s="2"/>
      <c r="I194" s="2"/>
    </row>
    <row r="195" spans="3:9" x14ac:dyDescent="0.2">
      <c r="C195" s="4"/>
      <c r="D195" s="2"/>
      <c r="E195" s="2"/>
      <c r="F195" s="2"/>
      <c r="G195" s="2"/>
      <c r="H195" s="2"/>
      <c r="I195" s="2"/>
    </row>
    <row r="196" spans="3:9" x14ac:dyDescent="0.2">
      <c r="C196" s="4"/>
      <c r="D196" s="2"/>
      <c r="E196" s="2"/>
      <c r="F196" s="2"/>
      <c r="G196" s="2"/>
      <c r="H196" s="2"/>
      <c r="I196" s="2"/>
    </row>
    <row r="197" spans="3:9" x14ac:dyDescent="0.2">
      <c r="C197" s="4"/>
      <c r="D197" s="2"/>
      <c r="E197" s="2"/>
      <c r="F197" s="2"/>
      <c r="G197" s="2"/>
      <c r="H197" s="2"/>
      <c r="I197" s="2"/>
    </row>
    <row r="198" spans="3:9" x14ac:dyDescent="0.2">
      <c r="C198" s="4"/>
      <c r="D198" s="2"/>
      <c r="E198" s="2"/>
      <c r="F198" s="2"/>
      <c r="G198" s="2"/>
      <c r="H198" s="2"/>
      <c r="I198" s="2"/>
    </row>
    <row r="199" spans="3:9" x14ac:dyDescent="0.2">
      <c r="C199" s="4"/>
      <c r="D199" s="2"/>
      <c r="E199" s="2"/>
      <c r="F199" s="2"/>
      <c r="G199" s="2"/>
      <c r="H199" s="2"/>
      <c r="I199" s="2"/>
    </row>
    <row r="200" spans="3:9" x14ac:dyDescent="0.2">
      <c r="C200" s="4"/>
      <c r="D200" s="2"/>
      <c r="E200" s="2"/>
      <c r="F200" s="2"/>
      <c r="G200" s="2"/>
      <c r="H200" s="2"/>
      <c r="I200" s="2"/>
    </row>
    <row r="201" spans="3:9" x14ac:dyDescent="0.2">
      <c r="C201" s="4"/>
      <c r="D201" s="2"/>
      <c r="E201" s="2"/>
      <c r="F201" s="2"/>
      <c r="G201" s="2"/>
      <c r="H201" s="2"/>
      <c r="I201" s="2"/>
    </row>
    <row r="202" spans="3:9" x14ac:dyDescent="0.2">
      <c r="C202" s="4"/>
      <c r="D202" s="2"/>
      <c r="E202" s="2"/>
      <c r="F202" s="2"/>
      <c r="G202" s="2"/>
      <c r="H202" s="2"/>
      <c r="I202" s="2"/>
    </row>
    <row r="203" spans="3:9" x14ac:dyDescent="0.2">
      <c r="C203" s="4"/>
      <c r="D203" s="2"/>
      <c r="E203" s="2"/>
      <c r="F203" s="2"/>
      <c r="G203" s="2"/>
      <c r="H203" s="2"/>
      <c r="I203" s="2"/>
    </row>
    <row r="204" spans="3:9" x14ac:dyDescent="0.2">
      <c r="C204" s="4"/>
      <c r="D204" s="2"/>
      <c r="E204" s="2"/>
      <c r="F204" s="2"/>
      <c r="G204" s="2"/>
      <c r="H204" s="2"/>
      <c r="I204" s="2"/>
    </row>
    <row r="205" spans="3:9" x14ac:dyDescent="0.2">
      <c r="C205" s="4"/>
      <c r="D205" s="2"/>
      <c r="E205" s="2"/>
      <c r="F205" s="2"/>
      <c r="G205" s="2"/>
      <c r="H205" s="2"/>
      <c r="I205" s="2"/>
    </row>
    <row r="206" spans="3:9" x14ac:dyDescent="0.2">
      <c r="C206" s="4"/>
      <c r="D206" s="2"/>
      <c r="E206" s="2"/>
      <c r="F206" s="2"/>
      <c r="G206" s="2"/>
      <c r="H206" s="2"/>
      <c r="I206" s="2"/>
    </row>
    <row r="207" spans="3:9" x14ac:dyDescent="0.2">
      <c r="C207" s="4"/>
      <c r="D207" s="2"/>
      <c r="E207" s="2"/>
      <c r="F207" s="2"/>
      <c r="G207" s="2"/>
      <c r="H207" s="2"/>
      <c r="I207" s="2"/>
    </row>
    <row r="208" spans="3:9" x14ac:dyDescent="0.2">
      <c r="C208" s="4"/>
      <c r="D208" s="2"/>
      <c r="E208" s="2"/>
      <c r="F208" s="2"/>
      <c r="G208" s="2"/>
      <c r="H208" s="2"/>
      <c r="I208" s="2"/>
    </row>
    <row r="209" spans="3:9" x14ac:dyDescent="0.2">
      <c r="C209" s="4"/>
      <c r="D209" s="2"/>
      <c r="E209" s="2"/>
      <c r="F209" s="2"/>
      <c r="G209" s="2"/>
      <c r="H209" s="2"/>
      <c r="I209" s="2"/>
    </row>
    <row r="210" spans="3:9" x14ac:dyDescent="0.2">
      <c r="C210" s="4"/>
      <c r="D210" s="2"/>
      <c r="E210" s="2"/>
      <c r="F210" s="2"/>
      <c r="G210" s="2"/>
      <c r="H210" s="2"/>
      <c r="I210" s="2"/>
    </row>
    <row r="211" spans="3:9" x14ac:dyDescent="0.2">
      <c r="C211" s="4"/>
      <c r="D211" s="2"/>
      <c r="E211" s="2"/>
      <c r="F211" s="2"/>
      <c r="G211" s="2"/>
      <c r="H211" s="2"/>
      <c r="I211" s="2"/>
    </row>
    <row r="212" spans="3:9" x14ac:dyDescent="0.2">
      <c r="C212" s="4"/>
      <c r="D212" s="2"/>
      <c r="E212" s="2"/>
      <c r="F212" s="2"/>
      <c r="G212" s="2"/>
      <c r="H212" s="2"/>
      <c r="I212" s="2"/>
    </row>
    <row r="213" spans="3:9" x14ac:dyDescent="0.2">
      <c r="C213" s="4"/>
      <c r="D213" s="2"/>
      <c r="E213" s="2"/>
      <c r="F213" s="2"/>
      <c r="G213" s="2"/>
      <c r="H213" s="2"/>
      <c r="I213" s="2"/>
    </row>
    <row r="214" spans="3:9" x14ac:dyDescent="0.2">
      <c r="C214" s="4"/>
      <c r="D214" s="2"/>
      <c r="E214" s="2"/>
      <c r="F214" s="2"/>
      <c r="G214" s="2"/>
      <c r="H214" s="2"/>
      <c r="I214" s="2"/>
    </row>
    <row r="215" spans="3:9" x14ac:dyDescent="0.2">
      <c r="C215" s="4"/>
      <c r="D215" s="2"/>
      <c r="E215" s="2"/>
      <c r="F215" s="2"/>
      <c r="G215" s="2"/>
      <c r="H215" s="2"/>
      <c r="I215" s="2"/>
    </row>
    <row r="216" spans="3:9" x14ac:dyDescent="0.2">
      <c r="C216" s="4"/>
      <c r="D216" s="2"/>
      <c r="E216" s="2"/>
      <c r="F216" s="2"/>
      <c r="G216" s="2"/>
      <c r="H216" s="2"/>
      <c r="I216" s="2"/>
    </row>
    <row r="217" spans="3:9" x14ac:dyDescent="0.2">
      <c r="C217" s="4"/>
      <c r="D217" s="2"/>
      <c r="E217" s="2"/>
      <c r="F217" s="2"/>
      <c r="G217" s="2"/>
      <c r="H217" s="2"/>
      <c r="I217" s="2"/>
    </row>
    <row r="218" spans="3:9" x14ac:dyDescent="0.2">
      <c r="C218" s="4"/>
      <c r="D218" s="2"/>
      <c r="E218" s="2"/>
      <c r="F218" s="2"/>
      <c r="G218" s="2"/>
      <c r="H218" s="2"/>
      <c r="I218" s="2"/>
    </row>
    <row r="219" spans="3:9" x14ac:dyDescent="0.2">
      <c r="C219" s="4"/>
      <c r="D219" s="2"/>
      <c r="E219" s="2"/>
      <c r="F219" s="2"/>
      <c r="G219" s="2"/>
      <c r="H219" s="2"/>
      <c r="I219" s="2"/>
    </row>
    <row r="220" spans="3:9" x14ac:dyDescent="0.2">
      <c r="C220" s="4"/>
      <c r="D220" s="2"/>
      <c r="E220" s="2"/>
      <c r="F220" s="2"/>
      <c r="G220" s="2"/>
      <c r="H220" s="2"/>
      <c r="I220" s="2"/>
    </row>
    <row r="221" spans="3:9" x14ac:dyDescent="0.2">
      <c r="C221" s="4"/>
      <c r="D221" s="2"/>
      <c r="E221" s="2"/>
      <c r="F221" s="2"/>
      <c r="G221" s="2"/>
      <c r="H221" s="2"/>
      <c r="I221" s="2"/>
    </row>
    <row r="222" spans="3:9" x14ac:dyDescent="0.2">
      <c r="C222" s="4"/>
      <c r="D222" s="2"/>
      <c r="E222" s="2"/>
      <c r="F222" s="2"/>
      <c r="G222" s="2"/>
      <c r="H222" s="2"/>
      <c r="I222" s="2"/>
    </row>
    <row r="223" spans="3:9" x14ac:dyDescent="0.2">
      <c r="C223" s="4"/>
      <c r="D223" s="2"/>
      <c r="E223" s="2"/>
      <c r="F223" s="2"/>
      <c r="G223" s="2"/>
      <c r="H223" s="2"/>
      <c r="I223" s="2"/>
    </row>
    <row r="224" spans="3:9" x14ac:dyDescent="0.2">
      <c r="C224" s="4"/>
      <c r="D224" s="2"/>
      <c r="E224" s="2"/>
      <c r="F224" s="2"/>
      <c r="G224" s="2"/>
      <c r="H224" s="2"/>
      <c r="I224" s="2"/>
    </row>
    <row r="225" spans="3:9" x14ac:dyDescent="0.2">
      <c r="C225" s="4"/>
      <c r="D225" s="2"/>
      <c r="E225" s="2"/>
      <c r="F225" s="2"/>
      <c r="G225" s="2"/>
      <c r="H225" s="2"/>
      <c r="I225" s="2"/>
    </row>
    <row r="226" spans="3:9" x14ac:dyDescent="0.2">
      <c r="C226" s="4"/>
      <c r="D226" s="2"/>
      <c r="E226" s="2"/>
      <c r="F226" s="2"/>
      <c r="G226" s="2"/>
      <c r="H226" s="2"/>
      <c r="I226" s="2"/>
    </row>
    <row r="227" spans="3:9" x14ac:dyDescent="0.2">
      <c r="C227" s="4"/>
      <c r="D227" s="2"/>
      <c r="E227" s="2"/>
      <c r="F227" s="2"/>
      <c r="G227" s="2"/>
      <c r="H227" s="2"/>
      <c r="I227" s="2"/>
    </row>
    <row r="228" spans="3:9" x14ac:dyDescent="0.2">
      <c r="C228" s="4"/>
      <c r="D228" s="2"/>
      <c r="E228" s="2"/>
      <c r="F228" s="2"/>
      <c r="G228" s="2"/>
      <c r="H228" s="2"/>
      <c r="I228" s="2"/>
    </row>
    <row r="229" spans="3:9" x14ac:dyDescent="0.2">
      <c r="C229" s="4"/>
      <c r="D229" s="2"/>
      <c r="E229" s="2"/>
      <c r="F229" s="2"/>
      <c r="G229" s="2"/>
      <c r="H229" s="2"/>
      <c r="I229" s="2"/>
    </row>
  </sheetData>
  <mergeCells count="3">
    <mergeCell ref="D3:G3"/>
    <mergeCell ref="D5:G5"/>
    <mergeCell ref="D7:G7"/>
  </mergeCells>
  <conditionalFormatting sqref="F11:F24">
    <cfRule type="cellIs" dxfId="115" priority="1" operator="greaterThan">
      <formula>0</formula>
    </cfRule>
  </conditionalFormatting>
  <conditionalFormatting sqref="F26">
    <cfRule type="cellIs" dxfId="114" priority="29" operator="greaterThan">
      <formula>0</formula>
    </cfRule>
  </conditionalFormatting>
  <conditionalFormatting sqref="G11:G24">
    <cfRule type="cellIs" dxfId="113" priority="2" operator="greaterThan">
      <formula>0</formula>
    </cfRule>
  </conditionalFormatting>
  <conditionalFormatting sqref="G26">
    <cfRule type="cellIs" dxfId="112" priority="30" operator="greaterThan">
      <formula>0</formula>
    </cfRule>
  </conditionalFormatting>
  <hyperlinks>
    <hyperlink ref="C10" location="'List of Services'!A1" display="Specify services in use" xr:uid="{00000000-0004-0000-0100-000000000000}"/>
    <hyperlink ref="C11" location="'I. General'!A1" display="I. General" xr:uid="{00000000-0004-0000-0100-000001000000}"/>
    <hyperlink ref="C12" location="'II. Compute'!A1" display="II. Compute" xr:uid="{00000000-0004-0000-0100-000002000000}"/>
    <hyperlink ref="C13" location="'III. Storage'!A1" display="III. Storage" xr:uid="{00000000-0004-0000-0100-000003000000}"/>
    <hyperlink ref="C14" location="'IV. Databases'!A1" display="IV. Databases" xr:uid="{00000000-0004-0000-0100-000004000000}"/>
    <hyperlink ref="C15" location="'V. Network &amp; Delivery'!A1" display="V. Network &amp; Delivery" xr:uid="{00000000-0004-0000-0100-000005000000}"/>
    <hyperlink ref="C16" location="'VI. Management &amp; Governance'!A1" display="VI. Management &amp; Governance" xr:uid="{00000000-0004-0000-0100-000006000000}"/>
    <hyperlink ref="C17" location="'VII. Machine Learning'!A1" display="VII. Machine Learning" xr:uid="{00000000-0004-0000-0100-000007000000}"/>
    <hyperlink ref="C18" location="'VIII. Analytics'!A1" display="VIII. Analytics" xr:uid="{00000000-0004-0000-0100-000008000000}"/>
    <hyperlink ref="C19" location="'IX. Security &amp; Compliance'!A1" display="IX. Security &amp; Compliance" xr:uid="{00000000-0004-0000-0100-000009000000}"/>
    <hyperlink ref="C20" location="'X. Serverless'!A1" display="X. Serverless" xr:uid="{00000000-0004-0000-0100-00000A000000}"/>
    <hyperlink ref="C21" location="'XI. Application Integration'!A1" display="XI. Application Integration" xr:uid="{00000000-0004-0000-0100-00000B000000}"/>
    <hyperlink ref="C22" location="'XII. Media Services'!A1" display="XII. Media Services" xr:uid="{00000000-0004-0000-0100-00000C000000}"/>
    <hyperlink ref="C23" location="'XIII. Developer Tools'!A1" display="XIII. Developer Tools" xr:uid="{00000000-0004-0000-0100-00000D000000}"/>
    <hyperlink ref="C24" location="'XIV. Internet of Things'!A1" display="XIV. Internet of Things" xr:uid="{00000000-0004-0000-0100-00000E000000}"/>
    <hyperlink ref="C28" r:id="rId1" xr:uid="{00000000-0004-0000-0100-00000F000000}"/>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6"/>
  <sheetViews>
    <sheetView topLeftCell="A8" workbookViewId="0">
      <selection activeCell="D22" sqref="D22"/>
    </sheetView>
  </sheetViews>
  <sheetFormatPr baseColWidth="10" defaultColWidth="8.83203125" defaultRowHeight="15" x14ac:dyDescent="0.2"/>
  <cols>
    <col min="1" max="1" width="22" customWidth="1"/>
    <col min="4" max="4" width="22" customWidth="1"/>
    <col min="7" max="7" width="22" customWidth="1"/>
    <col min="10" max="10" width="22" customWidth="1"/>
    <col min="13" max="13" width="22" customWidth="1"/>
  </cols>
  <sheetData>
    <row r="1" spans="1:21" ht="16" x14ac:dyDescent="0.2">
      <c r="A1" s="101" t="s">
        <v>29</v>
      </c>
      <c r="B1" s="101"/>
      <c r="C1" s="101"/>
      <c r="D1" s="101"/>
      <c r="E1" s="101"/>
      <c r="F1" s="101"/>
      <c r="G1" s="101"/>
      <c r="H1" s="101"/>
      <c r="I1" s="101"/>
    </row>
    <row r="2" spans="1:21" ht="16" x14ac:dyDescent="0.2">
      <c r="T2" s="36" t="s">
        <v>6</v>
      </c>
      <c r="U2" s="36">
        <v>63</v>
      </c>
    </row>
    <row r="3" spans="1:21" ht="16" x14ac:dyDescent="0.2">
      <c r="A3" s="101" t="s">
        <v>30</v>
      </c>
      <c r="B3" s="101"/>
      <c r="C3" s="101"/>
      <c r="D3" s="101"/>
      <c r="E3" s="101"/>
      <c r="F3" s="36" t="s">
        <v>31</v>
      </c>
      <c r="G3" s="101" t="s">
        <v>32</v>
      </c>
      <c r="H3" s="101"/>
      <c r="T3" s="36" t="s">
        <v>33</v>
      </c>
      <c r="U3" s="36">
        <f>COUNTIFS(A8:O37, "Yes")+COUNTIFS(A8:O37, "No")</f>
        <v>63</v>
      </c>
    </row>
    <row r="4" spans="1:21" ht="16" x14ac:dyDescent="0.2">
      <c r="A4" s="36" t="s">
        <v>4</v>
      </c>
    </row>
    <row r="8" spans="1:21" ht="16" x14ac:dyDescent="0.2">
      <c r="A8" s="37" t="s">
        <v>14</v>
      </c>
      <c r="B8" s="38" t="s">
        <v>34</v>
      </c>
      <c r="C8" s="36" t="s">
        <v>4</v>
      </c>
      <c r="D8" s="37" t="s">
        <v>17</v>
      </c>
      <c r="E8" s="38" t="s">
        <v>34</v>
      </c>
      <c r="F8" s="36" t="s">
        <v>4</v>
      </c>
      <c r="G8" s="37" t="s">
        <v>20</v>
      </c>
      <c r="H8" s="38" t="s">
        <v>34</v>
      </c>
      <c r="I8" s="36" t="s">
        <v>4</v>
      </c>
      <c r="J8" s="37" t="s">
        <v>23</v>
      </c>
      <c r="K8" s="38" t="s">
        <v>34</v>
      </c>
      <c r="L8" s="36" t="s">
        <v>4</v>
      </c>
      <c r="M8" s="37" t="s">
        <v>26</v>
      </c>
      <c r="N8" s="38" t="s">
        <v>34</v>
      </c>
      <c r="O8" s="36" t="s">
        <v>4</v>
      </c>
    </row>
    <row r="9" spans="1:21" ht="16" x14ac:dyDescent="0.2">
      <c r="A9" s="36" t="s">
        <v>35</v>
      </c>
      <c r="B9" s="36" t="s">
        <v>31</v>
      </c>
      <c r="C9" s="36" t="s">
        <v>4</v>
      </c>
      <c r="D9" s="36" t="s">
        <v>36</v>
      </c>
      <c r="E9" s="36" t="s">
        <v>31</v>
      </c>
      <c r="F9" s="36" t="s">
        <v>4</v>
      </c>
      <c r="G9" s="36" t="s">
        <v>37</v>
      </c>
      <c r="H9" s="36" t="s">
        <v>31</v>
      </c>
      <c r="I9" s="36" t="s">
        <v>4</v>
      </c>
      <c r="J9" s="36" t="s">
        <v>38</v>
      </c>
      <c r="K9" s="36" t="s">
        <v>31</v>
      </c>
      <c r="L9" s="36" t="s">
        <v>4</v>
      </c>
      <c r="M9" s="36" t="s">
        <v>39</v>
      </c>
      <c r="N9" s="36" t="s">
        <v>31</v>
      </c>
      <c r="O9" s="36" t="s">
        <v>4</v>
      </c>
    </row>
    <row r="10" spans="1:21" ht="16" x14ac:dyDescent="0.2">
      <c r="A10" s="36" t="s">
        <v>40</v>
      </c>
      <c r="B10" s="36" t="s">
        <v>31</v>
      </c>
      <c r="C10" s="36" t="s">
        <v>4</v>
      </c>
      <c r="D10" s="36" t="s">
        <v>41</v>
      </c>
      <c r="E10" s="36" t="s">
        <v>31</v>
      </c>
      <c r="F10" s="36" t="s">
        <v>4</v>
      </c>
      <c r="G10" s="36" t="s">
        <v>42</v>
      </c>
      <c r="H10" s="36" t="s">
        <v>31</v>
      </c>
      <c r="I10" s="36" t="s">
        <v>4</v>
      </c>
      <c r="J10" s="36" t="s">
        <v>43</v>
      </c>
      <c r="K10" s="36" t="s">
        <v>31</v>
      </c>
      <c r="L10" s="36" t="s">
        <v>4</v>
      </c>
      <c r="M10" s="36" t="s">
        <v>4</v>
      </c>
      <c r="N10" s="36" t="s">
        <v>4</v>
      </c>
      <c r="O10" s="36" t="s">
        <v>4</v>
      </c>
    </row>
    <row r="11" spans="1:21" ht="16" x14ac:dyDescent="0.2">
      <c r="A11" s="36" t="s">
        <v>44</v>
      </c>
      <c r="B11" s="36" t="s">
        <v>31</v>
      </c>
      <c r="C11" s="36" t="s">
        <v>4</v>
      </c>
      <c r="D11" s="36" t="s">
        <v>45</v>
      </c>
      <c r="E11" s="36" t="s">
        <v>214</v>
      </c>
      <c r="F11" s="36" t="s">
        <v>4</v>
      </c>
      <c r="G11" s="36" t="s">
        <v>46</v>
      </c>
      <c r="H11" s="36" t="s">
        <v>31</v>
      </c>
      <c r="I11" s="36" t="s">
        <v>4</v>
      </c>
      <c r="J11" s="36" t="s">
        <v>47</v>
      </c>
      <c r="K11" s="36" t="s">
        <v>31</v>
      </c>
      <c r="L11" s="36" t="s">
        <v>4</v>
      </c>
      <c r="M11" s="36" t="s">
        <v>4</v>
      </c>
      <c r="N11" s="36" t="s">
        <v>4</v>
      </c>
      <c r="O11" s="36" t="s">
        <v>4</v>
      </c>
    </row>
    <row r="12" spans="1:21" ht="16" x14ac:dyDescent="0.2">
      <c r="A12" s="36" t="s">
        <v>48</v>
      </c>
      <c r="B12" s="36" t="s">
        <v>31</v>
      </c>
      <c r="C12" s="36" t="s">
        <v>4</v>
      </c>
      <c r="D12" s="36" t="s">
        <v>49</v>
      </c>
      <c r="E12" s="36" t="s">
        <v>31</v>
      </c>
      <c r="F12" s="36" t="s">
        <v>4</v>
      </c>
      <c r="G12" s="36" t="s">
        <v>50</v>
      </c>
      <c r="H12" s="36" t="s">
        <v>31</v>
      </c>
      <c r="I12" s="36" t="s">
        <v>4</v>
      </c>
      <c r="J12" s="36" t="s">
        <v>4</v>
      </c>
      <c r="K12" s="36" t="s">
        <v>4</v>
      </c>
      <c r="L12" s="36" t="s">
        <v>4</v>
      </c>
      <c r="M12" s="36" t="s">
        <v>4</v>
      </c>
      <c r="N12" s="36" t="s">
        <v>4</v>
      </c>
      <c r="O12" s="36" t="s">
        <v>4</v>
      </c>
    </row>
    <row r="13" spans="1:21" ht="16" x14ac:dyDescent="0.2">
      <c r="A13" s="36" t="s">
        <v>51</v>
      </c>
      <c r="B13" s="36" t="s">
        <v>31</v>
      </c>
      <c r="C13" s="36" t="s">
        <v>4</v>
      </c>
      <c r="D13" s="36" t="s">
        <v>52</v>
      </c>
      <c r="E13" s="36" t="s">
        <v>31</v>
      </c>
      <c r="F13" s="36" t="s">
        <v>4</v>
      </c>
      <c r="G13" s="36" t="s">
        <v>53</v>
      </c>
      <c r="H13" s="36" t="s">
        <v>31</v>
      </c>
      <c r="I13" s="36" t="s">
        <v>4</v>
      </c>
      <c r="J13" s="36" t="s">
        <v>4</v>
      </c>
      <c r="K13" s="36" t="s">
        <v>4</v>
      </c>
      <c r="L13" s="36" t="s">
        <v>4</v>
      </c>
      <c r="M13" s="36" t="s">
        <v>4</v>
      </c>
      <c r="N13" s="36" t="s">
        <v>4</v>
      </c>
      <c r="O13" s="36" t="s">
        <v>4</v>
      </c>
    </row>
    <row r="14" spans="1:21" ht="16" x14ac:dyDescent="0.2">
      <c r="A14" s="36" t="s">
        <v>54</v>
      </c>
      <c r="B14" s="36" t="s">
        <v>31</v>
      </c>
      <c r="C14" s="36" t="s">
        <v>4</v>
      </c>
      <c r="D14" s="36" t="s">
        <v>55</v>
      </c>
      <c r="E14" s="36" t="s">
        <v>31</v>
      </c>
      <c r="F14" s="36" t="s">
        <v>4</v>
      </c>
      <c r="G14" s="36" t="s">
        <v>56</v>
      </c>
      <c r="H14" s="36" t="s">
        <v>31</v>
      </c>
      <c r="I14" s="36" t="s">
        <v>4</v>
      </c>
      <c r="J14" s="36" t="s">
        <v>4</v>
      </c>
      <c r="K14" s="36" t="s">
        <v>4</v>
      </c>
      <c r="L14" s="36" t="s">
        <v>4</v>
      </c>
      <c r="M14" s="36" t="s">
        <v>4</v>
      </c>
      <c r="N14" s="36" t="s">
        <v>4</v>
      </c>
      <c r="O14" s="36" t="s">
        <v>4</v>
      </c>
    </row>
    <row r="15" spans="1:21" ht="16" x14ac:dyDescent="0.2">
      <c r="A15" s="36" t="s">
        <v>57</v>
      </c>
      <c r="B15" s="36" t="s">
        <v>31</v>
      </c>
      <c r="C15" s="36" t="s">
        <v>4</v>
      </c>
      <c r="D15" s="36" t="s">
        <v>4</v>
      </c>
      <c r="E15" s="36" t="s">
        <v>4</v>
      </c>
      <c r="F15" s="36" t="s">
        <v>4</v>
      </c>
      <c r="G15" s="36" t="s">
        <v>58</v>
      </c>
      <c r="H15" s="36" t="s">
        <v>31</v>
      </c>
      <c r="I15" s="36" t="s">
        <v>4</v>
      </c>
      <c r="J15" s="36" t="s">
        <v>4</v>
      </c>
      <c r="K15" s="36" t="s">
        <v>4</v>
      </c>
      <c r="L15" s="36" t="s">
        <v>4</v>
      </c>
      <c r="M15" s="36" t="s">
        <v>4</v>
      </c>
      <c r="N15" s="36" t="s">
        <v>4</v>
      </c>
      <c r="O15" s="36" t="s">
        <v>4</v>
      </c>
    </row>
    <row r="16" spans="1:21" ht="16" x14ac:dyDescent="0.2">
      <c r="A16" s="36" t="s">
        <v>4</v>
      </c>
      <c r="B16" s="36" t="s">
        <v>4</v>
      </c>
      <c r="C16" s="36" t="s">
        <v>4</v>
      </c>
      <c r="D16" s="36" t="s">
        <v>4</v>
      </c>
      <c r="E16" s="36" t="s">
        <v>4</v>
      </c>
      <c r="F16" s="36" t="s">
        <v>4</v>
      </c>
      <c r="G16" s="36" t="s">
        <v>59</v>
      </c>
      <c r="H16" s="36" t="s">
        <v>31</v>
      </c>
      <c r="I16" s="36" t="s">
        <v>4</v>
      </c>
      <c r="J16" s="36" t="s">
        <v>4</v>
      </c>
      <c r="K16" s="36" t="s">
        <v>4</v>
      </c>
      <c r="L16" s="36" t="s">
        <v>4</v>
      </c>
      <c r="M16" s="36" t="s">
        <v>4</v>
      </c>
      <c r="N16" s="36" t="s">
        <v>4</v>
      </c>
      <c r="O16" s="36" t="s">
        <v>4</v>
      </c>
    </row>
    <row r="17" spans="1:15" ht="16" x14ac:dyDescent="0.2">
      <c r="A17" s="36" t="s">
        <v>4</v>
      </c>
      <c r="B17" s="36" t="s">
        <v>4</v>
      </c>
      <c r="C17" s="36" t="s">
        <v>4</v>
      </c>
      <c r="D17" s="36" t="s">
        <v>4</v>
      </c>
      <c r="E17" s="36" t="s">
        <v>4</v>
      </c>
      <c r="F17" s="36" t="s">
        <v>4</v>
      </c>
      <c r="G17" s="36" t="s">
        <v>60</v>
      </c>
      <c r="H17" s="36" t="s">
        <v>31</v>
      </c>
      <c r="I17" s="36" t="s">
        <v>4</v>
      </c>
      <c r="J17" s="36" t="s">
        <v>4</v>
      </c>
      <c r="K17" s="36" t="s">
        <v>4</v>
      </c>
      <c r="L17" s="36" t="s">
        <v>4</v>
      </c>
      <c r="M17" s="36" t="s">
        <v>4</v>
      </c>
      <c r="N17" s="36" t="s">
        <v>4</v>
      </c>
      <c r="O17" s="36" t="s">
        <v>4</v>
      </c>
    </row>
    <row r="19" spans="1:15" ht="16" x14ac:dyDescent="0.2">
      <c r="A19" s="37" t="s">
        <v>15</v>
      </c>
      <c r="B19" s="38" t="s">
        <v>34</v>
      </c>
      <c r="C19" s="36" t="s">
        <v>4</v>
      </c>
      <c r="D19" s="37" t="s">
        <v>18</v>
      </c>
      <c r="E19" s="38" t="s">
        <v>34</v>
      </c>
      <c r="F19" s="36" t="s">
        <v>4</v>
      </c>
      <c r="G19" s="37" t="s">
        <v>21</v>
      </c>
      <c r="H19" s="38" t="s">
        <v>34</v>
      </c>
      <c r="I19" s="36" t="s">
        <v>4</v>
      </c>
      <c r="J19" s="37" t="s">
        <v>24</v>
      </c>
      <c r="K19" s="38" t="s">
        <v>34</v>
      </c>
      <c r="L19" s="36" t="s">
        <v>4</v>
      </c>
    </row>
    <row r="20" spans="1:15" ht="16" x14ac:dyDescent="0.2">
      <c r="A20" s="36" t="s">
        <v>61</v>
      </c>
      <c r="B20" s="36" t="s">
        <v>31</v>
      </c>
      <c r="C20" s="36" t="s">
        <v>4</v>
      </c>
      <c r="D20" s="36" t="s">
        <v>62</v>
      </c>
      <c r="E20" s="36" t="s">
        <v>214</v>
      </c>
      <c r="F20" s="36" t="s">
        <v>4</v>
      </c>
      <c r="G20" s="36" t="s">
        <v>63</v>
      </c>
      <c r="H20" s="36" t="s">
        <v>214</v>
      </c>
      <c r="I20" s="36" t="s">
        <v>4</v>
      </c>
      <c r="J20" s="36" t="s">
        <v>64</v>
      </c>
      <c r="K20" s="36" t="s">
        <v>31</v>
      </c>
      <c r="L20" s="36" t="s">
        <v>4</v>
      </c>
    </row>
    <row r="21" spans="1:15" ht="16" x14ac:dyDescent="0.2">
      <c r="A21" s="36" t="s">
        <v>65</v>
      </c>
      <c r="B21" s="36" t="s">
        <v>31</v>
      </c>
      <c r="C21" s="36" t="s">
        <v>4</v>
      </c>
      <c r="D21" s="36" t="s">
        <v>66</v>
      </c>
      <c r="E21" s="36" t="s">
        <v>31</v>
      </c>
      <c r="F21" s="36" t="s">
        <v>4</v>
      </c>
      <c r="G21" s="36" t="s">
        <v>67</v>
      </c>
      <c r="H21" s="36" t="s">
        <v>31</v>
      </c>
      <c r="I21" s="36" t="s">
        <v>4</v>
      </c>
      <c r="J21" s="36" t="s">
        <v>68</v>
      </c>
      <c r="K21" s="36" t="s">
        <v>31</v>
      </c>
      <c r="L21" s="36" t="s">
        <v>4</v>
      </c>
    </row>
    <row r="22" spans="1:15" ht="16" x14ac:dyDescent="0.2">
      <c r="A22" s="36" t="s">
        <v>69</v>
      </c>
      <c r="B22" s="36" t="s">
        <v>31</v>
      </c>
      <c r="C22" s="36" t="s">
        <v>4</v>
      </c>
      <c r="D22" s="36" t="s">
        <v>70</v>
      </c>
      <c r="E22" s="36" t="s">
        <v>214</v>
      </c>
      <c r="F22" s="36" t="s">
        <v>4</v>
      </c>
      <c r="G22" s="36" t="s">
        <v>71</v>
      </c>
      <c r="H22" s="36" t="s">
        <v>31</v>
      </c>
      <c r="I22" s="36" t="s">
        <v>4</v>
      </c>
      <c r="J22" s="36" t="s">
        <v>4</v>
      </c>
      <c r="K22" s="36" t="s">
        <v>4</v>
      </c>
      <c r="L22" s="36" t="s">
        <v>4</v>
      </c>
    </row>
    <row r="23" spans="1:15" ht="16" x14ac:dyDescent="0.2">
      <c r="A23" s="36" t="s">
        <v>72</v>
      </c>
      <c r="B23" s="36" t="s">
        <v>31</v>
      </c>
      <c r="C23" s="36" t="s">
        <v>4</v>
      </c>
      <c r="D23" s="36" t="s">
        <v>73</v>
      </c>
      <c r="E23" s="36" t="s">
        <v>31</v>
      </c>
      <c r="F23" s="36" t="s">
        <v>4</v>
      </c>
      <c r="G23" s="36" t="s">
        <v>74</v>
      </c>
      <c r="H23" s="36" t="s">
        <v>31</v>
      </c>
      <c r="I23" s="36" t="s">
        <v>4</v>
      </c>
      <c r="J23" s="36" t="s">
        <v>4</v>
      </c>
      <c r="K23" s="36" t="s">
        <v>4</v>
      </c>
      <c r="L23" s="36" t="s">
        <v>4</v>
      </c>
    </row>
    <row r="24" spans="1:15" ht="16" x14ac:dyDescent="0.2">
      <c r="A24" s="36" t="s">
        <v>4</v>
      </c>
      <c r="B24" s="36" t="s">
        <v>4</v>
      </c>
      <c r="C24" s="36" t="s">
        <v>4</v>
      </c>
      <c r="D24" s="36" t="s">
        <v>4</v>
      </c>
      <c r="E24" s="36" t="s">
        <v>4</v>
      </c>
      <c r="F24" s="36" t="s">
        <v>4</v>
      </c>
      <c r="G24" s="36" t="s">
        <v>75</v>
      </c>
      <c r="H24" s="36" t="s">
        <v>31</v>
      </c>
      <c r="I24" s="36" t="s">
        <v>4</v>
      </c>
      <c r="J24" s="36" t="s">
        <v>4</v>
      </c>
      <c r="K24" s="36" t="s">
        <v>4</v>
      </c>
      <c r="L24" s="36" t="s">
        <v>4</v>
      </c>
    </row>
    <row r="25" spans="1:15" ht="16" x14ac:dyDescent="0.2">
      <c r="A25" s="36" t="s">
        <v>4</v>
      </c>
      <c r="B25" s="36" t="s">
        <v>4</v>
      </c>
      <c r="C25" s="36" t="s">
        <v>4</v>
      </c>
      <c r="D25" s="36" t="s">
        <v>4</v>
      </c>
      <c r="E25" s="36" t="s">
        <v>4</v>
      </c>
      <c r="F25" s="36" t="s">
        <v>4</v>
      </c>
      <c r="G25" s="36" t="s">
        <v>76</v>
      </c>
      <c r="H25" s="36" t="s">
        <v>31</v>
      </c>
      <c r="I25" s="36" t="s">
        <v>4</v>
      </c>
      <c r="J25" s="36" t="s">
        <v>4</v>
      </c>
      <c r="K25" s="36" t="s">
        <v>4</v>
      </c>
      <c r="L25" s="36" t="s">
        <v>4</v>
      </c>
    </row>
    <row r="26" spans="1:15" ht="16" x14ac:dyDescent="0.2">
      <c r="A26" s="36" t="s">
        <v>4</v>
      </c>
      <c r="B26" s="36" t="s">
        <v>4</v>
      </c>
      <c r="C26" s="36" t="s">
        <v>4</v>
      </c>
      <c r="D26" s="36" t="s">
        <v>4</v>
      </c>
      <c r="E26" s="36" t="s">
        <v>4</v>
      </c>
      <c r="F26" s="36" t="s">
        <v>4</v>
      </c>
      <c r="G26" s="36" t="s">
        <v>77</v>
      </c>
      <c r="H26" s="36" t="s">
        <v>31</v>
      </c>
      <c r="I26" s="36" t="s">
        <v>4</v>
      </c>
      <c r="J26" s="36" t="s">
        <v>4</v>
      </c>
      <c r="K26" s="36" t="s">
        <v>4</v>
      </c>
      <c r="L26" s="36" t="s">
        <v>4</v>
      </c>
    </row>
    <row r="27" spans="1:15" ht="16" x14ac:dyDescent="0.2">
      <c r="A27" s="36" t="s">
        <v>4</v>
      </c>
      <c r="B27" s="36" t="s">
        <v>4</v>
      </c>
      <c r="C27" s="36" t="s">
        <v>4</v>
      </c>
      <c r="D27" s="36" t="s">
        <v>4</v>
      </c>
      <c r="E27" s="36" t="s">
        <v>4</v>
      </c>
      <c r="F27" s="36" t="s">
        <v>4</v>
      </c>
      <c r="G27" s="36" t="s">
        <v>78</v>
      </c>
      <c r="H27" s="36" t="s">
        <v>31</v>
      </c>
      <c r="I27" s="36" t="s">
        <v>4</v>
      </c>
      <c r="J27" s="36" t="s">
        <v>4</v>
      </c>
      <c r="K27" s="36" t="s">
        <v>4</v>
      </c>
      <c r="L27" s="36" t="s">
        <v>4</v>
      </c>
    </row>
    <row r="29" spans="1:15" ht="16" x14ac:dyDescent="0.2">
      <c r="A29" s="37" t="s">
        <v>16</v>
      </c>
      <c r="B29" s="38" t="s">
        <v>34</v>
      </c>
      <c r="C29" s="36" t="s">
        <v>4</v>
      </c>
      <c r="D29" s="37" t="s">
        <v>19</v>
      </c>
      <c r="E29" s="38" t="s">
        <v>34</v>
      </c>
      <c r="F29" s="36" t="s">
        <v>4</v>
      </c>
      <c r="G29" s="37" t="s">
        <v>22</v>
      </c>
      <c r="H29" s="38" t="s">
        <v>34</v>
      </c>
      <c r="I29" s="36" t="s">
        <v>4</v>
      </c>
      <c r="J29" s="37" t="s">
        <v>25</v>
      </c>
      <c r="K29" s="38" t="s">
        <v>34</v>
      </c>
      <c r="L29" s="36" t="s">
        <v>4</v>
      </c>
    </row>
    <row r="30" spans="1:15" ht="16" x14ac:dyDescent="0.2">
      <c r="A30" s="36" t="s">
        <v>79</v>
      </c>
      <c r="B30" s="36" t="s">
        <v>31</v>
      </c>
      <c r="C30" s="36" t="s">
        <v>4</v>
      </c>
      <c r="D30" s="36" t="s">
        <v>80</v>
      </c>
      <c r="E30" s="36" t="s">
        <v>31</v>
      </c>
      <c r="F30" s="36" t="s">
        <v>4</v>
      </c>
      <c r="G30" s="36" t="s">
        <v>81</v>
      </c>
      <c r="H30" s="36" t="s">
        <v>31</v>
      </c>
      <c r="I30" s="36" t="s">
        <v>4</v>
      </c>
      <c r="J30" s="36" t="s">
        <v>82</v>
      </c>
      <c r="K30" s="36" t="s">
        <v>31</v>
      </c>
      <c r="L30" s="36" t="s">
        <v>4</v>
      </c>
    </row>
    <row r="31" spans="1:15" ht="16" x14ac:dyDescent="0.2">
      <c r="A31" s="36" t="s">
        <v>83</v>
      </c>
      <c r="B31" s="36" t="s">
        <v>31</v>
      </c>
      <c r="C31" s="36" t="s">
        <v>4</v>
      </c>
      <c r="D31" s="36" t="s">
        <v>84</v>
      </c>
      <c r="E31" s="36" t="s">
        <v>31</v>
      </c>
      <c r="F31" s="36" t="s">
        <v>4</v>
      </c>
      <c r="G31" s="36" t="s">
        <v>85</v>
      </c>
      <c r="H31" s="36" t="s">
        <v>214</v>
      </c>
      <c r="I31" s="36" t="s">
        <v>4</v>
      </c>
      <c r="J31" s="36" t="s">
        <v>86</v>
      </c>
      <c r="K31" s="36" t="s">
        <v>31</v>
      </c>
      <c r="L31" s="36" t="s">
        <v>4</v>
      </c>
    </row>
    <row r="32" spans="1:15" ht="16" x14ac:dyDescent="0.2">
      <c r="A32" s="36" t="s">
        <v>87</v>
      </c>
      <c r="B32" s="36" t="s">
        <v>31</v>
      </c>
      <c r="C32" s="36" t="s">
        <v>4</v>
      </c>
      <c r="D32" s="36" t="s">
        <v>88</v>
      </c>
      <c r="E32" s="36" t="s">
        <v>31</v>
      </c>
      <c r="F32" s="36" t="s">
        <v>4</v>
      </c>
      <c r="G32" s="36" t="s">
        <v>89</v>
      </c>
      <c r="H32" s="36" t="s">
        <v>31</v>
      </c>
      <c r="I32" s="36" t="s">
        <v>4</v>
      </c>
      <c r="J32" s="36" t="s">
        <v>90</v>
      </c>
      <c r="K32" s="36" t="s">
        <v>31</v>
      </c>
      <c r="L32" s="36" t="s">
        <v>4</v>
      </c>
    </row>
    <row r="33" spans="1:12" ht="16" x14ac:dyDescent="0.2">
      <c r="A33" s="36" t="s">
        <v>91</v>
      </c>
      <c r="B33" s="36" t="s">
        <v>31</v>
      </c>
      <c r="C33" s="36" t="s">
        <v>4</v>
      </c>
      <c r="D33" s="36" t="s">
        <v>92</v>
      </c>
      <c r="E33" s="36" t="s">
        <v>31</v>
      </c>
      <c r="F33" s="36" t="s">
        <v>4</v>
      </c>
      <c r="G33" s="36" t="s">
        <v>4</v>
      </c>
      <c r="H33" s="36" t="s">
        <v>4</v>
      </c>
      <c r="I33" s="36" t="s">
        <v>4</v>
      </c>
      <c r="J33" s="36" t="s">
        <v>4</v>
      </c>
      <c r="K33" s="36" t="s">
        <v>4</v>
      </c>
      <c r="L33" s="36" t="s">
        <v>4</v>
      </c>
    </row>
    <row r="34" spans="1:12" ht="16" x14ac:dyDescent="0.2">
      <c r="A34" s="36" t="s">
        <v>93</v>
      </c>
      <c r="B34" s="36" t="s">
        <v>31</v>
      </c>
      <c r="C34" s="36" t="s">
        <v>4</v>
      </c>
      <c r="D34" s="36" t="s">
        <v>94</v>
      </c>
      <c r="E34" s="36" t="s">
        <v>31</v>
      </c>
      <c r="F34" s="36" t="s">
        <v>4</v>
      </c>
      <c r="G34" s="36" t="s">
        <v>4</v>
      </c>
      <c r="H34" s="36" t="s">
        <v>4</v>
      </c>
      <c r="I34" s="36" t="s">
        <v>4</v>
      </c>
      <c r="J34" s="36" t="s">
        <v>4</v>
      </c>
      <c r="K34" s="36" t="s">
        <v>4</v>
      </c>
      <c r="L34" s="36" t="s">
        <v>4</v>
      </c>
    </row>
    <row r="35" spans="1:12" ht="16" x14ac:dyDescent="0.2">
      <c r="A35" s="36" t="s">
        <v>95</v>
      </c>
      <c r="B35" s="36" t="s">
        <v>31</v>
      </c>
      <c r="C35" s="36" t="s">
        <v>4</v>
      </c>
      <c r="D35" s="36" t="s">
        <v>96</v>
      </c>
      <c r="E35" s="36" t="s">
        <v>214</v>
      </c>
      <c r="F35" s="36" t="s">
        <v>4</v>
      </c>
      <c r="G35" s="36" t="s">
        <v>4</v>
      </c>
      <c r="H35" s="36" t="s">
        <v>4</v>
      </c>
      <c r="I35" s="36" t="s">
        <v>4</v>
      </c>
      <c r="J35" s="36" t="s">
        <v>4</v>
      </c>
      <c r="K35" s="36" t="s">
        <v>4</v>
      </c>
      <c r="L35" s="36" t="s">
        <v>4</v>
      </c>
    </row>
    <row r="36" spans="1:12" ht="16" x14ac:dyDescent="0.2">
      <c r="A36" s="36" t="s">
        <v>97</v>
      </c>
      <c r="B36" s="36" t="s">
        <v>31</v>
      </c>
      <c r="C36" s="36" t="s">
        <v>4</v>
      </c>
      <c r="D36" s="36" t="s">
        <v>4</v>
      </c>
      <c r="E36" s="36" t="s">
        <v>4</v>
      </c>
      <c r="F36" s="36" t="s">
        <v>4</v>
      </c>
      <c r="G36" s="36" t="s">
        <v>4</v>
      </c>
      <c r="H36" s="36" t="s">
        <v>4</v>
      </c>
      <c r="I36" s="36" t="s">
        <v>4</v>
      </c>
      <c r="J36" s="36" t="s">
        <v>4</v>
      </c>
      <c r="K36" s="36" t="s">
        <v>4</v>
      </c>
      <c r="L36" s="36" t="s">
        <v>4</v>
      </c>
    </row>
  </sheetData>
  <mergeCells count="3">
    <mergeCell ref="A1:I1"/>
    <mergeCell ref="A3:E3"/>
    <mergeCell ref="G3:H3"/>
  </mergeCells>
  <dataValidations count="1">
    <dataValidation type="list" sqref="N9 K9:K11 K20:K21 H9:H17 H30:H32 K30:K32 E9:E14 F3 B30:B36 E20:E23 B9:B15 H20:H27 B20:B23 E30:E35" xr:uid="{00000000-0002-0000-0200-000000000000}">
      <formula1>"Choose,Yes,No"</formula1>
    </dataValidation>
  </dataValidations>
  <hyperlinks>
    <hyperlink ref="A8" location="'II. Compute'!A1" display="II. Compute" xr:uid="{00000000-0004-0000-0200-000000000000}"/>
    <hyperlink ref="D8" location="'V. Network &amp; Delivery'!A1" display="V. Network &amp; Delivery" xr:uid="{00000000-0004-0000-0200-000001000000}"/>
    <hyperlink ref="G8" location="'VIII. Analytics'!A1" display="VIII. Analytics" xr:uid="{00000000-0004-0000-0200-000002000000}"/>
    <hyperlink ref="J8" location="'XI. Application Integration'!A1" display="XI. Application Integration" xr:uid="{00000000-0004-0000-0200-000003000000}"/>
    <hyperlink ref="M8" location="'XIV. Internet of Things'!A1" display="XIV. Internet of Things" xr:uid="{00000000-0004-0000-0200-000004000000}"/>
    <hyperlink ref="A19" location="'III. Storage'!A1" display="III. Storage" xr:uid="{00000000-0004-0000-0200-000005000000}"/>
    <hyperlink ref="D19" location="'VI. Management &amp; Governance'!A1" display="VI. Management &amp; Governance" xr:uid="{00000000-0004-0000-0200-000006000000}"/>
    <hyperlink ref="G19" location="'IX. Security &amp; Compliance'!A1" display="IX. Security &amp; Compliance" xr:uid="{00000000-0004-0000-0200-000007000000}"/>
    <hyperlink ref="J19" location="'XII. Media Services'!A1" display="XII. Media Services" xr:uid="{00000000-0004-0000-0200-000008000000}"/>
    <hyperlink ref="A29" location="'IV. Databases'!A1" display="IV. Databases" xr:uid="{00000000-0004-0000-0200-000009000000}"/>
    <hyperlink ref="D29" location="'VII. Machine Learning'!A1" display="VII. Machine Learning" xr:uid="{00000000-0004-0000-0200-00000A000000}"/>
    <hyperlink ref="G29" location="'X. Serverless'!A1" display="X. Serverless" xr:uid="{00000000-0004-0000-0200-00000B000000}"/>
    <hyperlink ref="J29" location="'XIII. Developer Tools'!A1" display="XIII. Developer Tools" xr:uid="{00000000-0004-0000-0200-00000C000000}"/>
  </hyperlink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3" operator="containsText" id="{00000000-000E-0000-0200-000003000000}">
            <xm:f>NOT(ISERROR(SEARCH("Choose",B9)))</xm:f>
            <x14:dxf>
              <font>
                <color rgb="FF9C6500"/>
              </font>
              <fill>
                <patternFill patternType="solid">
                  <bgColor rgb="FFFFEB9C"/>
                </patternFill>
              </fill>
            </x14:dxf>
          </x14:cfRule>
          <x14:cfRule type="containsText" priority="3" operator="containsText" id="{00000000-000E-0000-0200-000003000000}">
            <xm:f>NOT(ISERROR(SEARCH("Yes",B9)))</xm:f>
            <x14:dxf>
              <font>
                <color rgb="FF006100"/>
              </font>
              <fill>
                <patternFill patternType="solid">
                  <bgColor rgb="FFC6EFCE"/>
                </patternFill>
              </fill>
            </x14:dxf>
          </x14:cfRule>
          <xm:sqref>B9:B15</xm:sqref>
        </x14:conditionalFormatting>
        <x14:conditionalFormatting xmlns:xm="http://schemas.microsoft.com/office/excel/2006/main">
          <x14:cfRule type="containsText" priority="29" operator="containsText" id="{00000000-000E-0000-0200-00001D000000}">
            <xm:f>NOT(ISERROR(SEARCH("Choose",B20)))</xm:f>
            <x14:dxf>
              <font>
                <color rgb="FF9C6500"/>
              </font>
              <fill>
                <patternFill patternType="solid">
                  <bgColor rgb="FFFFEB9C"/>
                </patternFill>
              </fill>
            </x14:dxf>
          </x14:cfRule>
          <x14:cfRule type="containsText" priority="29" operator="containsText" id="{00000000-000E-0000-0200-00001D000000}">
            <xm:f>NOT(ISERROR(SEARCH("Yes",B20)))</xm:f>
            <x14:dxf>
              <font>
                <color rgb="FF006100"/>
              </font>
              <fill>
                <patternFill patternType="solid">
                  <bgColor rgb="FFC6EFCE"/>
                </patternFill>
              </fill>
            </x14:dxf>
          </x14:cfRule>
          <xm:sqref>B20:B23</xm:sqref>
        </x14:conditionalFormatting>
        <x14:conditionalFormatting xmlns:xm="http://schemas.microsoft.com/office/excel/2006/main">
          <x14:cfRule type="containsText" priority="47" operator="containsText" id="{00000000-000E-0000-0200-00002F000000}">
            <xm:f>NOT(ISERROR(SEARCH("Choose",B30)))</xm:f>
            <x14:dxf>
              <font>
                <color rgb="FF9C6500"/>
              </font>
              <fill>
                <patternFill patternType="solid">
                  <bgColor rgb="FFFFEB9C"/>
                </patternFill>
              </fill>
            </x14:dxf>
          </x14:cfRule>
          <x14:cfRule type="containsText" priority="47" operator="containsText" id="{00000000-000E-0000-0200-00002F000000}">
            <xm:f>NOT(ISERROR(SEARCH("Yes",B30)))</xm:f>
            <x14:dxf>
              <font>
                <color rgb="FF006100"/>
              </font>
              <fill>
                <patternFill patternType="solid">
                  <bgColor rgb="FFC6EFCE"/>
                </patternFill>
              </fill>
            </x14:dxf>
          </x14:cfRule>
          <xm:sqref>B30:B36</xm:sqref>
        </x14:conditionalFormatting>
        <x14:conditionalFormatting xmlns:xm="http://schemas.microsoft.com/office/excel/2006/main">
          <x14:cfRule type="containsText" priority="4" operator="containsText" id="{00000000-000E-0000-0200-000004000000}">
            <xm:f>NOT(ISERROR(SEARCH("Yes",E9)))</xm:f>
            <x14:dxf>
              <font>
                <color rgb="FF006100"/>
              </font>
              <fill>
                <patternFill patternType="solid">
                  <bgColor rgb="FFC6EFCE"/>
                </patternFill>
              </fill>
            </x14:dxf>
          </x14:cfRule>
          <x14:cfRule type="containsText" priority="4" operator="containsText" id="{00000000-000E-0000-0200-000004000000}">
            <xm:f>NOT(ISERROR(SEARCH("Choose",E9)))</xm:f>
            <x14:dxf>
              <font>
                <color rgb="FF9C6500"/>
              </font>
              <fill>
                <patternFill patternType="solid">
                  <bgColor rgb="FFFFEB9C"/>
                </patternFill>
              </fill>
            </x14:dxf>
          </x14:cfRule>
          <xm:sqref>E9:E14</xm:sqref>
        </x14:conditionalFormatting>
        <x14:conditionalFormatting xmlns:xm="http://schemas.microsoft.com/office/excel/2006/main">
          <x14:cfRule type="containsText" priority="30" operator="containsText" id="{00000000-000E-0000-0200-00001E000000}">
            <xm:f>NOT(ISERROR(SEARCH("Yes",E20)))</xm:f>
            <x14:dxf>
              <font>
                <color rgb="FF006100"/>
              </font>
              <fill>
                <patternFill patternType="solid">
                  <bgColor rgb="FFC6EFCE"/>
                </patternFill>
              </fill>
            </x14:dxf>
          </x14:cfRule>
          <x14:cfRule type="containsText" priority="30" operator="containsText" id="{00000000-000E-0000-0200-00001E000000}">
            <xm:f>NOT(ISERROR(SEARCH("Choose",E20)))</xm:f>
            <x14:dxf>
              <font>
                <color rgb="FF9C6500"/>
              </font>
              <fill>
                <patternFill patternType="solid">
                  <bgColor rgb="FFFFEB9C"/>
                </patternFill>
              </fill>
            </x14:dxf>
          </x14:cfRule>
          <xm:sqref>E20:E23</xm:sqref>
        </x14:conditionalFormatting>
        <x14:conditionalFormatting xmlns:xm="http://schemas.microsoft.com/office/excel/2006/main">
          <x14:cfRule type="containsText" priority="48" operator="containsText" id="{00000000-000E-0000-0200-000030000000}">
            <xm:f>NOT(ISERROR(SEARCH("Choose",E30)))</xm:f>
            <x14:dxf>
              <font>
                <color rgb="FF9C6500"/>
              </font>
              <fill>
                <patternFill patternType="solid">
                  <bgColor rgb="FFFFEB9C"/>
                </patternFill>
              </fill>
            </x14:dxf>
          </x14:cfRule>
          <x14:cfRule type="containsText" priority="48" operator="containsText" id="{00000000-000E-0000-0200-000030000000}">
            <xm:f>NOT(ISERROR(SEARCH("Yes",E30)))</xm:f>
            <x14:dxf>
              <font>
                <color rgb="FF006100"/>
              </font>
              <fill>
                <patternFill patternType="solid">
                  <bgColor rgb="FFC6EFCE"/>
                </patternFill>
              </fill>
            </x14:dxf>
          </x14:cfRule>
          <xm:sqref>E30:E35</xm:sqref>
        </x14:conditionalFormatting>
        <x14:conditionalFormatting xmlns:xm="http://schemas.microsoft.com/office/excel/2006/main">
          <x14:cfRule type="containsText" priority="1" operator="containsText" id="{00000000-000E-0000-0200-000001000000}">
            <xm:f>NOT(ISERROR(SEARCH("Choose",F3)))</xm:f>
            <x14:dxf>
              <font>
                <color rgb="FF9C6500"/>
              </font>
              <fill>
                <patternFill patternType="solid">
                  <bgColor rgb="FFFFEB9C"/>
                </patternFill>
              </fill>
            </x14:dxf>
          </x14:cfRule>
          <x14:cfRule type="containsText" priority="2" operator="containsText" id="{00000000-000E-0000-0200-000002000000}">
            <xm:f>NOT(ISERROR(SEARCH("Yes",F3)))</xm:f>
            <x14:dxf>
              <font>
                <color rgb="FF006100"/>
              </font>
              <fill>
                <patternFill patternType="solid">
                  <bgColor rgb="FFC6EFCE"/>
                </patternFill>
              </fill>
            </x14:dxf>
          </x14:cfRule>
          <xm:sqref>F3</xm:sqref>
        </x14:conditionalFormatting>
        <x14:conditionalFormatting xmlns:xm="http://schemas.microsoft.com/office/excel/2006/main">
          <x14:cfRule type="containsText" priority="5" operator="containsText" id="{00000000-000E-0000-0200-000005000000}">
            <xm:f>NOT(ISERROR(SEARCH("Yes",H9)))</xm:f>
            <x14:dxf>
              <font>
                <color rgb="FF006100"/>
              </font>
              <fill>
                <patternFill patternType="solid">
                  <bgColor rgb="FFC6EFCE"/>
                </patternFill>
              </fill>
            </x14:dxf>
          </x14:cfRule>
          <x14:cfRule type="containsText" priority="5" operator="containsText" id="{00000000-000E-0000-0200-000005000000}">
            <xm:f>NOT(ISERROR(SEARCH("Choose",H9)))</xm:f>
            <x14:dxf>
              <font>
                <color rgb="FF9C6500"/>
              </font>
              <fill>
                <patternFill patternType="solid">
                  <bgColor rgb="FFFFEB9C"/>
                </patternFill>
              </fill>
            </x14:dxf>
          </x14:cfRule>
          <xm:sqref>H9:H17</xm:sqref>
        </x14:conditionalFormatting>
        <x14:conditionalFormatting xmlns:xm="http://schemas.microsoft.com/office/excel/2006/main">
          <x14:cfRule type="containsText" priority="31" operator="containsText" id="{00000000-000E-0000-0200-00001F000000}">
            <xm:f>NOT(ISERROR(SEARCH("Yes",H20)))</xm:f>
            <x14:dxf>
              <font>
                <color rgb="FF006100"/>
              </font>
              <fill>
                <patternFill patternType="solid">
                  <bgColor rgb="FFC6EFCE"/>
                </patternFill>
              </fill>
            </x14:dxf>
          </x14:cfRule>
          <x14:cfRule type="containsText" priority="31" operator="containsText" id="{00000000-000E-0000-0200-00001F000000}">
            <xm:f>NOT(ISERROR(SEARCH("Choose",H20)))</xm:f>
            <x14:dxf>
              <font>
                <color rgb="FF9C6500"/>
              </font>
              <fill>
                <patternFill patternType="solid">
                  <bgColor rgb="FFFFEB9C"/>
                </patternFill>
              </fill>
            </x14:dxf>
          </x14:cfRule>
          <xm:sqref>H20:H27</xm:sqref>
        </x14:conditionalFormatting>
        <x14:conditionalFormatting xmlns:xm="http://schemas.microsoft.com/office/excel/2006/main">
          <x14:cfRule type="containsText" priority="49" operator="containsText" id="{00000000-000E-0000-0200-000031000000}">
            <xm:f>NOT(ISERROR(SEARCH("Choose",H30)))</xm:f>
            <x14:dxf>
              <font>
                <color rgb="FF9C6500"/>
              </font>
              <fill>
                <patternFill patternType="solid">
                  <bgColor rgb="FFFFEB9C"/>
                </patternFill>
              </fill>
            </x14:dxf>
          </x14:cfRule>
          <x14:cfRule type="containsText" priority="49" operator="containsText" id="{00000000-000E-0000-0200-000031000000}">
            <xm:f>NOT(ISERROR(SEARCH("Yes",H30)))</xm:f>
            <x14:dxf>
              <font>
                <color rgb="FF006100"/>
              </font>
              <fill>
                <patternFill patternType="solid">
                  <bgColor rgb="FFC6EFCE"/>
                </patternFill>
              </fill>
            </x14:dxf>
          </x14:cfRule>
          <xm:sqref>H30:H32</xm:sqref>
        </x14:conditionalFormatting>
        <x14:conditionalFormatting xmlns:xm="http://schemas.microsoft.com/office/excel/2006/main">
          <x14:cfRule type="containsText" priority="6" operator="containsText" id="{00000000-000E-0000-0200-000006000000}">
            <xm:f>NOT(ISERROR(SEARCH("Yes",K9)))</xm:f>
            <x14:dxf>
              <font>
                <color rgb="FF006100"/>
              </font>
              <fill>
                <patternFill patternType="solid">
                  <bgColor rgb="FFC6EFCE"/>
                </patternFill>
              </fill>
            </x14:dxf>
          </x14:cfRule>
          <x14:cfRule type="containsText" priority="6" operator="containsText" id="{00000000-000E-0000-0200-000006000000}">
            <xm:f>NOT(ISERROR(SEARCH("Choose",K9)))</xm:f>
            <x14:dxf>
              <font>
                <color rgb="FF9C6500"/>
              </font>
              <fill>
                <patternFill patternType="solid">
                  <bgColor rgb="FFFFEB9C"/>
                </patternFill>
              </fill>
            </x14:dxf>
          </x14:cfRule>
          <xm:sqref>K9:K11</xm:sqref>
        </x14:conditionalFormatting>
        <x14:conditionalFormatting xmlns:xm="http://schemas.microsoft.com/office/excel/2006/main">
          <x14:cfRule type="containsText" priority="32" operator="containsText" id="{00000000-000E-0000-0200-000020000000}">
            <xm:f>NOT(ISERROR(SEARCH("Choose",K20)))</xm:f>
            <x14:dxf>
              <font>
                <color rgb="FF9C6500"/>
              </font>
              <fill>
                <patternFill patternType="solid">
                  <bgColor rgb="FFFFEB9C"/>
                </patternFill>
              </fill>
            </x14:dxf>
          </x14:cfRule>
          <x14:cfRule type="containsText" priority="32" operator="containsText" id="{00000000-000E-0000-0200-000020000000}">
            <xm:f>NOT(ISERROR(SEARCH("Yes",K20)))</xm:f>
            <x14:dxf>
              <font>
                <color rgb="FF006100"/>
              </font>
              <fill>
                <patternFill patternType="solid">
                  <bgColor rgb="FFC6EFCE"/>
                </patternFill>
              </fill>
            </x14:dxf>
          </x14:cfRule>
          <xm:sqref>K20:K21</xm:sqref>
        </x14:conditionalFormatting>
        <x14:conditionalFormatting xmlns:xm="http://schemas.microsoft.com/office/excel/2006/main">
          <x14:cfRule type="containsText" priority="50" operator="containsText" id="{00000000-000E-0000-0200-000032000000}">
            <xm:f>NOT(ISERROR(SEARCH("Yes",K30)))</xm:f>
            <x14:dxf>
              <font>
                <color rgb="FF006100"/>
              </font>
              <fill>
                <patternFill patternType="solid">
                  <bgColor rgb="FFC6EFCE"/>
                </patternFill>
              </fill>
            </x14:dxf>
          </x14:cfRule>
          <x14:cfRule type="containsText" priority="50" operator="containsText" id="{00000000-000E-0000-0200-000032000000}">
            <xm:f>NOT(ISERROR(SEARCH("Choose",K30)))</xm:f>
            <x14:dxf>
              <font>
                <color rgb="FF9C6500"/>
              </font>
              <fill>
                <patternFill patternType="solid">
                  <bgColor rgb="FFFFEB9C"/>
                </patternFill>
              </fill>
            </x14:dxf>
          </x14:cfRule>
          <xm:sqref>K30:K32</xm:sqref>
        </x14:conditionalFormatting>
        <x14:conditionalFormatting xmlns:xm="http://schemas.microsoft.com/office/excel/2006/main">
          <x14:cfRule type="containsText" priority="7" operator="containsText" id="{00000000-000E-0000-0200-000007000000}">
            <xm:f>NOT(ISERROR(SEARCH("Choose",N9)))</xm:f>
            <x14:dxf>
              <font>
                <color rgb="FF9C6500"/>
              </font>
              <fill>
                <patternFill patternType="solid">
                  <bgColor rgb="FFFFEB9C"/>
                </patternFill>
              </fill>
            </x14:dxf>
          </x14:cfRule>
          <x14:cfRule type="containsText" priority="7" operator="containsText" id="{00000000-000E-0000-0200-000007000000}">
            <xm:f>NOT(ISERROR(SEARCH("Yes",N9)))</xm:f>
            <x14:dxf>
              <font>
                <color rgb="FF006100"/>
              </font>
              <fill>
                <patternFill patternType="solid">
                  <bgColor rgb="FFC6EFCE"/>
                </patternFill>
              </fill>
            </x14:dxf>
          </x14:cfRule>
          <xm:sqref>N9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6"/>
  <sheetViews>
    <sheetView topLeftCell="A15" workbookViewId="0">
      <selection activeCell="B22" sqref="B22"/>
    </sheetView>
  </sheetViews>
  <sheetFormatPr baseColWidth="10" defaultColWidth="8.83203125" defaultRowHeight="15" x14ac:dyDescent="0.2"/>
  <cols>
    <col min="1" max="1" width="40" customWidth="1"/>
    <col min="2" max="2" width="17" customWidth="1"/>
    <col min="3" max="3" width="105" customWidth="1"/>
  </cols>
  <sheetData>
    <row r="1" spans="1:3" s="39" customFormat="1" ht="126.75" customHeight="1" x14ac:dyDescent="0.2">
      <c r="A1" s="102" t="s">
        <v>98</v>
      </c>
      <c r="B1" s="102"/>
      <c r="C1" s="102"/>
    </row>
    <row r="3" spans="1:3" s="39" customFormat="1" ht="66.75" customHeight="1" x14ac:dyDescent="0.2">
      <c r="A3" s="102" t="s">
        <v>99</v>
      </c>
      <c r="B3" s="102"/>
      <c r="C3" s="102"/>
    </row>
    <row r="5" spans="1:3" s="39" customFormat="1" ht="33.25" customHeight="1" x14ac:dyDescent="0.2">
      <c r="A5" s="103" t="s">
        <v>100</v>
      </c>
      <c r="B5" s="103"/>
      <c r="C5" s="103"/>
    </row>
    <row r="6" spans="1:3" s="39" customFormat="1" ht="63.25" customHeight="1" x14ac:dyDescent="0.2">
      <c r="A6" s="104" t="s">
        <v>101</v>
      </c>
      <c r="B6" s="41" t="s">
        <v>102</v>
      </c>
      <c r="C6" s="104" t="s">
        <v>103</v>
      </c>
    </row>
    <row r="7" spans="1:3" s="39" customFormat="1" ht="63.25" customHeight="1" x14ac:dyDescent="0.2">
      <c r="A7" s="104"/>
      <c r="B7" s="41" t="s">
        <v>104</v>
      </c>
      <c r="C7" s="104"/>
    </row>
    <row r="8" spans="1:3" s="39" customFormat="1" ht="106.75" customHeight="1" x14ac:dyDescent="0.2">
      <c r="A8" s="40" t="s">
        <v>101</v>
      </c>
      <c r="B8" s="41" t="s">
        <v>105</v>
      </c>
      <c r="C8" s="40" t="s">
        <v>106</v>
      </c>
    </row>
    <row r="9" spans="1:3" s="39" customFormat="1" ht="46.75" customHeight="1" x14ac:dyDescent="0.2">
      <c r="A9" s="102" t="s">
        <v>107</v>
      </c>
      <c r="B9" s="102"/>
      <c r="C9" s="102"/>
    </row>
    <row r="10" spans="1:3" s="39" customFormat="1" ht="22" x14ac:dyDescent="0.2">
      <c r="A10" s="42" t="s">
        <v>108</v>
      </c>
      <c r="B10" s="42" t="s">
        <v>109</v>
      </c>
      <c r="C10" s="42" t="s">
        <v>110</v>
      </c>
    </row>
    <row r="11" spans="1:3" s="39" customFormat="1" ht="33.25" customHeight="1" x14ac:dyDescent="0.2">
      <c r="A11" s="103" t="s">
        <v>111</v>
      </c>
      <c r="B11" s="103"/>
      <c r="C11" s="103"/>
    </row>
    <row r="12" spans="1:3" s="39" customFormat="1" ht="66.75" customHeight="1" x14ac:dyDescent="0.2">
      <c r="A12" s="43" t="s">
        <v>112</v>
      </c>
      <c r="B12" s="44" t="s">
        <v>113</v>
      </c>
      <c r="C12" s="44" t="s">
        <v>114</v>
      </c>
    </row>
    <row r="13" spans="1:3" s="39" customFormat="1" ht="33.25" customHeight="1" x14ac:dyDescent="0.2">
      <c r="A13" s="103" t="s">
        <v>115</v>
      </c>
      <c r="B13" s="103"/>
      <c r="C13" s="103"/>
    </row>
    <row r="14" spans="1:3" s="39" customFormat="1" ht="26.75" customHeight="1" x14ac:dyDescent="0.2">
      <c r="A14" s="43" t="s">
        <v>112</v>
      </c>
      <c r="B14" s="44" t="s">
        <v>116</v>
      </c>
      <c r="C14" s="45" t="s">
        <v>117</v>
      </c>
    </row>
    <row r="15" spans="1:3" s="39" customFormat="1" ht="33.25" customHeight="1" x14ac:dyDescent="0.2">
      <c r="A15" s="103" t="s">
        <v>118</v>
      </c>
      <c r="B15" s="103"/>
      <c r="C15" s="103"/>
    </row>
    <row r="16" spans="1:3" s="39" customFormat="1" ht="86.75" customHeight="1" x14ac:dyDescent="0.2">
      <c r="A16" s="43" t="s">
        <v>112</v>
      </c>
      <c r="B16" s="44" t="s">
        <v>119</v>
      </c>
      <c r="C16" s="45" t="s">
        <v>120</v>
      </c>
    </row>
    <row r="17" spans="1:3" s="39" customFormat="1" ht="46.75" customHeight="1" x14ac:dyDescent="0.2">
      <c r="A17" s="45" t="s">
        <v>121</v>
      </c>
      <c r="B17" s="44" t="s">
        <v>122</v>
      </c>
      <c r="C17" s="44" t="s">
        <v>123</v>
      </c>
    </row>
    <row r="18" spans="1:3" s="39" customFormat="1" ht="26.75" customHeight="1" x14ac:dyDescent="0.2">
      <c r="A18" s="45" t="s">
        <v>121</v>
      </c>
      <c r="B18" s="44" t="s">
        <v>124</v>
      </c>
      <c r="C18" s="45" t="s">
        <v>125</v>
      </c>
    </row>
    <row r="19" spans="1:3" s="39" customFormat="1" ht="46.75" customHeight="1" x14ac:dyDescent="0.2">
      <c r="A19" s="45" t="s">
        <v>121</v>
      </c>
      <c r="B19" s="44" t="s">
        <v>126</v>
      </c>
      <c r="C19" s="45" t="s">
        <v>4</v>
      </c>
    </row>
    <row r="20" spans="1:3" s="39" customFormat="1" ht="26.75" customHeight="1" x14ac:dyDescent="0.2">
      <c r="A20" s="45" t="s">
        <v>121</v>
      </c>
      <c r="B20" s="44" t="s">
        <v>127</v>
      </c>
      <c r="C20" s="45" t="s">
        <v>4</v>
      </c>
    </row>
    <row r="21" spans="1:3" s="39" customFormat="1" ht="33.25" customHeight="1" x14ac:dyDescent="0.2">
      <c r="A21" s="103" t="s">
        <v>128</v>
      </c>
      <c r="B21" s="103"/>
      <c r="C21" s="103"/>
    </row>
    <row r="22" spans="1:3" s="39" customFormat="1" ht="26.75" customHeight="1" x14ac:dyDescent="0.2">
      <c r="A22" s="43" t="s">
        <v>112</v>
      </c>
      <c r="B22" s="44" t="s">
        <v>129</v>
      </c>
      <c r="C22" s="45" t="s">
        <v>130</v>
      </c>
    </row>
    <row r="23" spans="1:3" s="39" customFormat="1" ht="26.75" customHeight="1" x14ac:dyDescent="0.2">
      <c r="A23" s="43" t="s">
        <v>112</v>
      </c>
      <c r="B23" s="44" t="s">
        <v>131</v>
      </c>
      <c r="C23" s="45" t="s">
        <v>132</v>
      </c>
    </row>
    <row r="24" spans="1:3" s="39" customFormat="1" ht="66.75" customHeight="1" x14ac:dyDescent="0.2">
      <c r="A24" s="45" t="s">
        <v>121</v>
      </c>
      <c r="B24" s="44" t="s">
        <v>133</v>
      </c>
      <c r="C24" s="45" t="s">
        <v>134</v>
      </c>
    </row>
    <row r="25" spans="1:3" s="39" customFormat="1" ht="26.75" customHeight="1" x14ac:dyDescent="0.2">
      <c r="A25" s="45" t="s">
        <v>121</v>
      </c>
      <c r="B25" s="44" t="s">
        <v>135</v>
      </c>
      <c r="C25" s="45" t="s">
        <v>136</v>
      </c>
    </row>
    <row r="26" spans="1:3" s="39" customFormat="1" ht="33.25" customHeight="1" x14ac:dyDescent="0.2">
      <c r="A26" s="103" t="s">
        <v>137</v>
      </c>
      <c r="B26" s="103"/>
      <c r="C26" s="103"/>
    </row>
    <row r="27" spans="1:3" s="39" customFormat="1" ht="26.75" customHeight="1" x14ac:dyDescent="0.2">
      <c r="A27" s="43" t="s">
        <v>112</v>
      </c>
      <c r="B27" s="44" t="s">
        <v>129</v>
      </c>
      <c r="C27" s="45" t="s">
        <v>138</v>
      </c>
    </row>
    <row r="28" spans="1:3" s="39" customFormat="1" ht="33.25" customHeight="1" x14ac:dyDescent="0.2">
      <c r="A28" s="103" t="s">
        <v>139</v>
      </c>
      <c r="B28" s="103"/>
      <c r="C28" s="103"/>
    </row>
    <row r="29" spans="1:3" s="39" customFormat="1" ht="46.75" customHeight="1" x14ac:dyDescent="0.2">
      <c r="A29" s="43" t="s">
        <v>112</v>
      </c>
      <c r="B29" s="44" t="s">
        <v>140</v>
      </c>
      <c r="C29" s="45" t="s">
        <v>141</v>
      </c>
    </row>
    <row r="30" spans="1:3" s="39" customFormat="1" ht="26.75" customHeight="1" x14ac:dyDescent="0.2">
      <c r="A30" s="45" t="s">
        <v>121</v>
      </c>
      <c r="B30" s="45" t="s">
        <v>142</v>
      </c>
      <c r="C30" s="45" t="s">
        <v>4</v>
      </c>
    </row>
    <row r="31" spans="1:3" s="39" customFormat="1" ht="26.75" customHeight="1" x14ac:dyDescent="0.2">
      <c r="A31" s="45" t="s">
        <v>121</v>
      </c>
      <c r="B31" s="44" t="s">
        <v>143</v>
      </c>
      <c r="C31" s="45" t="s">
        <v>144</v>
      </c>
    </row>
    <row r="32" spans="1:3" s="39" customFormat="1" ht="33.25" customHeight="1" x14ac:dyDescent="0.2">
      <c r="A32" s="103" t="s">
        <v>145</v>
      </c>
      <c r="B32" s="103"/>
      <c r="C32" s="103"/>
    </row>
    <row r="33" spans="1:3" s="39" customFormat="1" ht="66.75" customHeight="1" x14ac:dyDescent="0.2">
      <c r="A33" s="43" t="s">
        <v>112</v>
      </c>
      <c r="B33" s="44" t="s">
        <v>146</v>
      </c>
      <c r="C33" s="45" t="s">
        <v>147</v>
      </c>
    </row>
    <row r="34" spans="1:3" s="39" customFormat="1" ht="46.75" customHeight="1" x14ac:dyDescent="0.2">
      <c r="A34" s="45" t="s">
        <v>121</v>
      </c>
      <c r="B34" s="44" t="s">
        <v>148</v>
      </c>
      <c r="C34" s="45" t="s">
        <v>149</v>
      </c>
    </row>
    <row r="35" spans="1:3" s="39" customFormat="1" ht="46.75" customHeight="1" x14ac:dyDescent="0.2">
      <c r="A35" s="45" t="s">
        <v>121</v>
      </c>
      <c r="B35" s="44" t="s">
        <v>150</v>
      </c>
      <c r="C35" s="45" t="s">
        <v>151</v>
      </c>
    </row>
    <row r="36" spans="1:3" s="39" customFormat="1" ht="46.75" customHeight="1" x14ac:dyDescent="0.2">
      <c r="A36" s="45" t="s">
        <v>121</v>
      </c>
      <c r="B36" s="44" t="s">
        <v>152</v>
      </c>
      <c r="C36" s="45" t="s">
        <v>153</v>
      </c>
    </row>
    <row r="37" spans="1:3" s="39" customFormat="1" ht="33.25" customHeight="1" x14ac:dyDescent="0.2">
      <c r="A37" s="103" t="s">
        <v>154</v>
      </c>
      <c r="B37" s="103"/>
      <c r="C37" s="103"/>
    </row>
    <row r="38" spans="1:3" s="39" customFormat="1" ht="26.75" customHeight="1" x14ac:dyDescent="0.2">
      <c r="A38" s="43" t="s">
        <v>112</v>
      </c>
      <c r="B38" s="44" t="s">
        <v>102</v>
      </c>
      <c r="C38" s="45" t="s">
        <v>155</v>
      </c>
    </row>
    <row r="39" spans="1:3" s="39" customFormat="1" ht="46.75" customHeight="1" x14ac:dyDescent="0.2">
      <c r="A39" s="45" t="s">
        <v>156</v>
      </c>
      <c r="B39" s="44" t="s">
        <v>157</v>
      </c>
      <c r="C39" s="45" t="s">
        <v>158</v>
      </c>
    </row>
    <row r="40" spans="1:3" s="39" customFormat="1" ht="33.25" customHeight="1" x14ac:dyDescent="0.2">
      <c r="A40" s="103" t="s">
        <v>159</v>
      </c>
      <c r="B40" s="103"/>
      <c r="C40" s="103"/>
    </row>
    <row r="41" spans="1:3" s="39" customFormat="1" ht="46.75" customHeight="1" x14ac:dyDescent="0.2">
      <c r="A41" s="43" t="s">
        <v>112</v>
      </c>
      <c r="B41" s="44" t="s">
        <v>160</v>
      </c>
      <c r="C41" s="45" t="s">
        <v>161</v>
      </c>
    </row>
    <row r="42" spans="1:3" s="39" customFormat="1" ht="409.5" customHeight="1" x14ac:dyDescent="0.2">
      <c r="A42" s="43" t="s">
        <v>162</v>
      </c>
      <c r="B42" s="44" t="s">
        <v>163</v>
      </c>
      <c r="C42" s="46" t="s">
        <v>164</v>
      </c>
    </row>
    <row r="43" spans="1:3" s="39" customFormat="1" ht="346.75" customHeight="1" x14ac:dyDescent="0.2">
      <c r="A43" s="43" t="s">
        <v>162</v>
      </c>
      <c r="B43" s="45" t="s">
        <v>165</v>
      </c>
      <c r="C43" s="46" t="s">
        <v>166</v>
      </c>
    </row>
    <row r="44" spans="1:3" s="39" customFormat="1" ht="46.75" customHeight="1" x14ac:dyDescent="0.2">
      <c r="A44" s="45" t="s">
        <v>156</v>
      </c>
      <c r="B44" s="44" t="s">
        <v>167</v>
      </c>
      <c r="C44" s="45" t="s">
        <v>168</v>
      </c>
    </row>
    <row r="45" spans="1:3" s="39" customFormat="1" ht="46.75" customHeight="1" x14ac:dyDescent="0.2">
      <c r="A45" s="45" t="s">
        <v>156</v>
      </c>
      <c r="B45" s="44" t="s">
        <v>169</v>
      </c>
      <c r="C45" s="45" t="s">
        <v>170</v>
      </c>
    </row>
    <row r="46" spans="1:3" s="39" customFormat="1" ht="66.75" customHeight="1" x14ac:dyDescent="0.2">
      <c r="A46" s="45" t="s">
        <v>171</v>
      </c>
      <c r="B46" s="44" t="s">
        <v>131</v>
      </c>
      <c r="C46" s="45" t="s">
        <v>172</v>
      </c>
    </row>
    <row r="47" spans="1:3" s="39" customFormat="1" ht="46.75" customHeight="1" x14ac:dyDescent="0.2">
      <c r="A47" s="45" t="s">
        <v>173</v>
      </c>
      <c r="B47" s="44" t="s">
        <v>143</v>
      </c>
      <c r="C47" s="45" t="s">
        <v>174</v>
      </c>
    </row>
    <row r="48" spans="1:3" s="39" customFormat="1" ht="26.75" customHeight="1" x14ac:dyDescent="0.2">
      <c r="A48" s="45" t="s">
        <v>121</v>
      </c>
      <c r="B48" s="44" t="s">
        <v>175</v>
      </c>
      <c r="C48" s="45" t="s">
        <v>4</v>
      </c>
    </row>
    <row r="49" spans="1:3" s="39" customFormat="1" ht="46.75" customHeight="1" x14ac:dyDescent="0.2">
      <c r="A49" s="45" t="s">
        <v>121</v>
      </c>
      <c r="B49" s="44" t="s">
        <v>176</v>
      </c>
      <c r="C49" s="45" t="s">
        <v>177</v>
      </c>
    </row>
    <row r="50" spans="1:3" s="39" customFormat="1" ht="26.75" customHeight="1" x14ac:dyDescent="0.2">
      <c r="A50" s="45" t="s">
        <v>121</v>
      </c>
      <c r="B50" s="44" t="s">
        <v>178</v>
      </c>
      <c r="C50" s="45" t="s">
        <v>4</v>
      </c>
    </row>
    <row r="51" spans="1:3" s="39" customFormat="1" ht="33.25" customHeight="1" x14ac:dyDescent="0.2">
      <c r="A51" s="103" t="s">
        <v>179</v>
      </c>
      <c r="B51" s="103"/>
      <c r="C51" s="103"/>
    </row>
    <row r="52" spans="1:3" s="39" customFormat="1" ht="26.75" customHeight="1" x14ac:dyDescent="0.2">
      <c r="A52" s="45" t="s">
        <v>121</v>
      </c>
      <c r="B52" s="44" t="s">
        <v>180</v>
      </c>
      <c r="C52" s="45" t="s">
        <v>4</v>
      </c>
    </row>
    <row r="53" spans="1:3" s="39" customFormat="1" ht="26.75" customHeight="1" x14ac:dyDescent="0.2">
      <c r="A53" s="45" t="s">
        <v>121</v>
      </c>
      <c r="B53" s="44" t="s">
        <v>181</v>
      </c>
      <c r="C53" s="45" t="s">
        <v>4</v>
      </c>
    </row>
    <row r="54" spans="1:3" s="39" customFormat="1" ht="33.25" customHeight="1" x14ac:dyDescent="0.2">
      <c r="A54" s="103" t="s">
        <v>182</v>
      </c>
      <c r="B54" s="103"/>
      <c r="C54" s="103"/>
    </row>
    <row r="55" spans="1:3" s="39" customFormat="1" ht="66.75" customHeight="1" x14ac:dyDescent="0.2">
      <c r="A55" s="43" t="s">
        <v>112</v>
      </c>
      <c r="B55" s="44" t="s">
        <v>183</v>
      </c>
      <c r="C55" s="45" t="s">
        <v>184</v>
      </c>
    </row>
    <row r="56" spans="1:3" s="39" customFormat="1" ht="33.25" customHeight="1" x14ac:dyDescent="0.2">
      <c r="A56" s="103" t="s">
        <v>185</v>
      </c>
      <c r="B56" s="103"/>
      <c r="C56" s="103"/>
    </row>
    <row r="57" spans="1:3" s="39" customFormat="1" ht="26.75" customHeight="1" x14ac:dyDescent="0.2">
      <c r="A57" s="43" t="s">
        <v>112</v>
      </c>
      <c r="B57" s="44" t="s">
        <v>129</v>
      </c>
      <c r="C57" s="45" t="s">
        <v>138</v>
      </c>
    </row>
    <row r="58" spans="1:3" s="39" customFormat="1" ht="33.25" customHeight="1" x14ac:dyDescent="0.2">
      <c r="A58" s="103" t="s">
        <v>186</v>
      </c>
      <c r="B58" s="103"/>
      <c r="C58" s="103"/>
    </row>
    <row r="59" spans="1:3" s="39" customFormat="1" ht="66.75" customHeight="1" x14ac:dyDescent="0.2">
      <c r="A59" s="43" t="s">
        <v>112</v>
      </c>
      <c r="B59" s="44" t="s">
        <v>129</v>
      </c>
      <c r="C59" s="45" t="s">
        <v>187</v>
      </c>
    </row>
    <row r="60" spans="1:3" s="39" customFormat="1" ht="46.75" customHeight="1" x14ac:dyDescent="0.2">
      <c r="A60" s="45" t="s">
        <v>121</v>
      </c>
      <c r="B60" s="44" t="s">
        <v>188</v>
      </c>
      <c r="C60" s="45" t="s">
        <v>189</v>
      </c>
    </row>
    <row r="61" spans="1:3" s="39" customFormat="1" ht="46.75" customHeight="1" x14ac:dyDescent="0.2">
      <c r="A61" s="45" t="s">
        <v>121</v>
      </c>
      <c r="B61" s="44" t="s">
        <v>127</v>
      </c>
      <c r="C61" s="45" t="s">
        <v>190</v>
      </c>
    </row>
    <row r="62" spans="1:3" s="39" customFormat="1" ht="26.75" customHeight="1" x14ac:dyDescent="0.2">
      <c r="A62" s="45" t="s">
        <v>121</v>
      </c>
      <c r="B62" s="44" t="s">
        <v>191</v>
      </c>
      <c r="C62" s="45" t="s">
        <v>4</v>
      </c>
    </row>
    <row r="63" spans="1:3" s="39" customFormat="1" ht="26.75" customHeight="1" x14ac:dyDescent="0.2">
      <c r="A63" s="45" t="s">
        <v>121</v>
      </c>
      <c r="B63" s="44" t="s">
        <v>192</v>
      </c>
      <c r="C63" s="45" t="s">
        <v>193</v>
      </c>
    </row>
    <row r="64" spans="1:3" s="39" customFormat="1" ht="26.75" customHeight="1" x14ac:dyDescent="0.2">
      <c r="A64" s="45" t="s">
        <v>121</v>
      </c>
      <c r="B64" s="44" t="s">
        <v>194</v>
      </c>
      <c r="C64" s="45" t="s">
        <v>195</v>
      </c>
    </row>
    <row r="65" spans="1:3" s="39" customFormat="1" ht="26.75" customHeight="1" x14ac:dyDescent="0.2">
      <c r="A65" s="45" t="s">
        <v>121</v>
      </c>
      <c r="B65" s="44" t="s">
        <v>196</v>
      </c>
      <c r="C65" s="45" t="s">
        <v>197</v>
      </c>
    </row>
    <row r="66" spans="1:3" s="39" customFormat="1" ht="46.75" customHeight="1" x14ac:dyDescent="0.2">
      <c r="A66" s="45" t="s">
        <v>121</v>
      </c>
      <c r="B66" s="44" t="s">
        <v>198</v>
      </c>
      <c r="C66" s="45" t="s">
        <v>199</v>
      </c>
    </row>
  </sheetData>
  <mergeCells count="19">
    <mergeCell ref="A51:C51"/>
    <mergeCell ref="A54:C54"/>
    <mergeCell ref="A56:C56"/>
    <mergeCell ref="A58:C58"/>
    <mergeCell ref="A26:C26"/>
    <mergeCell ref="A28:C28"/>
    <mergeCell ref="A32:C32"/>
    <mergeCell ref="A37:C37"/>
    <mergeCell ref="A40:C40"/>
    <mergeCell ref="A9:C9"/>
    <mergeCell ref="A11:C11"/>
    <mergeCell ref="A13:C13"/>
    <mergeCell ref="A15:C15"/>
    <mergeCell ref="A21:C21"/>
    <mergeCell ref="A1:C1"/>
    <mergeCell ref="A3:C3"/>
    <mergeCell ref="A5:C5"/>
    <mergeCell ref="A6:A7"/>
    <mergeCell ref="C6:C7"/>
  </mergeCells>
  <hyperlinks>
    <hyperlink ref="B6" r:id="rId1" xr:uid="{00000000-0004-0000-0300-000000000000}"/>
    <hyperlink ref="B7" r:id="rId2" xr:uid="{00000000-0004-0000-0300-000001000000}"/>
    <hyperlink ref="B8" r:id="rId3" xr:uid="{00000000-0004-0000-0300-000002000000}"/>
    <hyperlink ref="B12" r:id="rId4" xr:uid="{00000000-0004-0000-0300-000003000000}"/>
    <hyperlink ref="C12" r:id="rId5" xr:uid="{00000000-0004-0000-0300-000004000000}"/>
    <hyperlink ref="B14" r:id="rId6" xr:uid="{00000000-0004-0000-0300-000005000000}"/>
    <hyperlink ref="B16" r:id="rId7" xr:uid="{00000000-0004-0000-0300-000006000000}"/>
    <hyperlink ref="B17" r:id="rId8" xr:uid="{00000000-0004-0000-0300-000007000000}"/>
    <hyperlink ref="C17" r:id="rId9" xr:uid="{00000000-0004-0000-0300-000008000000}"/>
    <hyperlink ref="B18" r:id="rId10" xr:uid="{00000000-0004-0000-0300-000009000000}"/>
    <hyperlink ref="B19" r:id="rId11" xr:uid="{00000000-0004-0000-0300-00000A000000}"/>
    <hyperlink ref="B20" r:id="rId12" xr:uid="{00000000-0004-0000-0300-00000B000000}"/>
    <hyperlink ref="B22" r:id="rId13" xr:uid="{00000000-0004-0000-0300-00000C000000}"/>
    <hyperlink ref="B23" r:id="rId14" xr:uid="{00000000-0004-0000-0300-00000D000000}"/>
    <hyperlink ref="B24" r:id="rId15" xr:uid="{00000000-0004-0000-0300-00000E000000}"/>
    <hyperlink ref="B25" r:id="rId16" xr:uid="{00000000-0004-0000-0300-00000F000000}"/>
    <hyperlink ref="B27" r:id="rId17" xr:uid="{00000000-0004-0000-0300-000010000000}"/>
    <hyperlink ref="B29" r:id="rId18" xr:uid="{00000000-0004-0000-0300-000011000000}"/>
    <hyperlink ref="B31" r:id="rId19" xr:uid="{00000000-0004-0000-0300-000012000000}"/>
    <hyperlink ref="B33" r:id="rId20" xr:uid="{00000000-0004-0000-0300-000013000000}"/>
    <hyperlink ref="B34" r:id="rId21" xr:uid="{00000000-0004-0000-0300-000014000000}"/>
    <hyperlink ref="B35" r:id="rId22" xr:uid="{00000000-0004-0000-0300-000015000000}"/>
    <hyperlink ref="B36" r:id="rId23" xr:uid="{00000000-0004-0000-0300-000016000000}"/>
    <hyperlink ref="B38" r:id="rId24" xr:uid="{00000000-0004-0000-0300-000017000000}"/>
    <hyperlink ref="B39" r:id="rId25" xr:uid="{00000000-0004-0000-0300-000018000000}"/>
    <hyperlink ref="B41" r:id="rId26" xr:uid="{00000000-0004-0000-0300-000019000000}"/>
    <hyperlink ref="B42" r:id="rId27" xr:uid="{00000000-0004-0000-0300-00001A000000}"/>
    <hyperlink ref="B44" r:id="rId28" xr:uid="{00000000-0004-0000-0300-00001B000000}"/>
    <hyperlink ref="B45" r:id="rId29" xr:uid="{00000000-0004-0000-0300-00001C000000}"/>
    <hyperlink ref="B46" r:id="rId30" xr:uid="{00000000-0004-0000-0300-00001D000000}"/>
    <hyperlink ref="B47" r:id="rId31" xr:uid="{00000000-0004-0000-0300-00001E000000}"/>
    <hyperlink ref="B48" r:id="rId32" xr:uid="{00000000-0004-0000-0300-00001F000000}"/>
    <hyperlink ref="B49" r:id="rId33" xr:uid="{00000000-0004-0000-0300-000020000000}"/>
    <hyperlink ref="B50" r:id="rId34" xr:uid="{00000000-0004-0000-0300-000021000000}"/>
    <hyperlink ref="B52" r:id="rId35" xr:uid="{00000000-0004-0000-0300-000022000000}"/>
    <hyperlink ref="B53" r:id="rId36" xr:uid="{00000000-0004-0000-0300-000023000000}"/>
    <hyperlink ref="B55" r:id="rId37" xr:uid="{00000000-0004-0000-0300-000024000000}"/>
    <hyperlink ref="B57" r:id="rId38" xr:uid="{00000000-0004-0000-0300-000025000000}"/>
    <hyperlink ref="B59" r:id="rId39" xr:uid="{00000000-0004-0000-0300-000026000000}"/>
    <hyperlink ref="B60" r:id="rId40" xr:uid="{00000000-0004-0000-0300-000027000000}"/>
    <hyperlink ref="B61" r:id="rId41" xr:uid="{00000000-0004-0000-0300-000028000000}"/>
    <hyperlink ref="B62" r:id="rId42" xr:uid="{00000000-0004-0000-0300-000029000000}"/>
    <hyperlink ref="B63" r:id="rId43" xr:uid="{00000000-0004-0000-0300-00002A000000}"/>
    <hyperlink ref="B64" r:id="rId44" xr:uid="{00000000-0004-0000-0300-00002B000000}"/>
    <hyperlink ref="B65" r:id="rId45" xr:uid="{00000000-0004-0000-0300-00002C000000}"/>
    <hyperlink ref="B66" r:id="rId46" xr:uid="{00000000-0004-0000-0300-00002D000000}"/>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8"/>
  <sheetViews>
    <sheetView workbookViewId="0">
      <pane ySplit="1" topLeftCell="A2" activePane="bottomLeft" state="frozen"/>
      <selection pane="bottomLeft" activeCell="H5" sqref="H5"/>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35" customHeight="1" x14ac:dyDescent="0.2">
      <c r="A2" s="50" t="s">
        <v>212</v>
      </c>
      <c r="B2" s="51" t="s">
        <v>213</v>
      </c>
      <c r="C2" s="52" t="s">
        <v>214</v>
      </c>
      <c r="D2" s="52" t="s">
        <v>215</v>
      </c>
      <c r="E2" s="52" t="s">
        <v>216</v>
      </c>
      <c r="F2" s="52" t="str">
        <f t="shared" ref="F2:F18" si="0">IF(AND(C2="Yes",G2="-"), "Yes", "No")</f>
        <v>No</v>
      </c>
      <c r="G2" s="52" t="s">
        <v>214</v>
      </c>
      <c r="H2" s="52" t="s">
        <v>4</v>
      </c>
      <c r="I2" s="52" t="s">
        <v>217</v>
      </c>
      <c r="J2" s="52" t="s">
        <v>214</v>
      </c>
      <c r="K2" s="52" t="s">
        <v>7</v>
      </c>
      <c r="L2" s="52" t="s">
        <v>4</v>
      </c>
      <c r="T2" s="52" t="s">
        <v>6</v>
      </c>
      <c r="U2" s="52">
        <f>COUNTIFS(C2:C18,"Yes")</f>
        <v>17</v>
      </c>
    </row>
    <row r="3" spans="1:21" s="49" customFormat="1" ht="50" customHeight="1" x14ac:dyDescent="0.2">
      <c r="A3" s="50" t="s">
        <v>212</v>
      </c>
      <c r="B3" s="51" t="s">
        <v>219</v>
      </c>
      <c r="C3" s="52" t="s">
        <v>214</v>
      </c>
      <c r="D3" s="52" t="s">
        <v>220</v>
      </c>
      <c r="E3" s="52" t="s">
        <v>221</v>
      </c>
      <c r="F3" s="52" t="str">
        <f t="shared" si="0"/>
        <v>No</v>
      </c>
      <c r="G3" s="52" t="s">
        <v>214</v>
      </c>
      <c r="H3" s="52" t="s">
        <v>4</v>
      </c>
      <c r="I3" s="52" t="s">
        <v>217</v>
      </c>
      <c r="J3" s="52" t="s">
        <v>214</v>
      </c>
      <c r="K3" s="52" t="s">
        <v>7</v>
      </c>
      <c r="L3" s="52" t="s">
        <v>4</v>
      </c>
      <c r="T3" s="52" t="s">
        <v>33</v>
      </c>
      <c r="U3" s="52">
        <f>COUNTIF(G2:G18, "&lt;&gt;-")</f>
        <v>17</v>
      </c>
    </row>
    <row r="4" spans="1:21" s="49" customFormat="1" ht="65" customHeight="1" x14ac:dyDescent="0.2">
      <c r="A4" s="50" t="s">
        <v>212</v>
      </c>
      <c r="B4" s="51" t="s">
        <v>222</v>
      </c>
      <c r="C4" s="52" t="s">
        <v>214</v>
      </c>
      <c r="D4" s="52" t="s">
        <v>223</v>
      </c>
      <c r="E4" s="52" t="s">
        <v>224</v>
      </c>
      <c r="F4" s="52" t="str">
        <f t="shared" si="0"/>
        <v>No</v>
      </c>
      <c r="G4" s="52" t="s">
        <v>214</v>
      </c>
      <c r="H4" s="52"/>
      <c r="I4" s="52" t="s">
        <v>217</v>
      </c>
      <c r="J4" s="52" t="s">
        <v>214</v>
      </c>
      <c r="K4" s="52" t="s">
        <v>218</v>
      </c>
      <c r="L4" s="52" t="s">
        <v>4</v>
      </c>
      <c r="T4" s="52" t="s">
        <v>225</v>
      </c>
      <c r="U4" s="52">
        <f>COUNTIF(G2:G18, "No; explanation in comments")</f>
        <v>3</v>
      </c>
    </row>
    <row r="5" spans="1:21" s="49" customFormat="1" ht="65" customHeight="1" x14ac:dyDescent="0.2">
      <c r="A5" s="53" t="s">
        <v>226</v>
      </c>
      <c r="B5" s="54" t="s">
        <v>227</v>
      </c>
      <c r="C5" s="52" t="s">
        <v>214</v>
      </c>
      <c r="D5" s="52" t="s">
        <v>228</v>
      </c>
      <c r="E5" s="52" t="s">
        <v>229</v>
      </c>
      <c r="F5" s="52" t="str">
        <f t="shared" si="0"/>
        <v>No</v>
      </c>
      <c r="G5" s="52" t="s">
        <v>1437</v>
      </c>
      <c r="H5" s="52" t="s">
        <v>1434</v>
      </c>
      <c r="I5" s="52" t="s">
        <v>230</v>
      </c>
      <c r="J5" s="52" t="s">
        <v>31</v>
      </c>
      <c r="K5" s="52" t="s">
        <v>218</v>
      </c>
      <c r="L5" s="52" t="s">
        <v>4</v>
      </c>
      <c r="T5" s="52" t="s">
        <v>7</v>
      </c>
      <c r="U5" s="52">
        <f>COUNTIF(K2:K18, "Mitigated")</f>
        <v>13</v>
      </c>
    </row>
    <row r="6" spans="1:21" s="49" customFormat="1" ht="35" customHeight="1" x14ac:dyDescent="0.2">
      <c r="A6" s="53" t="s">
        <v>226</v>
      </c>
      <c r="B6" s="54" t="s">
        <v>231</v>
      </c>
      <c r="C6" s="52" t="s">
        <v>214</v>
      </c>
      <c r="D6" s="52" t="s">
        <v>232</v>
      </c>
      <c r="E6" s="52" t="s">
        <v>233</v>
      </c>
      <c r="F6" s="52" t="str">
        <f t="shared" si="0"/>
        <v>No</v>
      </c>
      <c r="G6" s="52" t="s">
        <v>1437</v>
      </c>
      <c r="H6" s="52" t="s">
        <v>1438</v>
      </c>
      <c r="I6" s="52" t="s">
        <v>230</v>
      </c>
      <c r="J6" s="52" t="s">
        <v>31</v>
      </c>
      <c r="K6" s="52" t="s">
        <v>218</v>
      </c>
      <c r="L6" s="52" t="s">
        <v>4</v>
      </c>
      <c r="T6" s="52" t="s">
        <v>8</v>
      </c>
      <c r="U6" s="52">
        <f>COUNTIF(K2:K18, "Not Mitigated")</f>
        <v>0</v>
      </c>
    </row>
    <row r="7" spans="1:21" s="49" customFormat="1" ht="50" customHeight="1" x14ac:dyDescent="0.2">
      <c r="A7" s="53" t="s">
        <v>226</v>
      </c>
      <c r="B7" s="54" t="s">
        <v>234</v>
      </c>
      <c r="C7" s="52" t="s">
        <v>214</v>
      </c>
      <c r="D7" s="52" t="s">
        <v>235</v>
      </c>
      <c r="E7" s="52" t="s">
        <v>236</v>
      </c>
      <c r="F7" s="52" t="str">
        <f t="shared" si="0"/>
        <v>No</v>
      </c>
      <c r="G7" s="52" t="s">
        <v>214</v>
      </c>
      <c r="H7" s="52" t="s">
        <v>4</v>
      </c>
      <c r="I7" s="52" t="s">
        <v>230</v>
      </c>
      <c r="J7" s="52" t="s">
        <v>31</v>
      </c>
      <c r="K7" s="52" t="s">
        <v>7</v>
      </c>
      <c r="L7" s="52" t="s">
        <v>4</v>
      </c>
    </row>
    <row r="8" spans="1:21" s="49" customFormat="1" ht="65" customHeight="1" x14ac:dyDescent="0.2">
      <c r="A8" s="53" t="s">
        <v>226</v>
      </c>
      <c r="B8" s="54" t="s">
        <v>237</v>
      </c>
      <c r="C8" s="52" t="s">
        <v>214</v>
      </c>
      <c r="D8" s="52" t="s">
        <v>238</v>
      </c>
      <c r="E8" s="52" t="s">
        <v>239</v>
      </c>
      <c r="F8" s="52" t="str">
        <f t="shared" si="0"/>
        <v>No</v>
      </c>
      <c r="G8" s="52" t="s">
        <v>214</v>
      </c>
      <c r="H8" s="52" t="s">
        <v>1439</v>
      </c>
      <c r="I8" s="52" t="s">
        <v>217</v>
      </c>
      <c r="J8" s="52" t="s">
        <v>214</v>
      </c>
      <c r="K8" s="52" t="s">
        <v>7</v>
      </c>
      <c r="L8" s="52" t="s">
        <v>4</v>
      </c>
    </row>
    <row r="9" spans="1:21" s="49" customFormat="1" ht="50" customHeight="1" x14ac:dyDescent="0.2">
      <c r="A9" s="53" t="s">
        <v>226</v>
      </c>
      <c r="B9" s="54" t="s">
        <v>240</v>
      </c>
      <c r="C9" s="52" t="s">
        <v>214</v>
      </c>
      <c r="D9" s="52" t="s">
        <v>241</v>
      </c>
      <c r="E9" s="52" t="s">
        <v>242</v>
      </c>
      <c r="F9" s="52" t="str">
        <f t="shared" si="0"/>
        <v>No</v>
      </c>
      <c r="G9" s="52" t="s">
        <v>214</v>
      </c>
      <c r="H9" s="52" t="s">
        <v>1440</v>
      </c>
      <c r="I9" s="52" t="s">
        <v>230</v>
      </c>
      <c r="J9" s="52" t="s">
        <v>31</v>
      </c>
      <c r="K9" s="52" t="s">
        <v>7</v>
      </c>
      <c r="L9" s="52" t="s">
        <v>4</v>
      </c>
    </row>
    <row r="10" spans="1:21" s="49" customFormat="1" ht="65" customHeight="1" x14ac:dyDescent="0.2">
      <c r="A10" s="53" t="s">
        <v>226</v>
      </c>
      <c r="B10" s="54" t="s">
        <v>243</v>
      </c>
      <c r="C10" s="52" t="s">
        <v>214</v>
      </c>
      <c r="D10" s="52" t="s">
        <v>244</v>
      </c>
      <c r="E10" s="52" t="s">
        <v>245</v>
      </c>
      <c r="F10" s="52" t="str">
        <f t="shared" si="0"/>
        <v>No</v>
      </c>
      <c r="G10" s="52" t="s">
        <v>1437</v>
      </c>
      <c r="H10" s="52" t="s">
        <v>1441</v>
      </c>
      <c r="I10" s="52" t="s">
        <v>230</v>
      </c>
      <c r="J10" s="52" t="s">
        <v>31</v>
      </c>
      <c r="K10" s="52" t="s">
        <v>218</v>
      </c>
      <c r="L10" s="52" t="s">
        <v>4</v>
      </c>
    </row>
    <row r="11" spans="1:21" s="49" customFormat="1" ht="50" customHeight="1" x14ac:dyDescent="0.2">
      <c r="A11" s="53" t="s">
        <v>226</v>
      </c>
      <c r="B11" s="54" t="s">
        <v>246</v>
      </c>
      <c r="C11" s="52" t="s">
        <v>214</v>
      </c>
      <c r="D11" s="52" t="s">
        <v>247</v>
      </c>
      <c r="E11" s="52" t="s">
        <v>248</v>
      </c>
      <c r="F11" s="52" t="str">
        <f t="shared" si="0"/>
        <v>No</v>
      </c>
      <c r="G11" s="52" t="s">
        <v>214</v>
      </c>
      <c r="H11" s="52" t="s">
        <v>4</v>
      </c>
      <c r="I11" s="52" t="s">
        <v>217</v>
      </c>
      <c r="J11" s="52" t="s">
        <v>214</v>
      </c>
      <c r="K11" s="52" t="s">
        <v>7</v>
      </c>
      <c r="L11" s="52" t="s">
        <v>4</v>
      </c>
    </row>
    <row r="12" spans="1:21" s="49" customFormat="1" ht="35" customHeight="1" x14ac:dyDescent="0.2">
      <c r="A12" s="53" t="s">
        <v>226</v>
      </c>
      <c r="B12" s="54" t="s">
        <v>249</v>
      </c>
      <c r="C12" s="52" t="s">
        <v>214</v>
      </c>
      <c r="D12" s="52" t="s">
        <v>250</v>
      </c>
      <c r="E12" s="52" t="s">
        <v>251</v>
      </c>
      <c r="F12" s="52" t="str">
        <f t="shared" si="0"/>
        <v>No</v>
      </c>
      <c r="G12" s="52" t="s">
        <v>214</v>
      </c>
      <c r="H12" s="52" t="s">
        <v>1435</v>
      </c>
      <c r="I12" s="52" t="s">
        <v>217</v>
      </c>
      <c r="J12" s="52" t="s">
        <v>214</v>
      </c>
      <c r="K12" s="52" t="s">
        <v>7</v>
      </c>
      <c r="L12" s="52" t="s">
        <v>4</v>
      </c>
    </row>
    <row r="13" spans="1:21" s="49" customFormat="1" ht="50" customHeight="1" x14ac:dyDescent="0.2">
      <c r="A13" s="55" t="s">
        <v>252</v>
      </c>
      <c r="B13" s="56" t="s">
        <v>253</v>
      </c>
      <c r="C13" s="52" t="s">
        <v>214</v>
      </c>
      <c r="D13" s="52" t="s">
        <v>254</v>
      </c>
      <c r="E13" s="52" t="s">
        <v>255</v>
      </c>
      <c r="F13" s="52" t="str">
        <f t="shared" si="0"/>
        <v>No</v>
      </c>
      <c r="G13" s="52" t="s">
        <v>214</v>
      </c>
      <c r="H13" s="52" t="s">
        <v>1432</v>
      </c>
      <c r="I13" s="52" t="s">
        <v>230</v>
      </c>
      <c r="J13" s="52" t="s">
        <v>31</v>
      </c>
      <c r="K13" s="52" t="s">
        <v>7</v>
      </c>
      <c r="L13" s="52" t="s">
        <v>4</v>
      </c>
    </row>
    <row r="14" spans="1:21" s="49" customFormat="1" ht="35" customHeight="1" x14ac:dyDescent="0.2">
      <c r="A14" s="55" t="s">
        <v>252</v>
      </c>
      <c r="B14" s="56" t="s">
        <v>256</v>
      </c>
      <c r="C14" s="52" t="s">
        <v>214</v>
      </c>
      <c r="D14" s="52" t="s">
        <v>257</v>
      </c>
      <c r="E14" s="52" t="s">
        <v>258</v>
      </c>
      <c r="F14" s="52" t="str">
        <f t="shared" si="0"/>
        <v>No</v>
      </c>
      <c r="G14" s="52" t="s">
        <v>214</v>
      </c>
      <c r="H14" s="52" t="s">
        <v>1433</v>
      </c>
      <c r="I14" s="52" t="s">
        <v>230</v>
      </c>
      <c r="J14" s="52" t="s">
        <v>31</v>
      </c>
      <c r="K14" s="52" t="s">
        <v>7</v>
      </c>
      <c r="L14" s="52" t="s">
        <v>4</v>
      </c>
    </row>
    <row r="15" spans="1:21" s="49" customFormat="1" ht="35" customHeight="1" x14ac:dyDescent="0.2">
      <c r="A15" s="55" t="s">
        <v>252</v>
      </c>
      <c r="B15" s="56" t="s">
        <v>259</v>
      </c>
      <c r="C15" s="52" t="s">
        <v>214</v>
      </c>
      <c r="D15" s="52" t="s">
        <v>260</v>
      </c>
      <c r="E15" s="52" t="s">
        <v>261</v>
      </c>
      <c r="F15" s="52" t="str">
        <f t="shared" si="0"/>
        <v>No</v>
      </c>
      <c r="G15" s="52" t="s">
        <v>214</v>
      </c>
      <c r="H15" s="52" t="s">
        <v>1458</v>
      </c>
      <c r="I15" s="52" t="s">
        <v>230</v>
      </c>
      <c r="J15" s="52" t="s">
        <v>31</v>
      </c>
      <c r="K15" s="52" t="s">
        <v>7</v>
      </c>
      <c r="L15" s="52" t="s">
        <v>4</v>
      </c>
    </row>
    <row r="16" spans="1:21" s="49" customFormat="1" ht="50" customHeight="1" x14ac:dyDescent="0.2">
      <c r="A16" s="55" t="s">
        <v>252</v>
      </c>
      <c r="B16" s="56" t="s">
        <v>262</v>
      </c>
      <c r="C16" s="52" t="s">
        <v>214</v>
      </c>
      <c r="D16" s="52" t="s">
        <v>263</v>
      </c>
      <c r="E16" s="52" t="s">
        <v>264</v>
      </c>
      <c r="F16" s="52" t="str">
        <f t="shared" si="0"/>
        <v>No</v>
      </c>
      <c r="G16" s="52" t="s">
        <v>214</v>
      </c>
      <c r="H16" s="52" t="s">
        <v>1436</v>
      </c>
      <c r="I16" s="52" t="s">
        <v>217</v>
      </c>
      <c r="J16" s="52" t="s">
        <v>214</v>
      </c>
      <c r="K16" s="52" t="s">
        <v>7</v>
      </c>
      <c r="L16" s="52" t="s">
        <v>4</v>
      </c>
    </row>
    <row r="17" spans="1:12" s="49" customFormat="1" ht="65" customHeight="1" x14ac:dyDescent="0.2">
      <c r="A17" s="55" t="s">
        <v>252</v>
      </c>
      <c r="B17" s="56" t="s">
        <v>265</v>
      </c>
      <c r="C17" s="52" t="s">
        <v>214</v>
      </c>
      <c r="D17" s="52" t="s">
        <v>266</v>
      </c>
      <c r="E17" s="52" t="s">
        <v>267</v>
      </c>
      <c r="F17" s="52" t="str">
        <f t="shared" si="0"/>
        <v>No</v>
      </c>
      <c r="G17" s="52" t="s">
        <v>214</v>
      </c>
      <c r="H17" s="52" t="s">
        <v>1436</v>
      </c>
      <c r="I17" s="52" t="s">
        <v>230</v>
      </c>
      <c r="J17" s="52" t="s">
        <v>31</v>
      </c>
      <c r="K17" s="52" t="s">
        <v>7</v>
      </c>
      <c r="L17" s="52" t="s">
        <v>4</v>
      </c>
    </row>
    <row r="18" spans="1:12" s="49" customFormat="1" ht="50" customHeight="1" x14ac:dyDescent="0.2">
      <c r="A18" s="55" t="s">
        <v>252</v>
      </c>
      <c r="B18" s="56" t="s">
        <v>268</v>
      </c>
      <c r="C18" s="52" t="s">
        <v>214</v>
      </c>
      <c r="D18" s="52" t="s">
        <v>269</v>
      </c>
      <c r="E18" s="52" t="s">
        <v>270</v>
      </c>
      <c r="F18" s="52" t="str">
        <f t="shared" si="0"/>
        <v>No</v>
      </c>
      <c r="G18" s="52" t="s">
        <v>214</v>
      </c>
      <c r="H18" s="52" t="s">
        <v>4</v>
      </c>
      <c r="I18" s="52" t="s">
        <v>217</v>
      </c>
      <c r="J18" s="52" t="s">
        <v>214</v>
      </c>
      <c r="K18" s="52" t="s">
        <v>7</v>
      </c>
      <c r="L18" s="52" t="s">
        <v>4</v>
      </c>
    </row>
  </sheetData>
  <autoFilter ref="A1:L1" xr:uid="{00000000-0009-0000-0000-000004000000}"/>
  <dataValidations count="2">
    <dataValidation type="list" sqref="G2:G18" xr:uid="{00000000-0002-0000-0400-000000000000}">
      <formula1>"-,Yes,No; explanation in comments"</formula1>
    </dataValidation>
    <dataValidation type="list" sqref="K2:K18" xr:uid="{00000000-0002-0000-04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400-000001000000}">
            <xm:f>NOT(ISERROR(SEARCH("Yes",F2)))</xm:f>
            <x14:dxf>
              <font>
                <color rgb="FF9C6500"/>
              </font>
              <fill>
                <patternFill patternType="solid">
                  <bgColor rgb="FFFFEB9C"/>
                </patternFill>
              </fill>
            </x14:dxf>
          </x14:cfRule>
          <xm:sqref>F2:F18</xm:sqref>
        </x14:conditionalFormatting>
        <x14:conditionalFormatting xmlns:xm="http://schemas.microsoft.com/office/excel/2006/main">
          <x14:cfRule type="containsText" priority="2" operator="containsText" id="{00000000-000E-0000-0400-000002000000}">
            <xm:f>NOT(ISERROR(SEARCH("Yes",G2)))</xm:f>
            <x14:dxf>
              <font>
                <color rgb="FF006100"/>
              </font>
              <fill>
                <patternFill patternType="solid">
                  <bgColor rgb="FFC6EFCE"/>
                </patternFill>
              </fill>
            </x14:dxf>
          </x14:cfRule>
          <x14:cfRule type="containsText" priority="2" operator="containsText" id="{00000000-000E-0000-0400-000002000000}">
            <xm:f>NOT(ISERROR(SEARCH("No; explanation in comments",G2)))</xm:f>
            <x14:dxf>
              <font>
                <color rgb="FF9C0006"/>
              </font>
              <fill>
                <patternFill patternType="solid">
                  <bgColor rgb="FFFFC7CE"/>
                </patternFill>
              </fill>
            </x14:dxf>
          </x14:cfRule>
          <xm:sqref>G2:G18</xm:sqref>
        </x14:conditionalFormatting>
        <x14:conditionalFormatting xmlns:xm="http://schemas.microsoft.com/office/excel/2006/main">
          <x14:cfRule type="containsText" priority="3" operator="containsText" id="{00000000-000E-0000-0400-000003000000}">
            <xm:f>NOT(ISERROR(SEARCH("Yes",J2)))</xm:f>
            <x14:dxf>
              <font>
                <b/>
                <i/>
                <color rgb="FF403151"/>
              </font>
              <fill>
                <patternFill patternType="solid">
                  <bgColor rgb="FFCCC0DA"/>
                </patternFill>
              </fill>
            </x14:dxf>
          </x14:cfRule>
          <xm:sqref>J2:J18</xm:sqref>
        </x14:conditionalFormatting>
        <x14:conditionalFormatting xmlns:xm="http://schemas.microsoft.com/office/excel/2006/main">
          <x14:cfRule type="containsText" priority="4" operator="containsText" id="{00000000-000E-0000-0400-000004000000}">
            <xm:f>NOT(ISERROR(SEARCH("Mitigated",K2)))</xm:f>
            <x14:dxf>
              <font>
                <color rgb="FF006100"/>
              </font>
              <fill>
                <patternFill patternType="solid">
                  <bgColor rgb="FFC6EFCE"/>
                </patternFill>
              </fill>
            </x14:dxf>
          </x14:cfRule>
          <x14:cfRule type="containsText" priority="4" operator="containsText" id="{00000000-000E-0000-0400-000004000000}">
            <xm:f>NOT(ISERROR(SEARCH("Not Mitigated",K2)))</xm:f>
            <x14:dxf>
              <font>
                <color rgb="FF9C0006"/>
              </font>
              <fill>
                <patternFill patternType="solid">
                  <bgColor rgb="FFFFC7CE"/>
                </patternFill>
              </fill>
            </x14:dxf>
          </x14:cfRule>
          <xm:sqref>K2:K18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66"/>
  <sheetViews>
    <sheetView workbookViewId="0">
      <pane ySplit="1" topLeftCell="A12" activePane="bottomLeft" state="frozen"/>
      <selection pane="bottomLeft"/>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50" customHeight="1" x14ac:dyDescent="0.2">
      <c r="A2" s="57" t="s">
        <v>35</v>
      </c>
      <c r="B2" s="58" t="s">
        <v>271</v>
      </c>
      <c r="C2" s="52" t="str">
        <f t="shared" ref="C2:C13" si="0">IF(EC2InUse="Yes","Yes","No")</f>
        <v>No</v>
      </c>
      <c r="D2" s="52" t="s">
        <v>272</v>
      </c>
      <c r="E2" s="52" t="s">
        <v>273</v>
      </c>
      <c r="F2" s="52" t="str">
        <f t="shared" ref="F2:F33" si="1">IF(AND(C2="Yes",G2="-"), "Yes", "No")</f>
        <v>No</v>
      </c>
      <c r="G2" s="52" t="s">
        <v>12</v>
      </c>
      <c r="I2" s="52" t="s">
        <v>217</v>
      </c>
      <c r="J2" s="52" t="s">
        <v>214</v>
      </c>
      <c r="K2" s="52" t="s">
        <v>218</v>
      </c>
      <c r="L2" s="52" t="s">
        <v>4</v>
      </c>
      <c r="T2" s="52" t="s">
        <v>6</v>
      </c>
      <c r="U2" s="52">
        <f>COUNTIFS(C2:C66,"Yes")</f>
        <v>0</v>
      </c>
    </row>
    <row r="3" spans="1:21" s="49" customFormat="1" ht="65" customHeight="1" x14ac:dyDescent="0.2">
      <c r="A3" s="57" t="s">
        <v>35</v>
      </c>
      <c r="B3" s="58" t="s">
        <v>274</v>
      </c>
      <c r="C3" s="52" t="str">
        <f t="shared" si="0"/>
        <v>No</v>
      </c>
      <c r="D3" s="52" t="s">
        <v>275</v>
      </c>
      <c r="E3" s="52" t="s">
        <v>276</v>
      </c>
      <c r="F3" s="52" t="str">
        <f t="shared" si="1"/>
        <v>No</v>
      </c>
      <c r="G3" s="52" t="s">
        <v>12</v>
      </c>
      <c r="I3" s="52" t="s">
        <v>217</v>
      </c>
      <c r="J3" s="52" t="s">
        <v>214</v>
      </c>
      <c r="K3" s="52" t="s">
        <v>218</v>
      </c>
      <c r="L3" s="52" t="s">
        <v>4</v>
      </c>
      <c r="T3" s="52" t="s">
        <v>33</v>
      </c>
      <c r="U3" s="52">
        <f>COUNTIF(G2:G66, "&lt;&gt;-")</f>
        <v>0</v>
      </c>
    </row>
    <row r="4" spans="1:21" s="49" customFormat="1" ht="80" customHeight="1" x14ac:dyDescent="0.2">
      <c r="A4" s="57" t="s">
        <v>35</v>
      </c>
      <c r="B4" s="58" t="s">
        <v>277</v>
      </c>
      <c r="C4" s="52" t="str">
        <f t="shared" si="0"/>
        <v>No</v>
      </c>
      <c r="D4" s="52" t="s">
        <v>278</v>
      </c>
      <c r="E4" s="52" t="s">
        <v>279</v>
      </c>
      <c r="F4" s="52" t="str">
        <f t="shared" si="1"/>
        <v>No</v>
      </c>
      <c r="G4" s="52" t="s">
        <v>12</v>
      </c>
      <c r="I4" s="52" t="s">
        <v>217</v>
      </c>
      <c r="J4" s="52" t="s">
        <v>214</v>
      </c>
      <c r="K4" s="52" t="s">
        <v>218</v>
      </c>
      <c r="L4" s="52" t="s">
        <v>4</v>
      </c>
      <c r="T4" s="52" t="s">
        <v>225</v>
      </c>
      <c r="U4" s="52">
        <f>COUNTIF(G2:G66, "No; explanation in comments")</f>
        <v>0</v>
      </c>
    </row>
    <row r="5" spans="1:21" s="49" customFormat="1" ht="65" customHeight="1" x14ac:dyDescent="0.2">
      <c r="A5" s="57" t="s">
        <v>35</v>
      </c>
      <c r="B5" s="58" t="s">
        <v>280</v>
      </c>
      <c r="C5" s="52" t="str">
        <f t="shared" si="0"/>
        <v>No</v>
      </c>
      <c r="D5" s="52" t="s">
        <v>281</v>
      </c>
      <c r="E5" s="52" t="s">
        <v>282</v>
      </c>
      <c r="F5" s="52" t="str">
        <f t="shared" si="1"/>
        <v>No</v>
      </c>
      <c r="G5" s="52" t="s">
        <v>12</v>
      </c>
      <c r="I5" s="52" t="s">
        <v>230</v>
      </c>
      <c r="J5" s="52" t="s">
        <v>31</v>
      </c>
      <c r="K5" s="52" t="s">
        <v>218</v>
      </c>
      <c r="L5" s="52" t="s">
        <v>4</v>
      </c>
      <c r="T5" s="52" t="s">
        <v>7</v>
      </c>
      <c r="U5" s="52">
        <f>COUNTIF(K2:K66, "Mitigated")</f>
        <v>0</v>
      </c>
    </row>
    <row r="6" spans="1:21" s="49" customFormat="1" ht="65" customHeight="1" x14ac:dyDescent="0.2">
      <c r="A6" s="57" t="s">
        <v>35</v>
      </c>
      <c r="B6" s="58" t="s">
        <v>283</v>
      </c>
      <c r="C6" s="52" t="str">
        <f t="shared" si="0"/>
        <v>No</v>
      </c>
      <c r="D6" s="52" t="s">
        <v>284</v>
      </c>
      <c r="E6" s="52" t="s">
        <v>285</v>
      </c>
      <c r="F6" s="52" t="str">
        <f t="shared" si="1"/>
        <v>No</v>
      </c>
      <c r="G6" s="52" t="s">
        <v>12</v>
      </c>
      <c r="I6" s="52" t="s">
        <v>230</v>
      </c>
      <c r="J6" s="52" t="s">
        <v>31</v>
      </c>
      <c r="K6" s="52" t="s">
        <v>218</v>
      </c>
      <c r="L6" s="52" t="s">
        <v>4</v>
      </c>
      <c r="T6" s="52" t="s">
        <v>8</v>
      </c>
      <c r="U6" s="52">
        <f>COUNTIF(K2:K66, "Not Mitigated")</f>
        <v>0</v>
      </c>
    </row>
    <row r="7" spans="1:21" s="49" customFormat="1" ht="20" customHeight="1" x14ac:dyDescent="0.2">
      <c r="A7" s="57" t="s">
        <v>35</v>
      </c>
      <c r="B7" s="58" t="s">
        <v>286</v>
      </c>
      <c r="C7" s="52" t="str">
        <f t="shared" si="0"/>
        <v>No</v>
      </c>
      <c r="D7" s="52" t="s">
        <v>287</v>
      </c>
      <c r="E7" s="52" t="s">
        <v>288</v>
      </c>
      <c r="F7" s="52" t="str">
        <f t="shared" si="1"/>
        <v>No</v>
      </c>
      <c r="G7" s="52" t="s">
        <v>12</v>
      </c>
      <c r="I7" s="52" t="s">
        <v>217</v>
      </c>
      <c r="J7" s="52" t="s">
        <v>214</v>
      </c>
      <c r="K7" s="52" t="s">
        <v>218</v>
      </c>
      <c r="L7" s="52" t="s">
        <v>4</v>
      </c>
    </row>
    <row r="8" spans="1:21" s="49" customFormat="1" ht="35" customHeight="1" x14ac:dyDescent="0.2">
      <c r="A8" s="57" t="s">
        <v>35</v>
      </c>
      <c r="B8" s="58" t="s">
        <v>289</v>
      </c>
      <c r="C8" s="52" t="str">
        <f t="shared" si="0"/>
        <v>No</v>
      </c>
      <c r="D8" s="52" t="s">
        <v>290</v>
      </c>
      <c r="E8" s="52" t="s">
        <v>291</v>
      </c>
      <c r="F8" s="52" t="str">
        <f t="shared" si="1"/>
        <v>No</v>
      </c>
      <c r="G8" s="52" t="s">
        <v>12</v>
      </c>
      <c r="I8" s="52" t="s">
        <v>230</v>
      </c>
      <c r="J8" s="52" t="s">
        <v>31</v>
      </c>
      <c r="K8" s="52" t="s">
        <v>218</v>
      </c>
      <c r="L8" s="52" t="s">
        <v>4</v>
      </c>
    </row>
    <row r="9" spans="1:21" s="49" customFormat="1" ht="50" customHeight="1" x14ac:dyDescent="0.2">
      <c r="A9" s="57" t="s">
        <v>35</v>
      </c>
      <c r="B9" s="58" t="s">
        <v>292</v>
      </c>
      <c r="C9" s="52" t="str">
        <f t="shared" si="0"/>
        <v>No</v>
      </c>
      <c r="D9" s="52" t="s">
        <v>293</v>
      </c>
      <c r="E9" s="52" t="s">
        <v>294</v>
      </c>
      <c r="F9" s="52" t="str">
        <f t="shared" si="1"/>
        <v>No</v>
      </c>
      <c r="G9" s="52" t="s">
        <v>12</v>
      </c>
      <c r="I9" s="52" t="s">
        <v>230</v>
      </c>
      <c r="J9" s="52" t="s">
        <v>31</v>
      </c>
      <c r="K9" s="52" t="s">
        <v>218</v>
      </c>
      <c r="L9" s="52" t="s">
        <v>4</v>
      </c>
    </row>
    <row r="10" spans="1:21" s="49" customFormat="1" ht="50" customHeight="1" x14ac:dyDescent="0.2">
      <c r="A10" s="57" t="s">
        <v>35</v>
      </c>
      <c r="B10" s="58" t="s">
        <v>295</v>
      </c>
      <c r="C10" s="52" t="str">
        <f t="shared" si="0"/>
        <v>No</v>
      </c>
      <c r="D10" s="52" t="s">
        <v>296</v>
      </c>
      <c r="E10" s="52" t="s">
        <v>297</v>
      </c>
      <c r="F10" s="52" t="str">
        <f t="shared" si="1"/>
        <v>No</v>
      </c>
      <c r="G10" s="52" t="s">
        <v>12</v>
      </c>
      <c r="I10" s="52" t="s">
        <v>230</v>
      </c>
      <c r="J10" s="52" t="s">
        <v>31</v>
      </c>
      <c r="K10" s="52" t="s">
        <v>218</v>
      </c>
      <c r="L10" s="52" t="s">
        <v>4</v>
      </c>
    </row>
    <row r="11" spans="1:21" s="49" customFormat="1" ht="65" customHeight="1" x14ac:dyDescent="0.2">
      <c r="A11" s="57" t="s">
        <v>35</v>
      </c>
      <c r="B11" s="58" t="s">
        <v>298</v>
      </c>
      <c r="C11" s="52" t="str">
        <f t="shared" si="0"/>
        <v>No</v>
      </c>
      <c r="D11" s="52" t="s">
        <v>299</v>
      </c>
      <c r="E11" s="52" t="s">
        <v>300</v>
      </c>
      <c r="F11" s="52" t="str">
        <f t="shared" si="1"/>
        <v>No</v>
      </c>
      <c r="G11" s="52" t="s">
        <v>12</v>
      </c>
      <c r="I11" s="52" t="s">
        <v>230</v>
      </c>
      <c r="J11" s="52" t="s">
        <v>31</v>
      </c>
      <c r="K11" s="52" t="s">
        <v>218</v>
      </c>
      <c r="L11" s="52" t="s">
        <v>4</v>
      </c>
    </row>
    <row r="12" spans="1:21" s="49" customFormat="1" ht="35" customHeight="1" x14ac:dyDescent="0.2">
      <c r="A12" s="57" t="s">
        <v>35</v>
      </c>
      <c r="B12" s="58" t="s">
        <v>301</v>
      </c>
      <c r="C12" s="52" t="str">
        <f t="shared" si="0"/>
        <v>No</v>
      </c>
      <c r="D12" s="52" t="s">
        <v>302</v>
      </c>
      <c r="E12" s="52" t="s">
        <v>303</v>
      </c>
      <c r="F12" s="52" t="str">
        <f t="shared" si="1"/>
        <v>No</v>
      </c>
      <c r="G12" s="52" t="s">
        <v>12</v>
      </c>
      <c r="I12" s="52" t="s">
        <v>217</v>
      </c>
      <c r="J12" s="52" t="s">
        <v>214</v>
      </c>
      <c r="K12" s="52" t="s">
        <v>218</v>
      </c>
      <c r="L12" s="52" t="s">
        <v>4</v>
      </c>
    </row>
    <row r="13" spans="1:21" s="49" customFormat="1" ht="35" customHeight="1" x14ac:dyDescent="0.2">
      <c r="A13" s="57" t="s">
        <v>35</v>
      </c>
      <c r="B13" s="58" t="s">
        <v>304</v>
      </c>
      <c r="C13" s="52" t="str">
        <f t="shared" si="0"/>
        <v>No</v>
      </c>
      <c r="D13" s="52" t="s">
        <v>305</v>
      </c>
      <c r="E13" s="52" t="s">
        <v>306</v>
      </c>
      <c r="F13" s="52" t="str">
        <f t="shared" si="1"/>
        <v>No</v>
      </c>
      <c r="G13" s="52" t="s">
        <v>12</v>
      </c>
      <c r="I13" s="52" t="s">
        <v>217</v>
      </c>
      <c r="J13" s="52" t="s">
        <v>214</v>
      </c>
      <c r="K13" s="52" t="s">
        <v>218</v>
      </c>
      <c r="L13" s="52" t="s">
        <v>4</v>
      </c>
    </row>
    <row r="14" spans="1:21" s="49" customFormat="1" ht="35" customHeight="1" x14ac:dyDescent="0.2">
      <c r="A14" s="59" t="s">
        <v>40</v>
      </c>
      <c r="B14" s="60" t="s">
        <v>307</v>
      </c>
      <c r="C14" s="52" t="str">
        <f>IF(ECRInUse="Yes","Yes","No")</f>
        <v>No</v>
      </c>
      <c r="D14" s="52" t="s">
        <v>308</v>
      </c>
      <c r="E14" s="52" t="s">
        <v>309</v>
      </c>
      <c r="F14" s="52" t="str">
        <f t="shared" si="1"/>
        <v>No</v>
      </c>
      <c r="G14" s="52" t="s">
        <v>12</v>
      </c>
      <c r="I14" s="52" t="s">
        <v>217</v>
      </c>
      <c r="J14" s="52" t="s">
        <v>214</v>
      </c>
      <c r="K14" s="52" t="s">
        <v>218</v>
      </c>
      <c r="L14" s="52" t="s">
        <v>4</v>
      </c>
    </row>
    <row r="15" spans="1:21" s="49" customFormat="1" ht="50" customHeight="1" x14ac:dyDescent="0.2">
      <c r="A15" s="59" t="s">
        <v>40</v>
      </c>
      <c r="B15" s="60" t="s">
        <v>310</v>
      </c>
      <c r="C15" s="52" t="str">
        <f>IF(ECRInUse="Yes","Yes","No")</f>
        <v>No</v>
      </c>
      <c r="D15" s="52" t="s">
        <v>311</v>
      </c>
      <c r="E15" s="52" t="s">
        <v>312</v>
      </c>
      <c r="F15" s="52" t="str">
        <f t="shared" si="1"/>
        <v>No</v>
      </c>
      <c r="G15" s="52" t="s">
        <v>12</v>
      </c>
      <c r="I15" s="52" t="s">
        <v>217</v>
      </c>
      <c r="J15" s="52" t="s">
        <v>214</v>
      </c>
      <c r="K15" s="52" t="s">
        <v>218</v>
      </c>
      <c r="L15" s="52" t="s">
        <v>4</v>
      </c>
    </row>
    <row r="16" spans="1:21" s="49" customFormat="1" ht="80" customHeight="1" x14ac:dyDescent="0.2">
      <c r="A16" s="59" t="s">
        <v>40</v>
      </c>
      <c r="B16" s="60" t="s">
        <v>313</v>
      </c>
      <c r="C16" s="52" t="str">
        <f>IF(ECRInUse="Yes","Yes","No")</f>
        <v>No</v>
      </c>
      <c r="D16" s="52" t="s">
        <v>314</v>
      </c>
      <c r="E16" s="52" t="s">
        <v>315</v>
      </c>
      <c r="F16" s="52" t="str">
        <f t="shared" si="1"/>
        <v>No</v>
      </c>
      <c r="G16" s="52" t="s">
        <v>12</v>
      </c>
      <c r="I16" s="52" t="s">
        <v>230</v>
      </c>
      <c r="J16" s="52" t="s">
        <v>31</v>
      </c>
      <c r="K16" s="52" t="s">
        <v>218</v>
      </c>
      <c r="L16" s="52" t="s">
        <v>4</v>
      </c>
    </row>
    <row r="17" spans="1:12" s="49" customFormat="1" ht="80" customHeight="1" x14ac:dyDescent="0.2">
      <c r="A17" s="57" t="s">
        <v>44</v>
      </c>
      <c r="B17" s="58" t="s">
        <v>316</v>
      </c>
      <c r="C17" s="52" t="str">
        <f t="shared" ref="C17:C26" si="2">IF(ECSInUse="Yes","Yes","No")</f>
        <v>No</v>
      </c>
      <c r="D17" s="52" t="s">
        <v>317</v>
      </c>
      <c r="E17" s="52" t="s">
        <v>318</v>
      </c>
      <c r="F17" s="52" t="str">
        <f t="shared" si="1"/>
        <v>No</v>
      </c>
      <c r="G17" s="52" t="s">
        <v>12</v>
      </c>
      <c r="I17" s="52" t="s">
        <v>217</v>
      </c>
      <c r="J17" s="52" t="s">
        <v>214</v>
      </c>
      <c r="K17" s="52" t="s">
        <v>218</v>
      </c>
      <c r="L17" s="52" t="s">
        <v>4</v>
      </c>
    </row>
    <row r="18" spans="1:12" s="49" customFormat="1" ht="80" customHeight="1" x14ac:dyDescent="0.2">
      <c r="A18" s="57" t="s">
        <v>44</v>
      </c>
      <c r="B18" s="58" t="s">
        <v>319</v>
      </c>
      <c r="C18" s="52" t="str">
        <f t="shared" si="2"/>
        <v>No</v>
      </c>
      <c r="D18" s="52" t="s">
        <v>320</v>
      </c>
      <c r="E18" s="52" t="s">
        <v>321</v>
      </c>
      <c r="F18" s="52" t="str">
        <f t="shared" si="1"/>
        <v>No</v>
      </c>
      <c r="G18" s="52" t="s">
        <v>12</v>
      </c>
      <c r="I18" s="52" t="s">
        <v>217</v>
      </c>
      <c r="J18" s="52" t="s">
        <v>214</v>
      </c>
      <c r="K18" s="52" t="s">
        <v>218</v>
      </c>
      <c r="L18" s="52" t="s">
        <v>4</v>
      </c>
    </row>
    <row r="19" spans="1:12" s="49" customFormat="1" ht="20" customHeight="1" x14ac:dyDescent="0.2">
      <c r="A19" s="57" t="s">
        <v>44</v>
      </c>
      <c r="B19" s="58" t="s">
        <v>322</v>
      </c>
      <c r="C19" s="52" t="str">
        <f t="shared" si="2"/>
        <v>No</v>
      </c>
      <c r="D19" s="52" t="s">
        <v>323</v>
      </c>
      <c r="E19" s="52" t="s">
        <v>324</v>
      </c>
      <c r="F19" s="52" t="str">
        <f t="shared" si="1"/>
        <v>No</v>
      </c>
      <c r="G19" s="52" t="s">
        <v>12</v>
      </c>
      <c r="I19" s="52" t="s">
        <v>217</v>
      </c>
      <c r="J19" s="52" t="s">
        <v>214</v>
      </c>
      <c r="K19" s="52" t="s">
        <v>218</v>
      </c>
      <c r="L19" s="52" t="s">
        <v>4</v>
      </c>
    </row>
    <row r="20" spans="1:12" s="49" customFormat="1" ht="50" customHeight="1" x14ac:dyDescent="0.2">
      <c r="A20" s="57" t="s">
        <v>44</v>
      </c>
      <c r="B20" s="58" t="s">
        <v>325</v>
      </c>
      <c r="C20" s="52" t="str">
        <f t="shared" si="2"/>
        <v>No</v>
      </c>
      <c r="D20" s="52" t="s">
        <v>326</v>
      </c>
      <c r="E20" s="52" t="s">
        <v>327</v>
      </c>
      <c r="F20" s="52" t="str">
        <f t="shared" si="1"/>
        <v>No</v>
      </c>
      <c r="G20" s="52" t="s">
        <v>12</v>
      </c>
      <c r="I20" s="52" t="s">
        <v>217</v>
      </c>
      <c r="J20" s="52" t="s">
        <v>214</v>
      </c>
      <c r="K20" s="52" t="s">
        <v>218</v>
      </c>
      <c r="L20" s="52" t="s">
        <v>4</v>
      </c>
    </row>
    <row r="21" spans="1:12" s="49" customFormat="1" ht="50" customHeight="1" x14ac:dyDescent="0.2">
      <c r="A21" s="57" t="s">
        <v>44</v>
      </c>
      <c r="B21" s="58" t="s">
        <v>328</v>
      </c>
      <c r="C21" s="52" t="str">
        <f t="shared" si="2"/>
        <v>No</v>
      </c>
      <c r="D21" s="52" t="s">
        <v>329</v>
      </c>
      <c r="E21" s="52" t="s">
        <v>330</v>
      </c>
      <c r="F21" s="52" t="str">
        <f t="shared" si="1"/>
        <v>No</v>
      </c>
      <c r="G21" s="52" t="s">
        <v>12</v>
      </c>
      <c r="I21" s="52" t="s">
        <v>217</v>
      </c>
      <c r="J21" s="52" t="s">
        <v>214</v>
      </c>
      <c r="K21" s="52" t="s">
        <v>218</v>
      </c>
      <c r="L21" s="52" t="s">
        <v>4</v>
      </c>
    </row>
    <row r="22" spans="1:12" s="49" customFormat="1" ht="50" customHeight="1" x14ac:dyDescent="0.2">
      <c r="A22" s="57" t="s">
        <v>44</v>
      </c>
      <c r="B22" s="58" t="s">
        <v>331</v>
      </c>
      <c r="C22" s="52" t="str">
        <f t="shared" si="2"/>
        <v>No</v>
      </c>
      <c r="D22" s="52" t="s">
        <v>332</v>
      </c>
      <c r="E22" s="52" t="s">
        <v>333</v>
      </c>
      <c r="F22" s="52" t="str">
        <f t="shared" si="1"/>
        <v>No</v>
      </c>
      <c r="G22" s="52" t="s">
        <v>12</v>
      </c>
      <c r="I22" s="52" t="s">
        <v>217</v>
      </c>
      <c r="J22" s="52" t="s">
        <v>214</v>
      </c>
      <c r="K22" s="52" t="s">
        <v>218</v>
      </c>
      <c r="L22" s="52" t="s">
        <v>4</v>
      </c>
    </row>
    <row r="23" spans="1:12" s="49" customFormat="1" ht="35" customHeight="1" x14ac:dyDescent="0.2">
      <c r="A23" s="57" t="s">
        <v>44</v>
      </c>
      <c r="B23" s="58" t="s">
        <v>334</v>
      </c>
      <c r="C23" s="52" t="str">
        <f t="shared" si="2"/>
        <v>No</v>
      </c>
      <c r="D23" s="52" t="s">
        <v>335</v>
      </c>
      <c r="E23" s="52" t="s">
        <v>336</v>
      </c>
      <c r="F23" s="52" t="str">
        <f t="shared" si="1"/>
        <v>No</v>
      </c>
      <c r="G23" s="52" t="s">
        <v>12</v>
      </c>
      <c r="I23" s="52" t="s">
        <v>217</v>
      </c>
      <c r="J23" s="52" t="s">
        <v>214</v>
      </c>
      <c r="K23" s="52" t="s">
        <v>218</v>
      </c>
      <c r="L23" s="52" t="s">
        <v>4</v>
      </c>
    </row>
    <row r="24" spans="1:12" s="49" customFormat="1" ht="35" customHeight="1" x14ac:dyDescent="0.2">
      <c r="A24" s="57" t="s">
        <v>44</v>
      </c>
      <c r="B24" s="58" t="s">
        <v>337</v>
      </c>
      <c r="C24" s="52" t="str">
        <f t="shared" si="2"/>
        <v>No</v>
      </c>
      <c r="D24" s="52" t="s">
        <v>338</v>
      </c>
      <c r="E24" s="52" t="s">
        <v>339</v>
      </c>
      <c r="F24" s="52" t="str">
        <f t="shared" si="1"/>
        <v>No</v>
      </c>
      <c r="G24" s="52" t="s">
        <v>12</v>
      </c>
      <c r="I24" s="52" t="s">
        <v>217</v>
      </c>
      <c r="J24" s="52" t="s">
        <v>214</v>
      </c>
      <c r="K24" s="52" t="s">
        <v>218</v>
      </c>
      <c r="L24" s="52" t="s">
        <v>4</v>
      </c>
    </row>
    <row r="25" spans="1:12" s="49" customFormat="1" ht="35" customHeight="1" x14ac:dyDescent="0.2">
      <c r="A25" s="57" t="s">
        <v>44</v>
      </c>
      <c r="B25" s="58" t="s">
        <v>340</v>
      </c>
      <c r="C25" s="52" t="str">
        <f t="shared" si="2"/>
        <v>No</v>
      </c>
      <c r="D25" s="52" t="s">
        <v>341</v>
      </c>
      <c r="E25" s="52" t="s">
        <v>342</v>
      </c>
      <c r="F25" s="52" t="str">
        <f t="shared" si="1"/>
        <v>No</v>
      </c>
      <c r="G25" s="52" t="s">
        <v>12</v>
      </c>
      <c r="I25" s="52" t="s">
        <v>217</v>
      </c>
      <c r="J25" s="52" t="s">
        <v>214</v>
      </c>
      <c r="K25" s="52" t="s">
        <v>218</v>
      </c>
      <c r="L25" s="52" t="s">
        <v>4</v>
      </c>
    </row>
    <row r="26" spans="1:12" s="49" customFormat="1" ht="50" customHeight="1" x14ac:dyDescent="0.2">
      <c r="A26" s="57" t="s">
        <v>44</v>
      </c>
      <c r="B26" s="58" t="s">
        <v>343</v>
      </c>
      <c r="C26" s="52" t="str">
        <f t="shared" si="2"/>
        <v>No</v>
      </c>
      <c r="D26" s="52" t="s">
        <v>344</v>
      </c>
      <c r="E26" s="52" t="s">
        <v>345</v>
      </c>
      <c r="F26" s="52" t="str">
        <f t="shared" si="1"/>
        <v>No</v>
      </c>
      <c r="G26" s="52" t="s">
        <v>12</v>
      </c>
      <c r="I26" s="52" t="s">
        <v>217</v>
      </c>
      <c r="J26" s="52" t="s">
        <v>214</v>
      </c>
      <c r="K26" s="52" t="s">
        <v>218</v>
      </c>
      <c r="L26" s="52" t="s">
        <v>4</v>
      </c>
    </row>
    <row r="27" spans="1:12" s="49" customFormat="1" ht="65" customHeight="1" x14ac:dyDescent="0.2">
      <c r="A27" s="59" t="s">
        <v>48</v>
      </c>
      <c r="B27" s="60" t="s">
        <v>346</v>
      </c>
      <c r="C27" s="52" t="str">
        <f t="shared" ref="C27:C54" si="3">IF(EKSInUse="Yes","Yes","No")</f>
        <v>No</v>
      </c>
      <c r="D27" s="52" t="s">
        <v>347</v>
      </c>
      <c r="E27" s="52" t="s">
        <v>348</v>
      </c>
      <c r="F27" s="52" t="str">
        <f t="shared" si="1"/>
        <v>No</v>
      </c>
      <c r="G27" s="52" t="s">
        <v>12</v>
      </c>
      <c r="I27" s="52" t="s">
        <v>217</v>
      </c>
      <c r="J27" s="52" t="s">
        <v>214</v>
      </c>
      <c r="K27" s="52" t="s">
        <v>218</v>
      </c>
      <c r="L27" s="52" t="s">
        <v>4</v>
      </c>
    </row>
    <row r="28" spans="1:12" s="49" customFormat="1" ht="35" customHeight="1" x14ac:dyDescent="0.2">
      <c r="A28" s="59" t="s">
        <v>48</v>
      </c>
      <c r="B28" s="60" t="s">
        <v>349</v>
      </c>
      <c r="C28" s="52" t="str">
        <f t="shared" si="3"/>
        <v>No</v>
      </c>
      <c r="D28" s="52" t="s">
        <v>350</v>
      </c>
      <c r="E28" s="52" t="s">
        <v>351</v>
      </c>
      <c r="F28" s="52" t="str">
        <f t="shared" si="1"/>
        <v>No</v>
      </c>
      <c r="G28" s="52" t="s">
        <v>12</v>
      </c>
      <c r="I28" s="52" t="s">
        <v>217</v>
      </c>
      <c r="J28" s="52" t="s">
        <v>214</v>
      </c>
      <c r="K28" s="52" t="s">
        <v>218</v>
      </c>
      <c r="L28" s="52" t="s">
        <v>4</v>
      </c>
    </row>
    <row r="29" spans="1:12" s="49" customFormat="1" ht="50" customHeight="1" x14ac:dyDescent="0.2">
      <c r="A29" s="59" t="s">
        <v>48</v>
      </c>
      <c r="B29" s="60" t="s">
        <v>352</v>
      </c>
      <c r="C29" s="52" t="str">
        <f t="shared" si="3"/>
        <v>No</v>
      </c>
      <c r="D29" s="52" t="s">
        <v>353</v>
      </c>
      <c r="E29" s="52" t="s">
        <v>354</v>
      </c>
      <c r="F29" s="52" t="str">
        <f t="shared" si="1"/>
        <v>No</v>
      </c>
      <c r="G29" s="52" t="s">
        <v>12</v>
      </c>
      <c r="I29" s="52" t="s">
        <v>217</v>
      </c>
      <c r="J29" s="52" t="s">
        <v>214</v>
      </c>
      <c r="K29" s="52" t="s">
        <v>218</v>
      </c>
      <c r="L29" s="52" t="s">
        <v>4</v>
      </c>
    </row>
    <row r="30" spans="1:12" s="49" customFormat="1" ht="50" customHeight="1" x14ac:dyDescent="0.2">
      <c r="A30" s="59" t="s">
        <v>48</v>
      </c>
      <c r="B30" s="60" t="s">
        <v>355</v>
      </c>
      <c r="C30" s="52" t="str">
        <f t="shared" si="3"/>
        <v>No</v>
      </c>
      <c r="D30" s="52" t="s">
        <v>356</v>
      </c>
      <c r="E30" s="52" t="s">
        <v>357</v>
      </c>
      <c r="F30" s="52" t="str">
        <f t="shared" si="1"/>
        <v>No</v>
      </c>
      <c r="G30" s="52" t="s">
        <v>12</v>
      </c>
      <c r="I30" s="52" t="s">
        <v>217</v>
      </c>
      <c r="J30" s="52" t="s">
        <v>214</v>
      </c>
      <c r="K30" s="52" t="s">
        <v>218</v>
      </c>
      <c r="L30" s="52" t="s">
        <v>4</v>
      </c>
    </row>
    <row r="31" spans="1:12" s="49" customFormat="1" ht="65" customHeight="1" x14ac:dyDescent="0.2">
      <c r="A31" s="59" t="s">
        <v>48</v>
      </c>
      <c r="B31" s="60" t="s">
        <v>358</v>
      </c>
      <c r="C31" s="52" t="str">
        <f t="shared" si="3"/>
        <v>No</v>
      </c>
      <c r="D31" s="52" t="s">
        <v>359</v>
      </c>
      <c r="E31" s="52" t="s">
        <v>360</v>
      </c>
      <c r="F31" s="52" t="str">
        <f t="shared" si="1"/>
        <v>No</v>
      </c>
      <c r="G31" s="52" t="s">
        <v>12</v>
      </c>
      <c r="I31" s="52" t="s">
        <v>230</v>
      </c>
      <c r="J31" s="52" t="s">
        <v>31</v>
      </c>
      <c r="K31" s="52" t="s">
        <v>218</v>
      </c>
      <c r="L31" s="52" t="s">
        <v>4</v>
      </c>
    </row>
    <row r="32" spans="1:12" s="49" customFormat="1" ht="35" customHeight="1" x14ac:dyDescent="0.2">
      <c r="A32" s="59" t="s">
        <v>48</v>
      </c>
      <c r="B32" s="60" t="s">
        <v>361</v>
      </c>
      <c r="C32" s="52" t="str">
        <f t="shared" si="3"/>
        <v>No</v>
      </c>
      <c r="D32" s="52" t="s">
        <v>362</v>
      </c>
      <c r="E32" s="52" t="s">
        <v>363</v>
      </c>
      <c r="F32" s="52" t="str">
        <f t="shared" si="1"/>
        <v>No</v>
      </c>
      <c r="G32" s="52" t="s">
        <v>12</v>
      </c>
      <c r="I32" s="52" t="s">
        <v>217</v>
      </c>
      <c r="J32" s="52" t="s">
        <v>214</v>
      </c>
      <c r="K32" s="52" t="s">
        <v>218</v>
      </c>
      <c r="L32" s="52" t="s">
        <v>4</v>
      </c>
    </row>
    <row r="33" spans="1:12" s="49" customFormat="1" ht="155" customHeight="1" x14ac:dyDescent="0.2">
      <c r="A33" s="59" t="s">
        <v>48</v>
      </c>
      <c r="B33" s="60" t="s">
        <v>364</v>
      </c>
      <c r="C33" s="52" t="str">
        <f t="shared" si="3"/>
        <v>No</v>
      </c>
      <c r="D33" s="52" t="s">
        <v>365</v>
      </c>
      <c r="E33" s="52" t="s">
        <v>366</v>
      </c>
      <c r="F33" s="52" t="str">
        <f t="shared" si="1"/>
        <v>No</v>
      </c>
      <c r="G33" s="52" t="s">
        <v>12</v>
      </c>
      <c r="I33" s="52" t="s">
        <v>217</v>
      </c>
      <c r="J33" s="52" t="s">
        <v>214</v>
      </c>
      <c r="K33" s="52" t="s">
        <v>218</v>
      </c>
      <c r="L33" s="52" t="s">
        <v>4</v>
      </c>
    </row>
    <row r="34" spans="1:12" s="49" customFormat="1" ht="125" customHeight="1" x14ac:dyDescent="0.2">
      <c r="A34" s="59" t="s">
        <v>48</v>
      </c>
      <c r="B34" s="60" t="s">
        <v>367</v>
      </c>
      <c r="C34" s="52" t="str">
        <f t="shared" si="3"/>
        <v>No</v>
      </c>
      <c r="D34" s="52" t="s">
        <v>368</v>
      </c>
      <c r="E34" s="52" t="s">
        <v>369</v>
      </c>
      <c r="F34" s="52" t="str">
        <f t="shared" ref="F34:F65" si="4">IF(AND(C34="Yes",G34="-"), "Yes", "No")</f>
        <v>No</v>
      </c>
      <c r="G34" s="52" t="s">
        <v>12</v>
      </c>
      <c r="I34" s="52" t="s">
        <v>217</v>
      </c>
      <c r="J34" s="52" t="s">
        <v>214</v>
      </c>
      <c r="K34" s="52" t="s">
        <v>218</v>
      </c>
      <c r="L34" s="52" t="s">
        <v>4</v>
      </c>
    </row>
    <row r="35" spans="1:12" s="49" customFormat="1" ht="125" customHeight="1" x14ac:dyDescent="0.2">
      <c r="A35" s="59" t="s">
        <v>48</v>
      </c>
      <c r="B35" s="60" t="s">
        <v>370</v>
      </c>
      <c r="C35" s="52" t="str">
        <f t="shared" si="3"/>
        <v>No</v>
      </c>
      <c r="D35" s="52" t="s">
        <v>371</v>
      </c>
      <c r="E35" s="52" t="s">
        <v>369</v>
      </c>
      <c r="F35" s="52" t="str">
        <f t="shared" si="4"/>
        <v>No</v>
      </c>
      <c r="G35" s="52" t="s">
        <v>12</v>
      </c>
      <c r="I35" s="52" t="s">
        <v>217</v>
      </c>
      <c r="J35" s="52" t="s">
        <v>214</v>
      </c>
      <c r="K35" s="52" t="s">
        <v>218</v>
      </c>
      <c r="L35" s="52" t="s">
        <v>4</v>
      </c>
    </row>
    <row r="36" spans="1:12" s="49" customFormat="1" ht="65" customHeight="1" x14ac:dyDescent="0.2">
      <c r="A36" s="59" t="s">
        <v>48</v>
      </c>
      <c r="B36" s="60" t="s">
        <v>372</v>
      </c>
      <c r="C36" s="52" t="str">
        <f t="shared" si="3"/>
        <v>No</v>
      </c>
      <c r="D36" s="52" t="s">
        <v>373</v>
      </c>
      <c r="E36" s="52" t="s">
        <v>374</v>
      </c>
      <c r="F36" s="52" t="str">
        <f t="shared" si="4"/>
        <v>No</v>
      </c>
      <c r="G36" s="52" t="s">
        <v>12</v>
      </c>
      <c r="I36" s="52" t="s">
        <v>230</v>
      </c>
      <c r="J36" s="52" t="s">
        <v>31</v>
      </c>
      <c r="K36" s="52" t="s">
        <v>218</v>
      </c>
      <c r="L36" s="52" t="s">
        <v>4</v>
      </c>
    </row>
    <row r="37" spans="1:12" s="49" customFormat="1" ht="95" customHeight="1" x14ac:dyDescent="0.2">
      <c r="A37" s="59" t="s">
        <v>48</v>
      </c>
      <c r="B37" s="60" t="s">
        <v>375</v>
      </c>
      <c r="C37" s="52" t="str">
        <f t="shared" si="3"/>
        <v>No</v>
      </c>
      <c r="D37" s="52" t="s">
        <v>376</v>
      </c>
      <c r="E37" s="52" t="s">
        <v>377</v>
      </c>
      <c r="F37" s="52" t="str">
        <f t="shared" si="4"/>
        <v>No</v>
      </c>
      <c r="G37" s="52" t="s">
        <v>12</v>
      </c>
      <c r="I37" s="52" t="s">
        <v>230</v>
      </c>
      <c r="J37" s="52" t="s">
        <v>31</v>
      </c>
      <c r="K37" s="52" t="s">
        <v>218</v>
      </c>
      <c r="L37" s="52" t="s">
        <v>4</v>
      </c>
    </row>
    <row r="38" spans="1:12" s="49" customFormat="1" ht="140" customHeight="1" x14ac:dyDescent="0.2">
      <c r="A38" s="59" t="s">
        <v>48</v>
      </c>
      <c r="B38" s="60" t="s">
        <v>378</v>
      </c>
      <c r="C38" s="52" t="str">
        <f t="shared" si="3"/>
        <v>No</v>
      </c>
      <c r="D38" s="52" t="s">
        <v>379</v>
      </c>
      <c r="E38" s="52" t="s">
        <v>380</v>
      </c>
      <c r="F38" s="52" t="str">
        <f t="shared" si="4"/>
        <v>No</v>
      </c>
      <c r="G38" s="52" t="s">
        <v>12</v>
      </c>
      <c r="I38" s="52" t="s">
        <v>217</v>
      </c>
      <c r="J38" s="52" t="s">
        <v>214</v>
      </c>
      <c r="K38" s="52" t="s">
        <v>218</v>
      </c>
      <c r="L38" s="52" t="s">
        <v>4</v>
      </c>
    </row>
    <row r="39" spans="1:12" s="49" customFormat="1" ht="80" customHeight="1" x14ac:dyDescent="0.2">
      <c r="A39" s="59" t="s">
        <v>48</v>
      </c>
      <c r="B39" s="60" t="s">
        <v>381</v>
      </c>
      <c r="C39" s="52" t="str">
        <f t="shared" si="3"/>
        <v>No</v>
      </c>
      <c r="D39" s="52" t="s">
        <v>382</v>
      </c>
      <c r="E39" s="52" t="s">
        <v>383</v>
      </c>
      <c r="F39" s="52" t="str">
        <f t="shared" si="4"/>
        <v>No</v>
      </c>
      <c r="G39" s="52" t="s">
        <v>12</v>
      </c>
      <c r="I39" s="52" t="s">
        <v>217</v>
      </c>
      <c r="J39" s="52" t="s">
        <v>214</v>
      </c>
      <c r="K39" s="52" t="s">
        <v>218</v>
      </c>
      <c r="L39" s="52" t="s">
        <v>4</v>
      </c>
    </row>
    <row r="40" spans="1:12" s="49" customFormat="1" ht="35" customHeight="1" x14ac:dyDescent="0.2">
      <c r="A40" s="59" t="s">
        <v>48</v>
      </c>
      <c r="B40" s="60" t="s">
        <v>384</v>
      </c>
      <c r="C40" s="52" t="str">
        <f t="shared" si="3"/>
        <v>No</v>
      </c>
      <c r="D40" s="52" t="s">
        <v>385</v>
      </c>
      <c r="E40" s="52" t="s">
        <v>386</v>
      </c>
      <c r="F40" s="52" t="str">
        <f t="shared" si="4"/>
        <v>No</v>
      </c>
      <c r="G40" s="52" t="s">
        <v>12</v>
      </c>
      <c r="I40" s="52" t="s">
        <v>217</v>
      </c>
      <c r="J40" s="52" t="s">
        <v>214</v>
      </c>
      <c r="K40" s="52" t="s">
        <v>218</v>
      </c>
      <c r="L40" s="52" t="s">
        <v>4</v>
      </c>
    </row>
    <row r="41" spans="1:12" s="49" customFormat="1" ht="35" customHeight="1" x14ac:dyDescent="0.2">
      <c r="A41" s="59" t="s">
        <v>48</v>
      </c>
      <c r="B41" s="60" t="s">
        <v>387</v>
      </c>
      <c r="C41" s="52" t="str">
        <f t="shared" si="3"/>
        <v>No</v>
      </c>
      <c r="D41" s="52" t="s">
        <v>388</v>
      </c>
      <c r="E41" s="52" t="s">
        <v>389</v>
      </c>
      <c r="F41" s="52" t="str">
        <f t="shared" si="4"/>
        <v>No</v>
      </c>
      <c r="G41" s="52" t="s">
        <v>12</v>
      </c>
      <c r="I41" s="52" t="s">
        <v>217</v>
      </c>
      <c r="J41" s="52" t="s">
        <v>214</v>
      </c>
      <c r="K41" s="52" t="s">
        <v>218</v>
      </c>
      <c r="L41" s="52" t="s">
        <v>4</v>
      </c>
    </row>
    <row r="42" spans="1:12" s="49" customFormat="1" ht="110" customHeight="1" x14ac:dyDescent="0.2">
      <c r="A42" s="59" t="s">
        <v>48</v>
      </c>
      <c r="B42" s="60" t="s">
        <v>390</v>
      </c>
      <c r="C42" s="52" t="str">
        <f t="shared" si="3"/>
        <v>No</v>
      </c>
      <c r="D42" s="52" t="s">
        <v>391</v>
      </c>
      <c r="E42" s="52" t="s">
        <v>392</v>
      </c>
      <c r="F42" s="52" t="str">
        <f t="shared" si="4"/>
        <v>No</v>
      </c>
      <c r="G42" s="52" t="s">
        <v>12</v>
      </c>
      <c r="I42" s="52" t="s">
        <v>230</v>
      </c>
      <c r="J42" s="52" t="s">
        <v>31</v>
      </c>
      <c r="K42" s="52" t="s">
        <v>218</v>
      </c>
      <c r="L42" s="52" t="s">
        <v>4</v>
      </c>
    </row>
    <row r="43" spans="1:12" s="49" customFormat="1" ht="170" customHeight="1" x14ac:dyDescent="0.2">
      <c r="A43" s="59" t="s">
        <v>48</v>
      </c>
      <c r="B43" s="60" t="s">
        <v>393</v>
      </c>
      <c r="C43" s="52" t="str">
        <f t="shared" si="3"/>
        <v>No</v>
      </c>
      <c r="D43" s="52" t="s">
        <v>394</v>
      </c>
      <c r="E43" s="52" t="s">
        <v>395</v>
      </c>
      <c r="F43" s="52" t="str">
        <f t="shared" si="4"/>
        <v>No</v>
      </c>
      <c r="G43" s="52" t="s">
        <v>12</v>
      </c>
      <c r="I43" s="52" t="s">
        <v>230</v>
      </c>
      <c r="J43" s="52" t="s">
        <v>31</v>
      </c>
      <c r="K43" s="52" t="s">
        <v>218</v>
      </c>
      <c r="L43" s="52" t="s">
        <v>4</v>
      </c>
    </row>
    <row r="44" spans="1:12" s="49" customFormat="1" ht="110" customHeight="1" x14ac:dyDescent="0.2">
      <c r="A44" s="59" t="s">
        <v>48</v>
      </c>
      <c r="B44" s="60" t="s">
        <v>396</v>
      </c>
      <c r="C44" s="52" t="str">
        <f t="shared" si="3"/>
        <v>No</v>
      </c>
      <c r="D44" s="52" t="s">
        <v>397</v>
      </c>
      <c r="E44" s="52" t="s">
        <v>398</v>
      </c>
      <c r="F44" s="52" t="str">
        <f t="shared" si="4"/>
        <v>No</v>
      </c>
      <c r="G44" s="52" t="s">
        <v>12</v>
      </c>
      <c r="I44" s="52" t="s">
        <v>217</v>
      </c>
      <c r="J44" s="52" t="s">
        <v>214</v>
      </c>
      <c r="K44" s="52" t="s">
        <v>218</v>
      </c>
      <c r="L44" s="52" t="s">
        <v>4</v>
      </c>
    </row>
    <row r="45" spans="1:12" s="49" customFormat="1" ht="185" customHeight="1" x14ac:dyDescent="0.2">
      <c r="A45" s="59" t="s">
        <v>48</v>
      </c>
      <c r="B45" s="60" t="s">
        <v>399</v>
      </c>
      <c r="C45" s="52" t="str">
        <f t="shared" si="3"/>
        <v>No</v>
      </c>
      <c r="D45" s="52" t="s">
        <v>400</v>
      </c>
      <c r="E45" s="52" t="s">
        <v>401</v>
      </c>
      <c r="F45" s="52" t="str">
        <f t="shared" si="4"/>
        <v>No</v>
      </c>
      <c r="G45" s="52" t="s">
        <v>12</v>
      </c>
      <c r="I45" s="52" t="s">
        <v>230</v>
      </c>
      <c r="J45" s="52" t="s">
        <v>31</v>
      </c>
      <c r="K45" s="52" t="s">
        <v>218</v>
      </c>
      <c r="L45" s="52" t="s">
        <v>4</v>
      </c>
    </row>
    <row r="46" spans="1:12" s="49" customFormat="1" ht="65" customHeight="1" x14ac:dyDescent="0.2">
      <c r="A46" s="59" t="s">
        <v>48</v>
      </c>
      <c r="B46" s="60" t="s">
        <v>402</v>
      </c>
      <c r="C46" s="52" t="str">
        <f t="shared" si="3"/>
        <v>No</v>
      </c>
      <c r="D46" s="52" t="s">
        <v>403</v>
      </c>
      <c r="E46" s="52" t="s">
        <v>404</v>
      </c>
      <c r="F46" s="52" t="str">
        <f t="shared" si="4"/>
        <v>No</v>
      </c>
      <c r="G46" s="52" t="s">
        <v>12</v>
      </c>
      <c r="I46" s="52" t="s">
        <v>230</v>
      </c>
      <c r="J46" s="52" t="s">
        <v>31</v>
      </c>
      <c r="K46" s="52" t="s">
        <v>218</v>
      </c>
      <c r="L46" s="52" t="s">
        <v>4</v>
      </c>
    </row>
    <row r="47" spans="1:12" s="49" customFormat="1" ht="140" customHeight="1" x14ac:dyDescent="0.2">
      <c r="A47" s="59" t="s">
        <v>48</v>
      </c>
      <c r="B47" s="60" t="s">
        <v>405</v>
      </c>
      <c r="C47" s="52" t="str">
        <f t="shared" si="3"/>
        <v>No</v>
      </c>
      <c r="D47" s="52" t="s">
        <v>406</v>
      </c>
      <c r="E47" s="52" t="s">
        <v>407</v>
      </c>
      <c r="F47" s="52" t="str">
        <f t="shared" si="4"/>
        <v>No</v>
      </c>
      <c r="G47" s="52" t="s">
        <v>12</v>
      </c>
      <c r="I47" s="52" t="s">
        <v>230</v>
      </c>
      <c r="J47" s="52" t="s">
        <v>31</v>
      </c>
      <c r="K47" s="52" t="s">
        <v>218</v>
      </c>
      <c r="L47" s="52" t="s">
        <v>4</v>
      </c>
    </row>
    <row r="48" spans="1:12" s="49" customFormat="1" ht="110" customHeight="1" x14ac:dyDescent="0.2">
      <c r="A48" s="59" t="s">
        <v>48</v>
      </c>
      <c r="B48" s="60" t="s">
        <v>408</v>
      </c>
      <c r="C48" s="52" t="str">
        <f t="shared" si="3"/>
        <v>No</v>
      </c>
      <c r="D48" s="52" t="s">
        <v>409</v>
      </c>
      <c r="E48" s="52" t="s">
        <v>410</v>
      </c>
      <c r="F48" s="52" t="str">
        <f t="shared" si="4"/>
        <v>No</v>
      </c>
      <c r="G48" s="52" t="s">
        <v>12</v>
      </c>
      <c r="I48" s="52" t="s">
        <v>217</v>
      </c>
      <c r="J48" s="52" t="s">
        <v>214</v>
      </c>
      <c r="K48" s="52" t="s">
        <v>218</v>
      </c>
      <c r="L48" s="52" t="s">
        <v>4</v>
      </c>
    </row>
    <row r="49" spans="1:12" s="49" customFormat="1" ht="50" customHeight="1" x14ac:dyDescent="0.2">
      <c r="A49" s="59" t="s">
        <v>48</v>
      </c>
      <c r="B49" s="60" t="s">
        <v>411</v>
      </c>
      <c r="C49" s="52" t="str">
        <f t="shared" si="3"/>
        <v>No</v>
      </c>
      <c r="D49" s="52" t="s">
        <v>412</v>
      </c>
      <c r="E49" s="52" t="s">
        <v>413</v>
      </c>
      <c r="F49" s="52" t="str">
        <f t="shared" si="4"/>
        <v>No</v>
      </c>
      <c r="G49" s="52" t="s">
        <v>12</v>
      </c>
      <c r="I49" s="52" t="s">
        <v>230</v>
      </c>
      <c r="J49" s="52" t="s">
        <v>31</v>
      </c>
      <c r="K49" s="52" t="s">
        <v>218</v>
      </c>
      <c r="L49" s="52" t="s">
        <v>4</v>
      </c>
    </row>
    <row r="50" spans="1:12" s="49" customFormat="1" ht="140" customHeight="1" x14ac:dyDescent="0.2">
      <c r="A50" s="59" t="s">
        <v>48</v>
      </c>
      <c r="B50" s="60" t="s">
        <v>414</v>
      </c>
      <c r="C50" s="52" t="str">
        <f t="shared" si="3"/>
        <v>No</v>
      </c>
      <c r="D50" s="52" t="s">
        <v>415</v>
      </c>
      <c r="E50" s="52" t="s">
        <v>416</v>
      </c>
      <c r="F50" s="52" t="str">
        <f t="shared" si="4"/>
        <v>No</v>
      </c>
      <c r="G50" s="52" t="s">
        <v>12</v>
      </c>
      <c r="I50" s="52" t="s">
        <v>217</v>
      </c>
      <c r="J50" s="52" t="s">
        <v>214</v>
      </c>
      <c r="K50" s="52" t="s">
        <v>218</v>
      </c>
      <c r="L50" s="52" t="s">
        <v>4</v>
      </c>
    </row>
    <row r="51" spans="1:12" s="49" customFormat="1" ht="65" customHeight="1" x14ac:dyDescent="0.2">
      <c r="A51" s="59" t="s">
        <v>48</v>
      </c>
      <c r="B51" s="60" t="s">
        <v>417</v>
      </c>
      <c r="C51" s="52" t="str">
        <f t="shared" si="3"/>
        <v>No</v>
      </c>
      <c r="D51" s="52" t="s">
        <v>418</v>
      </c>
      <c r="E51" s="52" t="s">
        <v>419</v>
      </c>
      <c r="F51" s="52" t="str">
        <f t="shared" si="4"/>
        <v>No</v>
      </c>
      <c r="G51" s="52" t="s">
        <v>12</v>
      </c>
      <c r="I51" s="52" t="s">
        <v>217</v>
      </c>
      <c r="J51" s="52" t="s">
        <v>214</v>
      </c>
      <c r="K51" s="52" t="s">
        <v>218</v>
      </c>
      <c r="L51" s="52" t="s">
        <v>4</v>
      </c>
    </row>
    <row r="52" spans="1:12" s="49" customFormat="1" ht="35" customHeight="1" x14ac:dyDescent="0.2">
      <c r="A52" s="59" t="s">
        <v>48</v>
      </c>
      <c r="B52" s="60" t="s">
        <v>420</v>
      </c>
      <c r="C52" s="52" t="str">
        <f t="shared" si="3"/>
        <v>No</v>
      </c>
      <c r="D52" s="52" t="s">
        <v>421</v>
      </c>
      <c r="E52" s="52" t="s">
        <v>422</v>
      </c>
      <c r="F52" s="52" t="str">
        <f t="shared" si="4"/>
        <v>No</v>
      </c>
      <c r="G52" s="52" t="s">
        <v>12</v>
      </c>
      <c r="I52" s="52" t="s">
        <v>217</v>
      </c>
      <c r="J52" s="52" t="s">
        <v>214</v>
      </c>
      <c r="K52" s="52" t="s">
        <v>218</v>
      </c>
      <c r="L52" s="52" t="s">
        <v>4</v>
      </c>
    </row>
    <row r="53" spans="1:12" s="49" customFormat="1" ht="155" customHeight="1" x14ac:dyDescent="0.2">
      <c r="A53" s="59" t="s">
        <v>48</v>
      </c>
      <c r="B53" s="60" t="s">
        <v>423</v>
      </c>
      <c r="C53" s="52" t="str">
        <f t="shared" si="3"/>
        <v>No</v>
      </c>
      <c r="D53" s="52" t="s">
        <v>424</v>
      </c>
      <c r="E53" s="52" t="s">
        <v>425</v>
      </c>
      <c r="F53" s="52" t="str">
        <f t="shared" si="4"/>
        <v>No</v>
      </c>
      <c r="G53" s="52" t="s">
        <v>12</v>
      </c>
      <c r="I53" s="52" t="s">
        <v>217</v>
      </c>
      <c r="J53" s="52" t="s">
        <v>214</v>
      </c>
      <c r="K53" s="52" t="s">
        <v>218</v>
      </c>
      <c r="L53" s="52" t="s">
        <v>4</v>
      </c>
    </row>
    <row r="54" spans="1:12" s="49" customFormat="1" ht="80" customHeight="1" x14ac:dyDescent="0.2">
      <c r="A54" s="59" t="s">
        <v>48</v>
      </c>
      <c r="B54" s="60" t="s">
        <v>426</v>
      </c>
      <c r="C54" s="52" t="str">
        <f t="shared" si="3"/>
        <v>No</v>
      </c>
      <c r="D54" s="52" t="s">
        <v>427</v>
      </c>
      <c r="E54" s="52" t="s">
        <v>428</v>
      </c>
      <c r="F54" s="52" t="str">
        <f t="shared" si="4"/>
        <v>No</v>
      </c>
      <c r="G54" s="52" t="s">
        <v>12</v>
      </c>
      <c r="I54" s="52" t="s">
        <v>217</v>
      </c>
      <c r="J54" s="52" t="s">
        <v>214</v>
      </c>
      <c r="K54" s="52" t="s">
        <v>218</v>
      </c>
      <c r="L54" s="52" t="s">
        <v>4</v>
      </c>
    </row>
    <row r="55" spans="1:12" s="49" customFormat="1" ht="35" customHeight="1" x14ac:dyDescent="0.2">
      <c r="A55" s="57" t="s">
        <v>51</v>
      </c>
      <c r="B55" s="58" t="s">
        <v>429</v>
      </c>
      <c r="C55" s="52" t="str">
        <f>IF(BATCHInUse="Yes","Yes","No")</f>
        <v>No</v>
      </c>
      <c r="D55" s="52" t="s">
        <v>430</v>
      </c>
      <c r="E55" s="52" t="s">
        <v>431</v>
      </c>
      <c r="F55" s="52" t="str">
        <f t="shared" si="4"/>
        <v>No</v>
      </c>
      <c r="G55" s="52" t="s">
        <v>12</v>
      </c>
      <c r="I55" s="52" t="s">
        <v>217</v>
      </c>
      <c r="J55" s="52" t="s">
        <v>214</v>
      </c>
      <c r="K55" s="52" t="s">
        <v>218</v>
      </c>
      <c r="L55" s="52" t="s">
        <v>4</v>
      </c>
    </row>
    <row r="56" spans="1:12" s="49" customFormat="1" ht="50" customHeight="1" x14ac:dyDescent="0.2">
      <c r="A56" s="57" t="s">
        <v>51</v>
      </c>
      <c r="B56" s="58" t="s">
        <v>432</v>
      </c>
      <c r="C56" s="52" t="str">
        <f>IF(BATCHInUse="Yes","Yes","No")</f>
        <v>No</v>
      </c>
      <c r="D56" s="52" t="s">
        <v>433</v>
      </c>
      <c r="E56" s="52" t="s">
        <v>434</v>
      </c>
      <c r="F56" s="52" t="str">
        <f t="shared" si="4"/>
        <v>No</v>
      </c>
      <c r="G56" s="52" t="s">
        <v>12</v>
      </c>
      <c r="I56" s="52" t="s">
        <v>217</v>
      </c>
      <c r="J56" s="52" t="s">
        <v>214</v>
      </c>
      <c r="K56" s="52" t="s">
        <v>218</v>
      </c>
      <c r="L56" s="52" t="s">
        <v>4</v>
      </c>
    </row>
    <row r="57" spans="1:12" s="49" customFormat="1" ht="20" customHeight="1" x14ac:dyDescent="0.2">
      <c r="A57" s="59" t="s">
        <v>54</v>
      </c>
      <c r="B57" s="60" t="s">
        <v>435</v>
      </c>
      <c r="C57" s="52" t="str">
        <f>IF(ELASTIC_BEANSTALKInUse="Yes","Yes","No")</f>
        <v>No</v>
      </c>
      <c r="D57" s="52" t="s">
        <v>436</v>
      </c>
      <c r="E57" s="52" t="s">
        <v>437</v>
      </c>
      <c r="F57" s="52" t="str">
        <f t="shared" si="4"/>
        <v>No</v>
      </c>
      <c r="G57" s="52" t="s">
        <v>12</v>
      </c>
      <c r="I57" s="52" t="s">
        <v>217</v>
      </c>
      <c r="J57" s="52" t="s">
        <v>214</v>
      </c>
      <c r="K57" s="52" t="s">
        <v>218</v>
      </c>
      <c r="L57" s="52" t="s">
        <v>4</v>
      </c>
    </row>
    <row r="58" spans="1:12" s="49" customFormat="1" ht="65" customHeight="1" x14ac:dyDescent="0.2">
      <c r="A58" s="59" t="s">
        <v>54</v>
      </c>
      <c r="B58" s="60" t="s">
        <v>438</v>
      </c>
      <c r="C58" s="52" t="str">
        <f>IF(ELASTIC_BEANSTALKInUse="Yes","Yes","No")</f>
        <v>No</v>
      </c>
      <c r="D58" s="52" t="s">
        <v>439</v>
      </c>
      <c r="E58" s="52" t="s">
        <v>276</v>
      </c>
      <c r="F58" s="52" t="str">
        <f t="shared" si="4"/>
        <v>No</v>
      </c>
      <c r="G58" s="52" t="s">
        <v>12</v>
      </c>
      <c r="I58" s="52" t="s">
        <v>217</v>
      </c>
      <c r="J58" s="52" t="s">
        <v>214</v>
      </c>
      <c r="K58" s="52" t="s">
        <v>218</v>
      </c>
      <c r="L58" s="52" t="s">
        <v>4</v>
      </c>
    </row>
    <row r="59" spans="1:12" s="49" customFormat="1" ht="50" customHeight="1" x14ac:dyDescent="0.2">
      <c r="A59" s="59" t="s">
        <v>54</v>
      </c>
      <c r="B59" s="60" t="s">
        <v>440</v>
      </c>
      <c r="C59" s="52" t="str">
        <f>IF(ELASTIC_BEANSTALKInUse="Yes","Yes","No")</f>
        <v>No</v>
      </c>
      <c r="D59" s="52" t="s">
        <v>441</v>
      </c>
      <c r="E59" s="52" t="s">
        <v>442</v>
      </c>
      <c r="F59" s="52" t="str">
        <f t="shared" si="4"/>
        <v>No</v>
      </c>
      <c r="G59" s="52" t="s">
        <v>12</v>
      </c>
      <c r="I59" s="52" t="s">
        <v>217</v>
      </c>
      <c r="J59" s="52" t="s">
        <v>214</v>
      </c>
      <c r="K59" s="52" t="s">
        <v>218</v>
      </c>
      <c r="L59" s="52" t="s">
        <v>4</v>
      </c>
    </row>
    <row r="60" spans="1:12" s="49" customFormat="1" ht="50" customHeight="1" x14ac:dyDescent="0.2">
      <c r="A60" s="59" t="s">
        <v>54</v>
      </c>
      <c r="B60" s="60" t="s">
        <v>443</v>
      </c>
      <c r="C60" s="52" t="str">
        <f>IF(ELASTIC_BEANSTALKInUse="Yes","Yes","No")</f>
        <v>No</v>
      </c>
      <c r="D60" s="52" t="s">
        <v>444</v>
      </c>
      <c r="E60" s="52" t="s">
        <v>445</v>
      </c>
      <c r="F60" s="52" t="str">
        <f t="shared" si="4"/>
        <v>No</v>
      </c>
      <c r="G60" s="52" t="s">
        <v>12</v>
      </c>
      <c r="I60" s="52" t="s">
        <v>230</v>
      </c>
      <c r="J60" s="52" t="s">
        <v>31</v>
      </c>
      <c r="K60" s="52" t="s">
        <v>218</v>
      </c>
      <c r="L60" s="52" t="s">
        <v>4</v>
      </c>
    </row>
    <row r="61" spans="1:12" s="49" customFormat="1" ht="50" customHeight="1" x14ac:dyDescent="0.2">
      <c r="A61" s="57" t="s">
        <v>57</v>
      </c>
      <c r="B61" s="58" t="s">
        <v>446</v>
      </c>
      <c r="C61" s="52" t="str">
        <f t="shared" ref="C61:C66" si="5">IF(ELASTIC_LOAD_BALANCINGInUse="Yes","Yes","No")</f>
        <v>No</v>
      </c>
      <c r="D61" s="52" t="s">
        <v>447</v>
      </c>
      <c r="E61" s="52" t="s">
        <v>448</v>
      </c>
      <c r="F61" s="52" t="str">
        <f t="shared" si="4"/>
        <v>No</v>
      </c>
      <c r="G61" s="52" t="s">
        <v>12</v>
      </c>
      <c r="I61" s="52" t="s">
        <v>230</v>
      </c>
      <c r="J61" s="52" t="s">
        <v>31</v>
      </c>
      <c r="K61" s="52" t="s">
        <v>218</v>
      </c>
      <c r="L61" s="52" t="s">
        <v>4</v>
      </c>
    </row>
    <row r="62" spans="1:12" s="49" customFormat="1" ht="35" customHeight="1" x14ac:dyDescent="0.2">
      <c r="A62" s="57" t="s">
        <v>57</v>
      </c>
      <c r="B62" s="58" t="s">
        <v>449</v>
      </c>
      <c r="C62" s="52" t="str">
        <f t="shared" si="5"/>
        <v>No</v>
      </c>
      <c r="D62" s="52" t="s">
        <v>450</v>
      </c>
      <c r="E62" s="52" t="s">
        <v>451</v>
      </c>
      <c r="F62" s="52" t="str">
        <f t="shared" si="4"/>
        <v>No</v>
      </c>
      <c r="G62" s="52" t="s">
        <v>12</v>
      </c>
      <c r="I62" s="52" t="s">
        <v>217</v>
      </c>
      <c r="J62" s="52" t="s">
        <v>214</v>
      </c>
      <c r="K62" s="52" t="s">
        <v>218</v>
      </c>
      <c r="L62" s="52" t="s">
        <v>4</v>
      </c>
    </row>
    <row r="63" spans="1:12" s="49" customFormat="1" ht="65" customHeight="1" x14ac:dyDescent="0.2">
      <c r="A63" s="57" t="s">
        <v>57</v>
      </c>
      <c r="B63" s="58" t="s">
        <v>452</v>
      </c>
      <c r="C63" s="52" t="str">
        <f t="shared" si="5"/>
        <v>No</v>
      </c>
      <c r="D63" s="52" t="s">
        <v>453</v>
      </c>
      <c r="E63" s="52" t="s">
        <v>454</v>
      </c>
      <c r="F63" s="52" t="str">
        <f t="shared" si="4"/>
        <v>No</v>
      </c>
      <c r="G63" s="52" t="s">
        <v>12</v>
      </c>
      <c r="I63" s="52" t="s">
        <v>230</v>
      </c>
      <c r="J63" s="52" t="s">
        <v>31</v>
      </c>
      <c r="K63" s="52" t="s">
        <v>218</v>
      </c>
      <c r="L63" s="52" t="s">
        <v>4</v>
      </c>
    </row>
    <row r="64" spans="1:12" s="49" customFormat="1" ht="65" customHeight="1" x14ac:dyDescent="0.2">
      <c r="A64" s="57" t="s">
        <v>57</v>
      </c>
      <c r="B64" s="58" t="s">
        <v>455</v>
      </c>
      <c r="C64" s="52" t="str">
        <f t="shared" si="5"/>
        <v>No</v>
      </c>
      <c r="D64" s="52" t="s">
        <v>456</v>
      </c>
      <c r="E64" s="52" t="s">
        <v>457</v>
      </c>
      <c r="F64" s="52" t="str">
        <f t="shared" si="4"/>
        <v>No</v>
      </c>
      <c r="G64" s="52" t="s">
        <v>12</v>
      </c>
      <c r="I64" s="52" t="s">
        <v>230</v>
      </c>
      <c r="J64" s="52" t="s">
        <v>31</v>
      </c>
      <c r="K64" s="52" t="s">
        <v>218</v>
      </c>
      <c r="L64" s="52" t="s">
        <v>4</v>
      </c>
    </row>
    <row r="65" spans="1:12" s="49" customFormat="1" ht="35" customHeight="1" x14ac:dyDescent="0.2">
      <c r="A65" s="57" t="s">
        <v>57</v>
      </c>
      <c r="B65" s="58" t="s">
        <v>458</v>
      </c>
      <c r="C65" s="52" t="str">
        <f t="shared" si="5"/>
        <v>No</v>
      </c>
      <c r="D65" s="52" t="s">
        <v>459</v>
      </c>
      <c r="E65" s="52" t="s">
        <v>460</v>
      </c>
      <c r="F65" s="52" t="str">
        <f t="shared" si="4"/>
        <v>No</v>
      </c>
      <c r="G65" s="52" t="s">
        <v>12</v>
      </c>
      <c r="I65" s="52" t="s">
        <v>217</v>
      </c>
      <c r="J65" s="52" t="s">
        <v>214</v>
      </c>
      <c r="K65" s="52" t="s">
        <v>218</v>
      </c>
      <c r="L65" s="52" t="s">
        <v>4</v>
      </c>
    </row>
    <row r="66" spans="1:12" s="49" customFormat="1" ht="35" customHeight="1" x14ac:dyDescent="0.2">
      <c r="A66" s="57" t="s">
        <v>57</v>
      </c>
      <c r="B66" s="58" t="s">
        <v>461</v>
      </c>
      <c r="C66" s="52" t="str">
        <f t="shared" si="5"/>
        <v>No</v>
      </c>
      <c r="D66" s="52" t="s">
        <v>462</v>
      </c>
      <c r="E66" s="52" t="s">
        <v>463</v>
      </c>
      <c r="F66" s="52" t="str">
        <f t="shared" ref="F66" si="6">IF(AND(C66="Yes",G66="-"), "Yes", "No")</f>
        <v>No</v>
      </c>
      <c r="G66" s="52" t="s">
        <v>12</v>
      </c>
      <c r="I66" s="52" t="s">
        <v>217</v>
      </c>
      <c r="J66" s="52" t="s">
        <v>214</v>
      </c>
      <c r="K66" s="52" t="s">
        <v>218</v>
      </c>
      <c r="L66" s="52" t="s">
        <v>4</v>
      </c>
    </row>
  </sheetData>
  <autoFilter ref="A1:L1" xr:uid="{00000000-0009-0000-0000-000005000000}"/>
  <dataValidations count="2">
    <dataValidation type="list" sqref="G2:G66" xr:uid="{00000000-0002-0000-0500-000000000000}">
      <formula1>"-,Yes,No; explanation in comments"</formula1>
    </dataValidation>
    <dataValidation type="list" sqref="K2:K66" xr:uid="{00000000-0002-0000-05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500-000001000000}">
            <xm:f>NOT(ISERROR(SEARCH("Yes",F2)))</xm:f>
            <x14:dxf>
              <font>
                <color rgb="FF9C6500"/>
              </font>
              <fill>
                <patternFill patternType="solid">
                  <bgColor rgb="FFFFEB9C"/>
                </patternFill>
              </fill>
            </x14:dxf>
          </x14:cfRule>
          <xm:sqref>F2:F66</xm:sqref>
        </x14:conditionalFormatting>
        <x14:conditionalFormatting xmlns:xm="http://schemas.microsoft.com/office/excel/2006/main">
          <x14:cfRule type="containsText" priority="2" operator="containsText" id="{00000000-000E-0000-0500-000002000000}">
            <xm:f>NOT(ISERROR(SEARCH("Yes",G2)))</xm:f>
            <x14:dxf>
              <font>
                <color rgb="FF006100"/>
              </font>
              <fill>
                <patternFill patternType="solid">
                  <bgColor rgb="FFC6EFCE"/>
                </patternFill>
              </fill>
            </x14:dxf>
          </x14:cfRule>
          <x14:cfRule type="containsText" priority="2" operator="containsText" id="{00000000-000E-0000-0500-000002000000}">
            <xm:f>NOT(ISERROR(SEARCH("No; explanation in comments",G2)))</xm:f>
            <x14:dxf>
              <font>
                <color rgb="FF9C0006"/>
              </font>
              <fill>
                <patternFill patternType="solid">
                  <bgColor rgb="FFFFC7CE"/>
                </patternFill>
              </fill>
            </x14:dxf>
          </x14:cfRule>
          <xm:sqref>G2:G66</xm:sqref>
        </x14:conditionalFormatting>
        <x14:conditionalFormatting xmlns:xm="http://schemas.microsoft.com/office/excel/2006/main">
          <x14:cfRule type="containsText" priority="3" operator="containsText" id="{00000000-000E-0000-0500-000003000000}">
            <xm:f>NOT(ISERROR(SEARCH("Yes",J2)))</xm:f>
            <x14:dxf>
              <font>
                <b/>
                <i/>
                <color rgb="FF403151"/>
              </font>
              <fill>
                <patternFill patternType="solid">
                  <bgColor rgb="FFCCC0DA"/>
                </patternFill>
              </fill>
            </x14:dxf>
          </x14:cfRule>
          <xm:sqref>J2:J66</xm:sqref>
        </x14:conditionalFormatting>
        <x14:conditionalFormatting xmlns:xm="http://schemas.microsoft.com/office/excel/2006/main">
          <x14:cfRule type="containsText" priority="4" operator="containsText" id="{00000000-000E-0000-0500-000004000000}">
            <xm:f>NOT(ISERROR(SEARCH("Mitigated",K2)))</xm:f>
            <x14:dxf>
              <font>
                <color rgb="FF006100"/>
              </font>
              <fill>
                <patternFill patternType="solid">
                  <bgColor rgb="FFC6EFCE"/>
                </patternFill>
              </fill>
            </x14:dxf>
          </x14:cfRule>
          <x14:cfRule type="containsText" priority="4" operator="containsText" id="{00000000-000E-0000-0500-000004000000}">
            <xm:f>NOT(ISERROR(SEARCH("Not Mitigated",K2)))</xm:f>
            <x14:dxf>
              <font>
                <color rgb="FF9C0006"/>
              </font>
              <fill>
                <patternFill patternType="solid">
                  <bgColor rgb="FFFFC7CE"/>
                </patternFill>
              </fill>
            </x14:dxf>
          </x14:cfRule>
          <xm:sqref>K2:K66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pane ySplit="1" topLeftCell="A2" activePane="bottomLeft" state="frozen"/>
      <selection pane="bottomLeft"/>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35" customHeight="1" x14ac:dyDescent="0.2">
      <c r="A2" s="61" t="s">
        <v>61</v>
      </c>
      <c r="B2" s="62" t="s">
        <v>464</v>
      </c>
      <c r="C2" s="52" t="str">
        <f t="shared" ref="C2:C12" si="0">IF(AMAZON_S3InUse="Yes","Yes","No")</f>
        <v>No</v>
      </c>
      <c r="D2" s="52" t="s">
        <v>465</v>
      </c>
      <c r="E2" s="52" t="s">
        <v>466</v>
      </c>
      <c r="F2" s="52" t="str">
        <f t="shared" ref="F2:F29" si="1">IF(AND(C2="Yes",G2="-"), "Yes", "No")</f>
        <v>No</v>
      </c>
      <c r="G2" s="52" t="s">
        <v>12</v>
      </c>
      <c r="I2" s="52" t="s">
        <v>230</v>
      </c>
      <c r="J2" s="52" t="s">
        <v>31</v>
      </c>
      <c r="K2" s="52" t="s">
        <v>218</v>
      </c>
      <c r="L2" s="52" t="s">
        <v>4</v>
      </c>
      <c r="T2" s="52" t="s">
        <v>6</v>
      </c>
      <c r="U2" s="52">
        <f>COUNTIFS(C2:C29,"Yes")</f>
        <v>0</v>
      </c>
    </row>
    <row r="3" spans="1:21" s="49" customFormat="1" ht="20" customHeight="1" x14ac:dyDescent="0.2">
      <c r="A3" s="61" t="s">
        <v>61</v>
      </c>
      <c r="B3" s="62" t="s">
        <v>467</v>
      </c>
      <c r="C3" s="52" t="str">
        <f t="shared" si="0"/>
        <v>No</v>
      </c>
      <c r="D3" s="52" t="s">
        <v>468</v>
      </c>
      <c r="E3" s="52" t="s">
        <v>469</v>
      </c>
      <c r="F3" s="52" t="str">
        <f t="shared" si="1"/>
        <v>No</v>
      </c>
      <c r="G3" s="52" t="s">
        <v>12</v>
      </c>
      <c r="I3" s="52" t="s">
        <v>230</v>
      </c>
      <c r="J3" s="52" t="s">
        <v>31</v>
      </c>
      <c r="K3" s="52" t="s">
        <v>218</v>
      </c>
      <c r="L3" s="52" t="s">
        <v>4</v>
      </c>
      <c r="T3" s="52" t="s">
        <v>33</v>
      </c>
      <c r="U3" s="52">
        <f>COUNTIF(G2:G29, "&lt;&gt;-")</f>
        <v>0</v>
      </c>
    </row>
    <row r="4" spans="1:21" s="49" customFormat="1" ht="20" customHeight="1" x14ac:dyDescent="0.2">
      <c r="A4" s="61" t="s">
        <v>61</v>
      </c>
      <c r="B4" s="62" t="s">
        <v>470</v>
      </c>
      <c r="C4" s="52" t="str">
        <f t="shared" si="0"/>
        <v>No</v>
      </c>
      <c r="D4" s="52" t="s">
        <v>471</v>
      </c>
      <c r="E4" s="52" t="s">
        <v>472</v>
      </c>
      <c r="F4" s="52" t="str">
        <f t="shared" si="1"/>
        <v>No</v>
      </c>
      <c r="G4" s="52" t="s">
        <v>12</v>
      </c>
      <c r="I4" s="52" t="s">
        <v>217</v>
      </c>
      <c r="J4" s="52" t="s">
        <v>214</v>
      </c>
      <c r="K4" s="52" t="s">
        <v>218</v>
      </c>
      <c r="L4" s="52" t="s">
        <v>4</v>
      </c>
      <c r="T4" s="52" t="s">
        <v>225</v>
      </c>
      <c r="U4" s="52">
        <f>COUNTIF(G2:G29, "No; explanation in comments")</f>
        <v>0</v>
      </c>
    </row>
    <row r="5" spans="1:21" s="49" customFormat="1" ht="50" customHeight="1" x14ac:dyDescent="0.2">
      <c r="A5" s="61" t="s">
        <v>61</v>
      </c>
      <c r="B5" s="62" t="s">
        <v>473</v>
      </c>
      <c r="C5" s="52" t="str">
        <f t="shared" si="0"/>
        <v>No</v>
      </c>
      <c r="D5" s="52" t="s">
        <v>474</v>
      </c>
      <c r="E5" s="52" t="s">
        <v>475</v>
      </c>
      <c r="F5" s="52" t="str">
        <f t="shared" si="1"/>
        <v>No</v>
      </c>
      <c r="G5" s="52" t="s">
        <v>12</v>
      </c>
      <c r="I5" s="52" t="s">
        <v>230</v>
      </c>
      <c r="J5" s="52" t="s">
        <v>31</v>
      </c>
      <c r="K5" s="52" t="s">
        <v>218</v>
      </c>
      <c r="L5" s="52" t="s">
        <v>4</v>
      </c>
      <c r="T5" s="52" t="s">
        <v>7</v>
      </c>
      <c r="U5" s="52">
        <f>COUNTIF(K2:K29, "Mitigated")</f>
        <v>0</v>
      </c>
    </row>
    <row r="6" spans="1:21" s="49" customFormat="1" ht="35" customHeight="1" x14ac:dyDescent="0.2">
      <c r="A6" s="61" t="s">
        <v>61</v>
      </c>
      <c r="B6" s="62" t="s">
        <v>476</v>
      </c>
      <c r="C6" s="52" t="str">
        <f t="shared" si="0"/>
        <v>No</v>
      </c>
      <c r="D6" s="52" t="s">
        <v>477</v>
      </c>
      <c r="E6" s="52" t="s">
        <v>478</v>
      </c>
      <c r="F6" s="52" t="str">
        <f t="shared" si="1"/>
        <v>No</v>
      </c>
      <c r="G6" s="52" t="s">
        <v>12</v>
      </c>
      <c r="I6" s="52" t="s">
        <v>217</v>
      </c>
      <c r="J6" s="52" t="s">
        <v>214</v>
      </c>
      <c r="K6" s="52" t="s">
        <v>218</v>
      </c>
      <c r="L6" s="52" t="s">
        <v>4</v>
      </c>
      <c r="T6" s="52" t="s">
        <v>8</v>
      </c>
      <c r="U6" s="52">
        <f>COUNTIF(K2:K29, "Not Mitigated")</f>
        <v>0</v>
      </c>
    </row>
    <row r="7" spans="1:21" s="49" customFormat="1" ht="35" customHeight="1" x14ac:dyDescent="0.2">
      <c r="A7" s="61" t="s">
        <v>61</v>
      </c>
      <c r="B7" s="62" t="s">
        <v>479</v>
      </c>
      <c r="C7" s="52" t="str">
        <f t="shared" si="0"/>
        <v>No</v>
      </c>
      <c r="D7" s="52" t="s">
        <v>480</v>
      </c>
      <c r="E7" s="52" t="s">
        <v>481</v>
      </c>
      <c r="F7" s="52" t="str">
        <f t="shared" si="1"/>
        <v>No</v>
      </c>
      <c r="G7" s="52" t="s">
        <v>12</v>
      </c>
      <c r="I7" s="52" t="s">
        <v>230</v>
      </c>
      <c r="J7" s="52" t="s">
        <v>31</v>
      </c>
      <c r="K7" s="52" t="s">
        <v>218</v>
      </c>
      <c r="L7" s="52" t="s">
        <v>4</v>
      </c>
    </row>
    <row r="8" spans="1:21" s="49" customFormat="1" ht="35" customHeight="1" x14ac:dyDescent="0.2">
      <c r="A8" s="61" t="s">
        <v>61</v>
      </c>
      <c r="B8" s="62" t="s">
        <v>482</v>
      </c>
      <c r="C8" s="52" t="str">
        <f t="shared" si="0"/>
        <v>No</v>
      </c>
      <c r="D8" s="52" t="s">
        <v>483</v>
      </c>
      <c r="E8" s="52" t="s">
        <v>484</v>
      </c>
      <c r="F8" s="52" t="str">
        <f t="shared" si="1"/>
        <v>No</v>
      </c>
      <c r="G8" s="52" t="s">
        <v>12</v>
      </c>
      <c r="I8" s="52" t="s">
        <v>230</v>
      </c>
      <c r="J8" s="52" t="s">
        <v>31</v>
      </c>
      <c r="K8" s="52" t="s">
        <v>218</v>
      </c>
      <c r="L8" s="52" t="s">
        <v>4</v>
      </c>
    </row>
    <row r="9" spans="1:21" s="49" customFormat="1" ht="20" customHeight="1" x14ac:dyDescent="0.2">
      <c r="A9" s="61" t="s">
        <v>61</v>
      </c>
      <c r="B9" s="62" t="s">
        <v>485</v>
      </c>
      <c r="C9" s="52" t="str">
        <f t="shared" si="0"/>
        <v>No</v>
      </c>
      <c r="D9" s="52" t="s">
        <v>486</v>
      </c>
      <c r="E9" s="52" t="s">
        <v>487</v>
      </c>
      <c r="F9" s="52" t="str">
        <f t="shared" si="1"/>
        <v>No</v>
      </c>
      <c r="G9" s="52" t="s">
        <v>12</v>
      </c>
      <c r="I9" s="52" t="s">
        <v>230</v>
      </c>
      <c r="J9" s="52" t="s">
        <v>31</v>
      </c>
      <c r="K9" s="52" t="s">
        <v>218</v>
      </c>
      <c r="L9" s="52" t="s">
        <v>4</v>
      </c>
    </row>
    <row r="10" spans="1:21" s="49" customFormat="1" ht="65" customHeight="1" x14ac:dyDescent="0.2">
      <c r="A10" s="61" t="s">
        <v>61</v>
      </c>
      <c r="B10" s="62" t="s">
        <v>488</v>
      </c>
      <c r="C10" s="52" t="str">
        <f t="shared" si="0"/>
        <v>No</v>
      </c>
      <c r="D10" s="52" t="s">
        <v>489</v>
      </c>
      <c r="E10" s="52" t="s">
        <v>490</v>
      </c>
      <c r="F10" s="52" t="str">
        <f t="shared" si="1"/>
        <v>No</v>
      </c>
      <c r="G10" s="52" t="s">
        <v>12</v>
      </c>
      <c r="I10" s="52" t="s">
        <v>217</v>
      </c>
      <c r="J10" s="52" t="s">
        <v>214</v>
      </c>
      <c r="K10" s="52" t="s">
        <v>218</v>
      </c>
      <c r="L10" s="52" t="s">
        <v>4</v>
      </c>
    </row>
    <row r="11" spans="1:21" s="49" customFormat="1" ht="35" customHeight="1" x14ac:dyDescent="0.2">
      <c r="A11" s="61" t="s">
        <v>61</v>
      </c>
      <c r="B11" s="62" t="s">
        <v>491</v>
      </c>
      <c r="C11" s="52" t="str">
        <f t="shared" si="0"/>
        <v>No</v>
      </c>
      <c r="D11" s="52" t="s">
        <v>492</v>
      </c>
      <c r="E11" s="52" t="s">
        <v>493</v>
      </c>
      <c r="F11" s="52" t="str">
        <f t="shared" si="1"/>
        <v>No</v>
      </c>
      <c r="G11" s="52" t="s">
        <v>12</v>
      </c>
      <c r="I11" s="52" t="s">
        <v>230</v>
      </c>
      <c r="J11" s="52" t="s">
        <v>31</v>
      </c>
      <c r="K11" s="52" t="s">
        <v>218</v>
      </c>
      <c r="L11" s="52" t="s">
        <v>4</v>
      </c>
    </row>
    <row r="12" spans="1:21" s="49" customFormat="1" ht="65" customHeight="1" x14ac:dyDescent="0.2">
      <c r="A12" s="61" t="s">
        <v>61</v>
      </c>
      <c r="B12" s="62" t="s">
        <v>494</v>
      </c>
      <c r="C12" s="52" t="str">
        <f t="shared" si="0"/>
        <v>No</v>
      </c>
      <c r="D12" s="52" t="s">
        <v>495</v>
      </c>
      <c r="E12" s="52" t="s">
        <v>496</v>
      </c>
      <c r="F12" s="52" t="str">
        <f t="shared" si="1"/>
        <v>No</v>
      </c>
      <c r="G12" s="52" t="s">
        <v>12</v>
      </c>
      <c r="I12" s="52" t="s">
        <v>217</v>
      </c>
      <c r="J12" s="52" t="s">
        <v>214</v>
      </c>
      <c r="K12" s="52" t="s">
        <v>218</v>
      </c>
      <c r="L12" s="52" t="s">
        <v>4</v>
      </c>
    </row>
    <row r="13" spans="1:21" s="49" customFormat="1" ht="65" customHeight="1" x14ac:dyDescent="0.2">
      <c r="A13" s="63" t="s">
        <v>65</v>
      </c>
      <c r="B13" s="64" t="s">
        <v>497</v>
      </c>
      <c r="C13" s="52" t="str">
        <f t="shared" ref="C13:C22" si="2">IF(EFSInUse="Yes","Yes","No")</f>
        <v>No</v>
      </c>
      <c r="D13" s="52" t="s">
        <v>498</v>
      </c>
      <c r="E13" s="52" t="s">
        <v>499</v>
      </c>
      <c r="F13" s="52" t="str">
        <f t="shared" si="1"/>
        <v>No</v>
      </c>
      <c r="G13" s="52" t="s">
        <v>12</v>
      </c>
      <c r="I13" s="52" t="s">
        <v>217</v>
      </c>
      <c r="J13" s="52" t="s">
        <v>214</v>
      </c>
      <c r="K13" s="52" t="s">
        <v>218</v>
      </c>
      <c r="L13" s="52" t="s">
        <v>4</v>
      </c>
    </row>
    <row r="14" spans="1:21" s="49" customFormat="1" ht="35" customHeight="1" x14ac:dyDescent="0.2">
      <c r="A14" s="63" t="s">
        <v>65</v>
      </c>
      <c r="B14" s="64" t="s">
        <v>500</v>
      </c>
      <c r="C14" s="52" t="str">
        <f t="shared" si="2"/>
        <v>No</v>
      </c>
      <c r="D14" s="52" t="s">
        <v>501</v>
      </c>
      <c r="E14" s="52" t="s">
        <v>502</v>
      </c>
      <c r="F14" s="52" t="str">
        <f t="shared" si="1"/>
        <v>No</v>
      </c>
      <c r="G14" s="52" t="s">
        <v>12</v>
      </c>
      <c r="I14" s="52" t="s">
        <v>217</v>
      </c>
      <c r="J14" s="52" t="s">
        <v>214</v>
      </c>
      <c r="K14" s="52" t="s">
        <v>218</v>
      </c>
      <c r="L14" s="52" t="s">
        <v>4</v>
      </c>
    </row>
    <row r="15" spans="1:21" s="49" customFormat="1" ht="35" customHeight="1" x14ac:dyDescent="0.2">
      <c r="A15" s="63" t="s">
        <v>65</v>
      </c>
      <c r="B15" s="64" t="s">
        <v>503</v>
      </c>
      <c r="C15" s="52" t="str">
        <f t="shared" si="2"/>
        <v>No</v>
      </c>
      <c r="D15" s="52" t="s">
        <v>504</v>
      </c>
      <c r="E15" s="52" t="s">
        <v>505</v>
      </c>
      <c r="F15" s="52" t="str">
        <f t="shared" si="1"/>
        <v>No</v>
      </c>
      <c r="G15" s="52" t="s">
        <v>12</v>
      </c>
      <c r="I15" s="52" t="s">
        <v>230</v>
      </c>
      <c r="J15" s="52" t="s">
        <v>31</v>
      </c>
      <c r="K15" s="52" t="s">
        <v>218</v>
      </c>
      <c r="L15" s="52" t="s">
        <v>4</v>
      </c>
    </row>
    <row r="16" spans="1:21" s="49" customFormat="1" ht="50" customHeight="1" x14ac:dyDescent="0.2">
      <c r="A16" s="63" t="s">
        <v>65</v>
      </c>
      <c r="B16" s="64" t="s">
        <v>506</v>
      </c>
      <c r="C16" s="52" t="str">
        <f t="shared" si="2"/>
        <v>No</v>
      </c>
      <c r="D16" s="52" t="s">
        <v>507</v>
      </c>
      <c r="E16" s="52" t="s">
        <v>508</v>
      </c>
      <c r="F16" s="52" t="str">
        <f t="shared" si="1"/>
        <v>No</v>
      </c>
      <c r="G16" s="52" t="s">
        <v>12</v>
      </c>
      <c r="I16" s="52" t="s">
        <v>230</v>
      </c>
      <c r="J16" s="52" t="s">
        <v>31</v>
      </c>
      <c r="K16" s="52" t="s">
        <v>218</v>
      </c>
      <c r="L16" s="52" t="s">
        <v>4</v>
      </c>
    </row>
    <row r="17" spans="1:12" s="49" customFormat="1" ht="65" customHeight="1" x14ac:dyDescent="0.2">
      <c r="A17" s="63" t="s">
        <v>65</v>
      </c>
      <c r="B17" s="64" t="s">
        <v>509</v>
      </c>
      <c r="C17" s="52" t="str">
        <f t="shared" si="2"/>
        <v>No</v>
      </c>
      <c r="D17" s="52" t="s">
        <v>510</v>
      </c>
      <c r="E17" s="52" t="s">
        <v>511</v>
      </c>
      <c r="F17" s="52" t="str">
        <f t="shared" si="1"/>
        <v>No</v>
      </c>
      <c r="G17" s="52" t="s">
        <v>12</v>
      </c>
      <c r="I17" s="52" t="s">
        <v>230</v>
      </c>
      <c r="J17" s="52" t="s">
        <v>31</v>
      </c>
      <c r="K17" s="52" t="s">
        <v>218</v>
      </c>
      <c r="L17" s="52" t="s">
        <v>4</v>
      </c>
    </row>
    <row r="18" spans="1:12" s="49" customFormat="1" ht="35" customHeight="1" x14ac:dyDescent="0.2">
      <c r="A18" s="63" t="s">
        <v>65</v>
      </c>
      <c r="B18" s="64" t="s">
        <v>512</v>
      </c>
      <c r="C18" s="52" t="str">
        <f t="shared" si="2"/>
        <v>No</v>
      </c>
      <c r="D18" s="52" t="s">
        <v>513</v>
      </c>
      <c r="E18" s="52" t="s">
        <v>514</v>
      </c>
      <c r="F18" s="52" t="str">
        <f t="shared" si="1"/>
        <v>No</v>
      </c>
      <c r="G18" s="52" t="s">
        <v>12</v>
      </c>
      <c r="I18" s="52" t="s">
        <v>230</v>
      </c>
      <c r="J18" s="52" t="s">
        <v>31</v>
      </c>
      <c r="K18" s="52" t="s">
        <v>218</v>
      </c>
      <c r="L18" s="52" t="s">
        <v>4</v>
      </c>
    </row>
    <row r="19" spans="1:12" s="49" customFormat="1" ht="20" customHeight="1" x14ac:dyDescent="0.2">
      <c r="A19" s="63" t="s">
        <v>65</v>
      </c>
      <c r="B19" s="64" t="s">
        <v>515</v>
      </c>
      <c r="C19" s="52" t="str">
        <f t="shared" si="2"/>
        <v>No</v>
      </c>
      <c r="D19" s="52" t="s">
        <v>516</v>
      </c>
      <c r="E19" s="52" t="s">
        <v>517</v>
      </c>
      <c r="F19" s="52" t="str">
        <f t="shared" si="1"/>
        <v>No</v>
      </c>
      <c r="G19" s="52" t="s">
        <v>12</v>
      </c>
      <c r="I19" s="52" t="s">
        <v>230</v>
      </c>
      <c r="J19" s="52" t="s">
        <v>31</v>
      </c>
      <c r="K19" s="52" t="s">
        <v>218</v>
      </c>
      <c r="L19" s="52" t="s">
        <v>4</v>
      </c>
    </row>
    <row r="20" spans="1:12" s="49" customFormat="1" ht="35" customHeight="1" x14ac:dyDescent="0.2">
      <c r="A20" s="63" t="s">
        <v>65</v>
      </c>
      <c r="B20" s="64" t="s">
        <v>518</v>
      </c>
      <c r="C20" s="52" t="str">
        <f t="shared" si="2"/>
        <v>No</v>
      </c>
      <c r="D20" s="52" t="s">
        <v>519</v>
      </c>
      <c r="E20" s="52" t="s">
        <v>520</v>
      </c>
      <c r="F20" s="52" t="str">
        <f t="shared" si="1"/>
        <v>No</v>
      </c>
      <c r="G20" s="52" t="s">
        <v>12</v>
      </c>
      <c r="I20" s="52" t="s">
        <v>230</v>
      </c>
      <c r="J20" s="52" t="s">
        <v>31</v>
      </c>
      <c r="K20" s="52" t="s">
        <v>218</v>
      </c>
      <c r="L20" s="52" t="s">
        <v>4</v>
      </c>
    </row>
    <row r="21" spans="1:12" s="49" customFormat="1" ht="35" customHeight="1" x14ac:dyDescent="0.2">
      <c r="A21" s="63" t="s">
        <v>65</v>
      </c>
      <c r="B21" s="64" t="s">
        <v>521</v>
      </c>
      <c r="C21" s="52" t="str">
        <f t="shared" si="2"/>
        <v>No</v>
      </c>
      <c r="D21" s="52" t="s">
        <v>522</v>
      </c>
      <c r="E21" s="52" t="s">
        <v>523</v>
      </c>
      <c r="F21" s="52" t="str">
        <f t="shared" si="1"/>
        <v>No</v>
      </c>
      <c r="G21" s="52" t="s">
        <v>12</v>
      </c>
      <c r="I21" s="52" t="s">
        <v>217</v>
      </c>
      <c r="J21" s="52" t="s">
        <v>214</v>
      </c>
      <c r="K21" s="52" t="s">
        <v>218</v>
      </c>
      <c r="L21" s="52" t="s">
        <v>4</v>
      </c>
    </row>
    <row r="22" spans="1:12" s="49" customFormat="1" ht="50" customHeight="1" x14ac:dyDescent="0.2">
      <c r="A22" s="63" t="s">
        <v>65</v>
      </c>
      <c r="B22" s="64" t="s">
        <v>524</v>
      </c>
      <c r="C22" s="52" t="str">
        <f t="shared" si="2"/>
        <v>No</v>
      </c>
      <c r="D22" s="52" t="s">
        <v>525</v>
      </c>
      <c r="E22" s="52" t="s">
        <v>526</v>
      </c>
      <c r="F22" s="52" t="str">
        <f t="shared" si="1"/>
        <v>No</v>
      </c>
      <c r="G22" s="52" t="s">
        <v>12</v>
      </c>
      <c r="I22" s="52" t="s">
        <v>217</v>
      </c>
      <c r="J22" s="52" t="s">
        <v>214</v>
      </c>
      <c r="K22" s="52" t="s">
        <v>218</v>
      </c>
      <c r="L22" s="52" t="s">
        <v>4</v>
      </c>
    </row>
    <row r="23" spans="1:12" s="49" customFormat="1" ht="50" customHeight="1" x14ac:dyDescent="0.2">
      <c r="A23" s="61" t="s">
        <v>69</v>
      </c>
      <c r="B23" s="62" t="s">
        <v>527</v>
      </c>
      <c r="C23" s="52" t="str">
        <f>IF(FSXInUse="Yes","Yes","No")</f>
        <v>No</v>
      </c>
      <c r="D23" s="52" t="s">
        <v>528</v>
      </c>
      <c r="E23" s="52" t="s">
        <v>529</v>
      </c>
      <c r="F23" s="52" t="str">
        <f t="shared" si="1"/>
        <v>No</v>
      </c>
      <c r="G23" s="52" t="s">
        <v>12</v>
      </c>
      <c r="I23" s="52" t="s">
        <v>217</v>
      </c>
      <c r="J23" s="52" t="s">
        <v>214</v>
      </c>
      <c r="K23" s="52" t="s">
        <v>218</v>
      </c>
      <c r="L23" s="52" t="s">
        <v>4</v>
      </c>
    </row>
    <row r="24" spans="1:12" s="49" customFormat="1" ht="35" customHeight="1" x14ac:dyDescent="0.2">
      <c r="A24" s="61" t="s">
        <v>69</v>
      </c>
      <c r="B24" s="62" t="s">
        <v>530</v>
      </c>
      <c r="C24" s="52" t="str">
        <f>IF(FSXInUse="Yes","Yes","No")</f>
        <v>No</v>
      </c>
      <c r="D24" s="52" t="s">
        <v>531</v>
      </c>
      <c r="E24" s="52" t="s">
        <v>532</v>
      </c>
      <c r="F24" s="52" t="str">
        <f t="shared" si="1"/>
        <v>No</v>
      </c>
      <c r="G24" s="52" t="s">
        <v>12</v>
      </c>
      <c r="I24" s="52" t="s">
        <v>230</v>
      </c>
      <c r="J24" s="52" t="s">
        <v>31</v>
      </c>
      <c r="K24" s="52" t="s">
        <v>218</v>
      </c>
      <c r="L24" s="52" t="s">
        <v>4</v>
      </c>
    </row>
    <row r="25" spans="1:12" s="49" customFormat="1" ht="50" customHeight="1" x14ac:dyDescent="0.2">
      <c r="A25" s="61" t="s">
        <v>69</v>
      </c>
      <c r="B25" s="62" t="s">
        <v>533</v>
      </c>
      <c r="C25" s="52" t="str">
        <f>IF(FSXInUse="Yes","Yes","No")</f>
        <v>No</v>
      </c>
      <c r="D25" s="52" t="s">
        <v>534</v>
      </c>
      <c r="E25" s="52" t="s">
        <v>535</v>
      </c>
      <c r="F25" s="52" t="str">
        <f t="shared" si="1"/>
        <v>No</v>
      </c>
      <c r="G25" s="52" t="s">
        <v>12</v>
      </c>
      <c r="I25" s="52" t="s">
        <v>230</v>
      </c>
      <c r="J25" s="52" t="s">
        <v>31</v>
      </c>
      <c r="K25" s="52" t="s">
        <v>218</v>
      </c>
      <c r="L25" s="52" t="s">
        <v>4</v>
      </c>
    </row>
    <row r="26" spans="1:12" s="49" customFormat="1" ht="50" customHeight="1" x14ac:dyDescent="0.2">
      <c r="A26" s="61" t="s">
        <v>69</v>
      </c>
      <c r="B26" s="62" t="s">
        <v>536</v>
      </c>
      <c r="C26" s="52" t="str">
        <f>IF(FSXInUse="Yes","Yes","No")</f>
        <v>No</v>
      </c>
      <c r="D26" s="52" t="s">
        <v>537</v>
      </c>
      <c r="E26" s="52" t="s">
        <v>538</v>
      </c>
      <c r="F26" s="52" t="str">
        <f t="shared" si="1"/>
        <v>No</v>
      </c>
      <c r="G26" s="52" t="s">
        <v>12</v>
      </c>
      <c r="I26" s="52" t="s">
        <v>230</v>
      </c>
      <c r="J26" s="52" t="s">
        <v>31</v>
      </c>
      <c r="K26" s="52" t="s">
        <v>218</v>
      </c>
      <c r="L26" s="52" t="s">
        <v>4</v>
      </c>
    </row>
    <row r="27" spans="1:12" s="49" customFormat="1" ht="50" customHeight="1" x14ac:dyDescent="0.2">
      <c r="A27" s="63" t="s">
        <v>72</v>
      </c>
      <c r="B27" s="64" t="s">
        <v>539</v>
      </c>
      <c r="C27" s="52" t="str">
        <f>IF(FSX_NInUse="Yes","Yes","No")</f>
        <v>No</v>
      </c>
      <c r="D27" s="52" t="s">
        <v>540</v>
      </c>
      <c r="E27" s="52" t="s">
        <v>541</v>
      </c>
      <c r="F27" s="52" t="str">
        <f t="shared" si="1"/>
        <v>No</v>
      </c>
      <c r="G27" s="52" t="s">
        <v>12</v>
      </c>
      <c r="I27" s="52" t="s">
        <v>217</v>
      </c>
      <c r="J27" s="52" t="s">
        <v>214</v>
      </c>
      <c r="K27" s="52" t="s">
        <v>218</v>
      </c>
      <c r="L27" s="52" t="s">
        <v>4</v>
      </c>
    </row>
    <row r="28" spans="1:12" s="49" customFormat="1" ht="50" customHeight="1" x14ac:dyDescent="0.2">
      <c r="A28" s="63" t="s">
        <v>72</v>
      </c>
      <c r="B28" s="64" t="s">
        <v>542</v>
      </c>
      <c r="C28" s="52" t="str">
        <f>IF(FSX_NInUse="Yes","Yes","No")</f>
        <v>No</v>
      </c>
      <c r="D28" s="52" t="s">
        <v>543</v>
      </c>
      <c r="E28" s="52" t="s">
        <v>544</v>
      </c>
      <c r="F28" s="52" t="str">
        <f t="shared" si="1"/>
        <v>No</v>
      </c>
      <c r="G28" s="52" t="s">
        <v>12</v>
      </c>
      <c r="I28" s="52" t="s">
        <v>217</v>
      </c>
      <c r="J28" s="52" t="s">
        <v>214</v>
      </c>
      <c r="K28" s="52" t="s">
        <v>218</v>
      </c>
      <c r="L28" s="52" t="s">
        <v>4</v>
      </c>
    </row>
    <row r="29" spans="1:12" s="49" customFormat="1" ht="35" customHeight="1" x14ac:dyDescent="0.2">
      <c r="A29" s="63" t="s">
        <v>72</v>
      </c>
      <c r="B29" s="64" t="s">
        <v>545</v>
      </c>
      <c r="C29" s="52" t="str">
        <f>IF(FSX_NInUse="Yes","Yes","No")</f>
        <v>No</v>
      </c>
      <c r="D29" s="52" t="s">
        <v>546</v>
      </c>
      <c r="E29" s="52" t="s">
        <v>547</v>
      </c>
      <c r="F29" s="52" t="str">
        <f t="shared" si="1"/>
        <v>No</v>
      </c>
      <c r="G29" s="52" t="s">
        <v>12</v>
      </c>
      <c r="I29" s="52" t="s">
        <v>230</v>
      </c>
      <c r="J29" s="52" t="s">
        <v>31</v>
      </c>
      <c r="K29" s="52" t="s">
        <v>218</v>
      </c>
      <c r="L29" s="52" t="s">
        <v>4</v>
      </c>
    </row>
  </sheetData>
  <autoFilter ref="A1:L1" xr:uid="{00000000-0009-0000-0000-000006000000}"/>
  <dataValidations count="2">
    <dataValidation type="list" sqref="G2:G29" xr:uid="{00000000-0002-0000-0600-000000000000}">
      <formula1>"-,Yes,No; explanation in comments"</formula1>
    </dataValidation>
    <dataValidation type="list" sqref="K2:K29" xr:uid="{00000000-0002-0000-06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600-000001000000}">
            <xm:f>NOT(ISERROR(SEARCH("Yes",F2)))</xm:f>
            <x14:dxf>
              <font>
                <color rgb="FF9C6500"/>
              </font>
              <fill>
                <patternFill patternType="solid">
                  <bgColor rgb="FFFFEB9C"/>
                </patternFill>
              </fill>
            </x14:dxf>
          </x14:cfRule>
          <xm:sqref>F2:F29</xm:sqref>
        </x14:conditionalFormatting>
        <x14:conditionalFormatting xmlns:xm="http://schemas.microsoft.com/office/excel/2006/main">
          <x14:cfRule type="containsText" priority="2" operator="containsText" id="{00000000-000E-0000-0600-000002000000}">
            <xm:f>NOT(ISERROR(SEARCH("Yes",G2)))</xm:f>
            <x14:dxf>
              <font>
                <color rgb="FF006100"/>
              </font>
              <fill>
                <patternFill patternType="solid">
                  <bgColor rgb="FFC6EFCE"/>
                </patternFill>
              </fill>
            </x14:dxf>
          </x14:cfRule>
          <x14:cfRule type="containsText" priority="2" operator="containsText" id="{00000000-000E-0000-0600-000002000000}">
            <xm:f>NOT(ISERROR(SEARCH("No; explanation in comments",G2)))</xm:f>
            <x14:dxf>
              <font>
                <color rgb="FF9C0006"/>
              </font>
              <fill>
                <patternFill patternType="solid">
                  <bgColor rgb="FFFFC7CE"/>
                </patternFill>
              </fill>
            </x14:dxf>
          </x14:cfRule>
          <xm:sqref>G2:G29</xm:sqref>
        </x14:conditionalFormatting>
        <x14:conditionalFormatting xmlns:xm="http://schemas.microsoft.com/office/excel/2006/main">
          <x14:cfRule type="containsText" priority="3" operator="containsText" id="{00000000-000E-0000-0600-000003000000}">
            <xm:f>NOT(ISERROR(SEARCH("Yes",J2)))</xm:f>
            <x14:dxf>
              <font>
                <b/>
                <i/>
                <color rgb="FF403151"/>
              </font>
              <fill>
                <patternFill patternType="solid">
                  <bgColor rgb="FFCCC0DA"/>
                </patternFill>
              </fill>
            </x14:dxf>
          </x14:cfRule>
          <xm:sqref>J2:J29</xm:sqref>
        </x14:conditionalFormatting>
        <x14:conditionalFormatting xmlns:xm="http://schemas.microsoft.com/office/excel/2006/main">
          <x14:cfRule type="containsText" priority="4" operator="containsText" id="{00000000-000E-0000-0600-000004000000}">
            <xm:f>NOT(ISERROR(SEARCH("Mitigated",K2)))</xm:f>
            <x14:dxf>
              <font>
                <color rgb="FF006100"/>
              </font>
              <fill>
                <patternFill patternType="solid">
                  <bgColor rgb="FFC6EFCE"/>
                </patternFill>
              </fill>
            </x14:dxf>
          </x14:cfRule>
          <x14:cfRule type="containsText" priority="4" operator="containsText" id="{00000000-000E-0000-0600-000004000000}">
            <xm:f>NOT(ISERROR(SEARCH("Not Mitigated",K2)))</xm:f>
            <x14:dxf>
              <font>
                <color rgb="FF9C0006"/>
              </font>
              <fill>
                <patternFill patternType="solid">
                  <bgColor rgb="FFFFC7CE"/>
                </patternFill>
              </fill>
            </x14:dxf>
          </x14:cfRule>
          <xm:sqref>K2:K29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1"/>
  <sheetViews>
    <sheetView workbookViewId="0">
      <pane ySplit="1" topLeftCell="A2" activePane="bottomLeft" state="frozen"/>
      <selection pane="bottomLeft"/>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50" customHeight="1" x14ac:dyDescent="0.2">
      <c r="A2" s="65" t="s">
        <v>79</v>
      </c>
      <c r="B2" s="66" t="s">
        <v>548</v>
      </c>
      <c r="C2" s="52" t="str">
        <f t="shared" ref="C2:C15" si="0">IF(RDSInUse="Yes","Yes","No")</f>
        <v>No</v>
      </c>
      <c r="D2" s="52" t="s">
        <v>549</v>
      </c>
      <c r="E2" s="52" t="s">
        <v>550</v>
      </c>
      <c r="F2" s="52" t="str">
        <f t="shared" ref="F2:F33" si="1">IF(AND(C2="Yes",G2="-"), "Yes", "No")</f>
        <v>No</v>
      </c>
      <c r="G2" s="52" t="s">
        <v>12</v>
      </c>
      <c r="I2" s="52" t="s">
        <v>217</v>
      </c>
      <c r="J2" s="52" t="s">
        <v>214</v>
      </c>
      <c r="K2" s="52" t="s">
        <v>218</v>
      </c>
      <c r="L2" s="52" t="s">
        <v>4</v>
      </c>
      <c r="T2" s="52" t="s">
        <v>6</v>
      </c>
      <c r="U2" s="52">
        <f>COUNTIFS(C2:C51,"Yes")</f>
        <v>0</v>
      </c>
    </row>
    <row r="3" spans="1:21" s="49" customFormat="1" ht="50" customHeight="1" x14ac:dyDescent="0.2">
      <c r="A3" s="65" t="s">
        <v>79</v>
      </c>
      <c r="B3" s="66" t="s">
        <v>551</v>
      </c>
      <c r="C3" s="52" t="str">
        <f t="shared" si="0"/>
        <v>No</v>
      </c>
      <c r="D3" s="52" t="s">
        <v>552</v>
      </c>
      <c r="E3" s="52" t="s">
        <v>553</v>
      </c>
      <c r="F3" s="52" t="str">
        <f t="shared" si="1"/>
        <v>No</v>
      </c>
      <c r="G3" s="52" t="s">
        <v>12</v>
      </c>
      <c r="I3" s="52" t="s">
        <v>217</v>
      </c>
      <c r="J3" s="52" t="s">
        <v>214</v>
      </c>
      <c r="K3" s="52" t="s">
        <v>218</v>
      </c>
      <c r="L3" s="52" t="s">
        <v>4</v>
      </c>
      <c r="T3" s="52" t="s">
        <v>33</v>
      </c>
      <c r="U3" s="52">
        <f>COUNTIF(G2:G51, "&lt;&gt;-")</f>
        <v>0</v>
      </c>
    </row>
    <row r="4" spans="1:21" s="49" customFormat="1" ht="35" customHeight="1" x14ac:dyDescent="0.2">
      <c r="A4" s="65" t="s">
        <v>79</v>
      </c>
      <c r="B4" s="66" t="s">
        <v>554</v>
      </c>
      <c r="C4" s="52" t="str">
        <f t="shared" si="0"/>
        <v>No</v>
      </c>
      <c r="D4" s="52" t="s">
        <v>555</v>
      </c>
      <c r="E4" s="52" t="s">
        <v>556</v>
      </c>
      <c r="F4" s="52" t="str">
        <f t="shared" si="1"/>
        <v>No</v>
      </c>
      <c r="G4" s="52" t="s">
        <v>12</v>
      </c>
      <c r="I4" s="52" t="s">
        <v>217</v>
      </c>
      <c r="J4" s="52" t="s">
        <v>214</v>
      </c>
      <c r="K4" s="52" t="s">
        <v>218</v>
      </c>
      <c r="L4" s="52" t="s">
        <v>4</v>
      </c>
      <c r="T4" s="52" t="s">
        <v>225</v>
      </c>
      <c r="U4" s="52">
        <f>COUNTIF(G2:G51, "No; explanation in comments")</f>
        <v>0</v>
      </c>
    </row>
    <row r="5" spans="1:21" s="49" customFormat="1" ht="50" customHeight="1" x14ac:dyDescent="0.2">
      <c r="A5" s="65" t="s">
        <v>79</v>
      </c>
      <c r="B5" s="66" t="s">
        <v>557</v>
      </c>
      <c r="C5" s="52" t="str">
        <f t="shared" si="0"/>
        <v>No</v>
      </c>
      <c r="D5" s="52" t="s">
        <v>558</v>
      </c>
      <c r="E5" s="52" t="s">
        <v>559</v>
      </c>
      <c r="F5" s="52" t="str">
        <f t="shared" si="1"/>
        <v>No</v>
      </c>
      <c r="G5" s="52" t="s">
        <v>12</v>
      </c>
      <c r="I5" s="52" t="s">
        <v>230</v>
      </c>
      <c r="J5" s="52" t="s">
        <v>31</v>
      </c>
      <c r="K5" s="52" t="s">
        <v>218</v>
      </c>
      <c r="L5" s="52" t="s">
        <v>4</v>
      </c>
      <c r="T5" s="52" t="s">
        <v>7</v>
      </c>
      <c r="U5" s="52">
        <f>COUNTIF(K2:K51, "Mitigated")</f>
        <v>0</v>
      </c>
    </row>
    <row r="6" spans="1:21" s="49" customFormat="1" ht="50" customHeight="1" x14ac:dyDescent="0.2">
      <c r="A6" s="65" t="s">
        <v>79</v>
      </c>
      <c r="B6" s="66" t="s">
        <v>560</v>
      </c>
      <c r="C6" s="52" t="str">
        <f t="shared" si="0"/>
        <v>No</v>
      </c>
      <c r="D6" s="52" t="s">
        <v>561</v>
      </c>
      <c r="E6" s="52" t="s">
        <v>562</v>
      </c>
      <c r="F6" s="52" t="str">
        <f t="shared" si="1"/>
        <v>No</v>
      </c>
      <c r="G6" s="52" t="s">
        <v>12</v>
      </c>
      <c r="I6" s="52" t="s">
        <v>217</v>
      </c>
      <c r="J6" s="52" t="s">
        <v>214</v>
      </c>
      <c r="K6" s="52" t="s">
        <v>218</v>
      </c>
      <c r="L6" s="52" t="s">
        <v>4</v>
      </c>
      <c r="T6" s="52" t="s">
        <v>8</v>
      </c>
      <c r="U6" s="52">
        <f>COUNTIF(K2:K51, "Not Mitigated")</f>
        <v>0</v>
      </c>
    </row>
    <row r="7" spans="1:21" s="49" customFormat="1" ht="65" customHeight="1" x14ac:dyDescent="0.2">
      <c r="A7" s="65" t="s">
        <v>79</v>
      </c>
      <c r="B7" s="66" t="s">
        <v>563</v>
      </c>
      <c r="C7" s="52" t="str">
        <f t="shared" si="0"/>
        <v>No</v>
      </c>
      <c r="D7" s="52" t="s">
        <v>564</v>
      </c>
      <c r="E7" s="52" t="s">
        <v>565</v>
      </c>
      <c r="F7" s="52" t="str">
        <f t="shared" si="1"/>
        <v>No</v>
      </c>
      <c r="G7" s="52" t="s">
        <v>12</v>
      </c>
      <c r="I7" s="52" t="s">
        <v>217</v>
      </c>
      <c r="J7" s="52" t="s">
        <v>214</v>
      </c>
      <c r="K7" s="52" t="s">
        <v>218</v>
      </c>
      <c r="L7" s="52" t="s">
        <v>4</v>
      </c>
    </row>
    <row r="8" spans="1:21" s="49" customFormat="1" ht="80" customHeight="1" x14ac:dyDescent="0.2">
      <c r="A8" s="65" t="s">
        <v>79</v>
      </c>
      <c r="B8" s="66" t="s">
        <v>566</v>
      </c>
      <c r="C8" s="52" t="str">
        <f t="shared" si="0"/>
        <v>No</v>
      </c>
      <c r="D8" s="52" t="s">
        <v>567</v>
      </c>
      <c r="E8" s="52" t="s">
        <v>568</v>
      </c>
      <c r="F8" s="52" t="str">
        <f t="shared" si="1"/>
        <v>No</v>
      </c>
      <c r="G8" s="52" t="s">
        <v>12</v>
      </c>
      <c r="I8" s="52" t="s">
        <v>217</v>
      </c>
      <c r="J8" s="52" t="s">
        <v>214</v>
      </c>
      <c r="K8" s="52" t="s">
        <v>218</v>
      </c>
      <c r="L8" s="52" t="s">
        <v>4</v>
      </c>
    </row>
    <row r="9" spans="1:21" s="49" customFormat="1" ht="50" customHeight="1" x14ac:dyDescent="0.2">
      <c r="A9" s="65" t="s">
        <v>79</v>
      </c>
      <c r="B9" s="66" t="s">
        <v>569</v>
      </c>
      <c r="C9" s="52" t="str">
        <f t="shared" si="0"/>
        <v>No</v>
      </c>
      <c r="D9" s="52" t="s">
        <v>570</v>
      </c>
      <c r="E9" s="52" t="s">
        <v>571</v>
      </c>
      <c r="F9" s="52" t="str">
        <f t="shared" si="1"/>
        <v>No</v>
      </c>
      <c r="G9" s="52" t="s">
        <v>12</v>
      </c>
      <c r="I9" s="52" t="s">
        <v>217</v>
      </c>
      <c r="J9" s="52" t="s">
        <v>214</v>
      </c>
      <c r="K9" s="52" t="s">
        <v>218</v>
      </c>
      <c r="L9" s="52" t="s">
        <v>4</v>
      </c>
    </row>
    <row r="10" spans="1:21" s="49" customFormat="1" ht="20" customHeight="1" x14ac:dyDescent="0.2">
      <c r="A10" s="65" t="s">
        <v>79</v>
      </c>
      <c r="B10" s="66" t="s">
        <v>572</v>
      </c>
      <c r="C10" s="52" t="str">
        <f t="shared" si="0"/>
        <v>No</v>
      </c>
      <c r="D10" s="52" t="s">
        <v>573</v>
      </c>
      <c r="E10" s="52" t="s">
        <v>574</v>
      </c>
      <c r="F10" s="52" t="str">
        <f t="shared" si="1"/>
        <v>No</v>
      </c>
      <c r="G10" s="52" t="s">
        <v>12</v>
      </c>
      <c r="I10" s="52" t="s">
        <v>217</v>
      </c>
      <c r="J10" s="52" t="s">
        <v>214</v>
      </c>
      <c r="K10" s="52" t="s">
        <v>218</v>
      </c>
      <c r="L10" s="52" t="s">
        <v>4</v>
      </c>
    </row>
    <row r="11" spans="1:21" s="49" customFormat="1" ht="35" customHeight="1" x14ac:dyDescent="0.2">
      <c r="A11" s="65" t="s">
        <v>79</v>
      </c>
      <c r="B11" s="66" t="s">
        <v>575</v>
      </c>
      <c r="C11" s="52" t="str">
        <f t="shared" si="0"/>
        <v>No</v>
      </c>
      <c r="D11" s="52" t="s">
        <v>576</v>
      </c>
      <c r="E11" s="52" t="s">
        <v>577</v>
      </c>
      <c r="F11" s="52" t="str">
        <f t="shared" si="1"/>
        <v>No</v>
      </c>
      <c r="G11" s="52" t="s">
        <v>12</v>
      </c>
      <c r="I11" s="52" t="s">
        <v>217</v>
      </c>
      <c r="J11" s="52" t="s">
        <v>214</v>
      </c>
      <c r="K11" s="52" t="s">
        <v>218</v>
      </c>
      <c r="L11" s="52" t="s">
        <v>4</v>
      </c>
    </row>
    <row r="12" spans="1:21" s="49" customFormat="1" ht="50" customHeight="1" x14ac:dyDescent="0.2">
      <c r="A12" s="65" t="s">
        <v>79</v>
      </c>
      <c r="B12" s="66" t="s">
        <v>578</v>
      </c>
      <c r="C12" s="52" t="str">
        <f t="shared" si="0"/>
        <v>No</v>
      </c>
      <c r="D12" s="52" t="s">
        <v>579</v>
      </c>
      <c r="E12" s="52" t="s">
        <v>580</v>
      </c>
      <c r="F12" s="52" t="str">
        <f t="shared" si="1"/>
        <v>No</v>
      </c>
      <c r="G12" s="52" t="s">
        <v>12</v>
      </c>
      <c r="I12" s="52" t="s">
        <v>230</v>
      </c>
      <c r="J12" s="52" t="s">
        <v>31</v>
      </c>
      <c r="K12" s="52" t="s">
        <v>218</v>
      </c>
      <c r="L12" s="52" t="s">
        <v>4</v>
      </c>
    </row>
    <row r="13" spans="1:21" s="49" customFormat="1" ht="35" customHeight="1" x14ac:dyDescent="0.2">
      <c r="A13" s="65" t="s">
        <v>79</v>
      </c>
      <c r="B13" s="66" t="s">
        <v>581</v>
      </c>
      <c r="C13" s="52" t="str">
        <f t="shared" si="0"/>
        <v>No</v>
      </c>
      <c r="D13" s="52" t="s">
        <v>582</v>
      </c>
      <c r="E13" s="52" t="s">
        <v>583</v>
      </c>
      <c r="F13" s="52" t="str">
        <f t="shared" si="1"/>
        <v>No</v>
      </c>
      <c r="G13" s="52" t="s">
        <v>12</v>
      </c>
      <c r="I13" s="52" t="s">
        <v>217</v>
      </c>
      <c r="J13" s="52" t="s">
        <v>214</v>
      </c>
      <c r="K13" s="52" t="s">
        <v>218</v>
      </c>
      <c r="L13" s="52" t="s">
        <v>4</v>
      </c>
    </row>
    <row r="14" spans="1:21" s="49" customFormat="1" ht="50" customHeight="1" x14ac:dyDescent="0.2">
      <c r="A14" s="65" t="s">
        <v>79</v>
      </c>
      <c r="B14" s="66" t="s">
        <v>584</v>
      </c>
      <c r="C14" s="52" t="str">
        <f t="shared" si="0"/>
        <v>No</v>
      </c>
      <c r="D14" s="52" t="s">
        <v>585</v>
      </c>
      <c r="E14" s="52" t="s">
        <v>586</v>
      </c>
      <c r="F14" s="52" t="str">
        <f t="shared" si="1"/>
        <v>No</v>
      </c>
      <c r="G14" s="52" t="s">
        <v>12</v>
      </c>
      <c r="I14" s="52" t="s">
        <v>217</v>
      </c>
      <c r="J14" s="52" t="s">
        <v>214</v>
      </c>
      <c r="K14" s="52" t="s">
        <v>218</v>
      </c>
      <c r="L14" s="52" t="s">
        <v>4</v>
      </c>
    </row>
    <row r="15" spans="1:21" s="49" customFormat="1" ht="50" customHeight="1" x14ac:dyDescent="0.2">
      <c r="A15" s="65" t="s">
        <v>79</v>
      </c>
      <c r="B15" s="66" t="s">
        <v>587</v>
      </c>
      <c r="C15" s="52" t="str">
        <f t="shared" si="0"/>
        <v>No</v>
      </c>
      <c r="D15" s="52" t="s">
        <v>588</v>
      </c>
      <c r="E15" s="52" t="s">
        <v>589</v>
      </c>
      <c r="F15" s="52" t="str">
        <f t="shared" si="1"/>
        <v>No</v>
      </c>
      <c r="G15" s="52" t="s">
        <v>12</v>
      </c>
      <c r="I15" s="52" t="s">
        <v>217</v>
      </c>
      <c r="J15" s="52" t="s">
        <v>214</v>
      </c>
      <c r="K15" s="52" t="s">
        <v>218</v>
      </c>
      <c r="L15" s="52" t="s">
        <v>4</v>
      </c>
    </row>
    <row r="16" spans="1:21" s="49" customFormat="1" ht="50" customHeight="1" x14ac:dyDescent="0.2">
      <c r="A16" s="67" t="s">
        <v>83</v>
      </c>
      <c r="B16" s="68" t="s">
        <v>590</v>
      </c>
      <c r="C16" s="52" t="str">
        <f>IF(DYNAMO_DBInUse="Yes","Yes","No")</f>
        <v>No</v>
      </c>
      <c r="D16" s="52" t="s">
        <v>591</v>
      </c>
      <c r="E16" s="52" t="s">
        <v>592</v>
      </c>
      <c r="F16" s="52" t="str">
        <f t="shared" si="1"/>
        <v>No</v>
      </c>
      <c r="G16" s="52" t="s">
        <v>12</v>
      </c>
      <c r="I16" s="52" t="s">
        <v>230</v>
      </c>
      <c r="J16" s="52" t="s">
        <v>31</v>
      </c>
      <c r="K16" s="52" t="s">
        <v>218</v>
      </c>
      <c r="L16" s="52" t="s">
        <v>4</v>
      </c>
    </row>
    <row r="17" spans="1:12" s="49" customFormat="1" ht="95" customHeight="1" x14ac:dyDescent="0.2">
      <c r="A17" s="67" t="s">
        <v>83</v>
      </c>
      <c r="B17" s="68" t="s">
        <v>593</v>
      </c>
      <c r="C17" s="52" t="str">
        <f>IF(DYNAMO_DBInUse="Yes","Yes","No")</f>
        <v>No</v>
      </c>
      <c r="D17" s="52" t="s">
        <v>594</v>
      </c>
      <c r="E17" s="52" t="s">
        <v>595</v>
      </c>
      <c r="F17" s="52" t="str">
        <f t="shared" si="1"/>
        <v>No</v>
      </c>
      <c r="G17" s="52" t="s">
        <v>12</v>
      </c>
      <c r="I17" s="52" t="s">
        <v>230</v>
      </c>
      <c r="J17" s="52" t="s">
        <v>31</v>
      </c>
      <c r="K17" s="52" t="s">
        <v>218</v>
      </c>
      <c r="L17" s="52" t="s">
        <v>4</v>
      </c>
    </row>
    <row r="18" spans="1:12" s="49" customFormat="1" ht="50" customHeight="1" x14ac:dyDescent="0.2">
      <c r="A18" s="67" t="s">
        <v>83</v>
      </c>
      <c r="B18" s="68" t="s">
        <v>596</v>
      </c>
      <c r="C18" s="52" t="str">
        <f>IF(DYNAMO_DBInUse="Yes","Yes","No")</f>
        <v>No</v>
      </c>
      <c r="D18" s="52" t="s">
        <v>597</v>
      </c>
      <c r="E18" s="52" t="s">
        <v>598</v>
      </c>
      <c r="F18" s="52" t="str">
        <f t="shared" si="1"/>
        <v>No</v>
      </c>
      <c r="G18" s="52" t="s">
        <v>12</v>
      </c>
      <c r="I18" s="52" t="s">
        <v>217</v>
      </c>
      <c r="J18" s="52" t="s">
        <v>214</v>
      </c>
      <c r="K18" s="52" t="s">
        <v>218</v>
      </c>
      <c r="L18" s="52" t="s">
        <v>4</v>
      </c>
    </row>
    <row r="19" spans="1:12" s="49" customFormat="1" ht="35" customHeight="1" x14ac:dyDescent="0.2">
      <c r="A19" s="65" t="s">
        <v>87</v>
      </c>
      <c r="B19" s="66" t="s">
        <v>599</v>
      </c>
      <c r="C19" s="52" t="str">
        <f t="shared" ref="C19:C25" si="2">IF(ELASTICACHEInUse="Yes","Yes","No")</f>
        <v>No</v>
      </c>
      <c r="D19" s="52" t="s">
        <v>600</v>
      </c>
      <c r="E19" s="52" t="s">
        <v>601</v>
      </c>
      <c r="F19" s="52" t="str">
        <f t="shared" si="1"/>
        <v>No</v>
      </c>
      <c r="G19" s="52" t="s">
        <v>12</v>
      </c>
      <c r="I19" s="52" t="s">
        <v>217</v>
      </c>
      <c r="J19" s="52" t="s">
        <v>214</v>
      </c>
      <c r="K19" s="52" t="s">
        <v>218</v>
      </c>
      <c r="L19" s="52" t="s">
        <v>4</v>
      </c>
    </row>
    <row r="20" spans="1:12" s="49" customFormat="1" ht="65" customHeight="1" x14ac:dyDescent="0.2">
      <c r="A20" s="65" t="s">
        <v>87</v>
      </c>
      <c r="B20" s="66" t="s">
        <v>602</v>
      </c>
      <c r="C20" s="52" t="str">
        <f t="shared" si="2"/>
        <v>No</v>
      </c>
      <c r="D20" s="52" t="s">
        <v>603</v>
      </c>
      <c r="E20" s="52" t="s">
        <v>604</v>
      </c>
      <c r="F20" s="52" t="str">
        <f t="shared" si="1"/>
        <v>No</v>
      </c>
      <c r="G20" s="52" t="s">
        <v>12</v>
      </c>
      <c r="I20" s="52" t="s">
        <v>230</v>
      </c>
      <c r="J20" s="52" t="s">
        <v>31</v>
      </c>
      <c r="K20" s="52" t="s">
        <v>218</v>
      </c>
      <c r="L20" s="52" t="s">
        <v>4</v>
      </c>
    </row>
    <row r="21" spans="1:12" s="49" customFormat="1" ht="20" customHeight="1" x14ac:dyDescent="0.2">
      <c r="A21" s="65" t="s">
        <v>87</v>
      </c>
      <c r="B21" s="66" t="s">
        <v>605</v>
      </c>
      <c r="C21" s="52" t="str">
        <f t="shared" si="2"/>
        <v>No</v>
      </c>
      <c r="D21" s="52" t="s">
        <v>606</v>
      </c>
      <c r="E21" s="52" t="s">
        <v>607</v>
      </c>
      <c r="F21" s="52" t="str">
        <f t="shared" si="1"/>
        <v>No</v>
      </c>
      <c r="G21" s="52" t="s">
        <v>12</v>
      </c>
      <c r="I21" s="52" t="s">
        <v>217</v>
      </c>
      <c r="J21" s="52" t="s">
        <v>214</v>
      </c>
      <c r="K21" s="52" t="s">
        <v>218</v>
      </c>
      <c r="L21" s="52" t="s">
        <v>4</v>
      </c>
    </row>
    <row r="22" spans="1:12" s="49" customFormat="1" ht="35" customHeight="1" x14ac:dyDescent="0.2">
      <c r="A22" s="65" t="s">
        <v>87</v>
      </c>
      <c r="B22" s="66" t="s">
        <v>608</v>
      </c>
      <c r="C22" s="52" t="str">
        <f t="shared" si="2"/>
        <v>No</v>
      </c>
      <c r="D22" s="52" t="s">
        <v>609</v>
      </c>
      <c r="E22" s="52" t="s">
        <v>610</v>
      </c>
      <c r="F22" s="52" t="str">
        <f t="shared" si="1"/>
        <v>No</v>
      </c>
      <c r="G22" s="52" t="s">
        <v>12</v>
      </c>
      <c r="I22" s="52" t="s">
        <v>217</v>
      </c>
      <c r="J22" s="52" t="s">
        <v>214</v>
      </c>
      <c r="K22" s="52" t="s">
        <v>218</v>
      </c>
      <c r="L22" s="52" t="s">
        <v>4</v>
      </c>
    </row>
    <row r="23" spans="1:12" s="49" customFormat="1" ht="50" customHeight="1" x14ac:dyDescent="0.2">
      <c r="A23" s="65" t="s">
        <v>87</v>
      </c>
      <c r="B23" s="66" t="s">
        <v>611</v>
      </c>
      <c r="C23" s="52" t="str">
        <f t="shared" si="2"/>
        <v>No</v>
      </c>
      <c r="D23" s="52" t="s">
        <v>612</v>
      </c>
      <c r="E23" s="52" t="s">
        <v>613</v>
      </c>
      <c r="F23" s="52" t="str">
        <f t="shared" si="1"/>
        <v>No</v>
      </c>
      <c r="G23" s="52" t="s">
        <v>12</v>
      </c>
      <c r="I23" s="52" t="s">
        <v>230</v>
      </c>
      <c r="J23" s="52" t="s">
        <v>31</v>
      </c>
      <c r="K23" s="52" t="s">
        <v>218</v>
      </c>
      <c r="L23" s="52" t="s">
        <v>4</v>
      </c>
    </row>
    <row r="24" spans="1:12" s="49" customFormat="1" ht="50" customHeight="1" x14ac:dyDescent="0.2">
      <c r="A24" s="65" t="s">
        <v>87</v>
      </c>
      <c r="B24" s="66" t="s">
        <v>614</v>
      </c>
      <c r="C24" s="52" t="str">
        <f t="shared" si="2"/>
        <v>No</v>
      </c>
      <c r="D24" s="52" t="s">
        <v>615</v>
      </c>
      <c r="E24" s="52" t="s">
        <v>616</v>
      </c>
      <c r="F24" s="52" t="str">
        <f t="shared" si="1"/>
        <v>No</v>
      </c>
      <c r="G24" s="52" t="s">
        <v>12</v>
      </c>
      <c r="I24" s="52" t="s">
        <v>217</v>
      </c>
      <c r="J24" s="52" t="s">
        <v>214</v>
      </c>
      <c r="K24" s="52" t="s">
        <v>218</v>
      </c>
      <c r="L24" s="52" t="s">
        <v>4</v>
      </c>
    </row>
    <row r="25" spans="1:12" s="49" customFormat="1" ht="20" customHeight="1" x14ac:dyDescent="0.2">
      <c r="A25" s="65" t="s">
        <v>87</v>
      </c>
      <c r="B25" s="66" t="s">
        <v>617</v>
      </c>
      <c r="C25" s="52" t="str">
        <f t="shared" si="2"/>
        <v>No</v>
      </c>
      <c r="D25" s="52" t="s">
        <v>618</v>
      </c>
      <c r="E25" s="52" t="s">
        <v>619</v>
      </c>
      <c r="F25" s="52" t="str">
        <f t="shared" si="1"/>
        <v>No</v>
      </c>
      <c r="G25" s="52" t="s">
        <v>12</v>
      </c>
      <c r="I25" s="52" t="s">
        <v>217</v>
      </c>
      <c r="J25" s="52" t="s">
        <v>214</v>
      </c>
      <c r="K25" s="52" t="s">
        <v>218</v>
      </c>
      <c r="L25" s="52" t="s">
        <v>4</v>
      </c>
    </row>
    <row r="26" spans="1:12" s="49" customFormat="1" ht="35" customHeight="1" x14ac:dyDescent="0.2">
      <c r="A26" s="67" t="s">
        <v>91</v>
      </c>
      <c r="B26" s="68" t="s">
        <v>620</v>
      </c>
      <c r="C26" s="52" t="str">
        <f>IF(NEPTUNEInUse="Yes","Yes","No")</f>
        <v>No</v>
      </c>
      <c r="D26" s="52" t="s">
        <v>621</v>
      </c>
      <c r="E26" s="52" t="s">
        <v>622</v>
      </c>
      <c r="F26" s="52" t="str">
        <f t="shared" si="1"/>
        <v>No</v>
      </c>
      <c r="G26" s="52" t="s">
        <v>12</v>
      </c>
      <c r="I26" s="52" t="s">
        <v>217</v>
      </c>
      <c r="J26" s="52" t="s">
        <v>214</v>
      </c>
      <c r="K26" s="52" t="s">
        <v>218</v>
      </c>
      <c r="L26" s="52" t="s">
        <v>4</v>
      </c>
    </row>
    <row r="27" spans="1:12" s="49" customFormat="1" ht="35" customHeight="1" x14ac:dyDescent="0.2">
      <c r="A27" s="67" t="s">
        <v>91</v>
      </c>
      <c r="B27" s="68" t="s">
        <v>623</v>
      </c>
      <c r="C27" s="52" t="str">
        <f>IF(NEPTUNEInUse="Yes","Yes","No")</f>
        <v>No</v>
      </c>
      <c r="D27" s="52" t="s">
        <v>624</v>
      </c>
      <c r="E27" s="52" t="s">
        <v>625</v>
      </c>
      <c r="F27" s="52" t="str">
        <f t="shared" si="1"/>
        <v>No</v>
      </c>
      <c r="G27" s="52" t="s">
        <v>12</v>
      </c>
      <c r="I27" s="52" t="s">
        <v>217</v>
      </c>
      <c r="J27" s="52" t="s">
        <v>214</v>
      </c>
      <c r="K27" s="52" t="s">
        <v>218</v>
      </c>
      <c r="L27" s="52" t="s">
        <v>4</v>
      </c>
    </row>
    <row r="28" spans="1:12" s="49" customFormat="1" ht="50" customHeight="1" x14ac:dyDescent="0.2">
      <c r="A28" s="67" t="s">
        <v>91</v>
      </c>
      <c r="B28" s="68" t="s">
        <v>626</v>
      </c>
      <c r="C28" s="52" t="str">
        <f>IF(NEPTUNEInUse="Yes","Yes","No")</f>
        <v>No</v>
      </c>
      <c r="D28" s="52" t="s">
        <v>627</v>
      </c>
      <c r="E28" s="52" t="s">
        <v>628</v>
      </c>
      <c r="F28" s="52" t="str">
        <f t="shared" si="1"/>
        <v>No</v>
      </c>
      <c r="G28" s="52" t="s">
        <v>12</v>
      </c>
      <c r="I28" s="52" t="s">
        <v>217</v>
      </c>
      <c r="J28" s="52" t="s">
        <v>214</v>
      </c>
      <c r="K28" s="52" t="s">
        <v>218</v>
      </c>
      <c r="L28" s="52" t="s">
        <v>4</v>
      </c>
    </row>
    <row r="29" spans="1:12" s="49" customFormat="1" ht="35" customHeight="1" x14ac:dyDescent="0.2">
      <c r="A29" s="67" t="s">
        <v>91</v>
      </c>
      <c r="B29" s="68" t="s">
        <v>629</v>
      </c>
      <c r="C29" s="52" t="str">
        <f>IF(NEPTUNEInUse="Yes","Yes","No")</f>
        <v>No</v>
      </c>
      <c r="D29" s="52" t="s">
        <v>630</v>
      </c>
      <c r="E29" s="52" t="s">
        <v>631</v>
      </c>
      <c r="F29" s="52" t="str">
        <f t="shared" si="1"/>
        <v>No</v>
      </c>
      <c r="G29" s="52" t="s">
        <v>12</v>
      </c>
      <c r="I29" s="52" t="s">
        <v>217</v>
      </c>
      <c r="J29" s="52" t="s">
        <v>214</v>
      </c>
      <c r="K29" s="52" t="s">
        <v>218</v>
      </c>
      <c r="L29" s="52" t="s">
        <v>4</v>
      </c>
    </row>
    <row r="30" spans="1:12" s="49" customFormat="1" ht="50" customHeight="1" x14ac:dyDescent="0.2">
      <c r="A30" s="67" t="s">
        <v>91</v>
      </c>
      <c r="B30" s="68" t="s">
        <v>632</v>
      </c>
      <c r="C30" s="52" t="str">
        <f>IF(NEPTUNEInUse="Yes","Yes","No")</f>
        <v>No</v>
      </c>
      <c r="D30" s="52" t="s">
        <v>633</v>
      </c>
      <c r="E30" s="52" t="s">
        <v>634</v>
      </c>
      <c r="F30" s="52" t="str">
        <f t="shared" si="1"/>
        <v>No</v>
      </c>
      <c r="G30" s="52" t="s">
        <v>12</v>
      </c>
      <c r="I30" s="52" t="s">
        <v>217</v>
      </c>
      <c r="J30" s="52" t="s">
        <v>214</v>
      </c>
      <c r="K30" s="52" t="s">
        <v>218</v>
      </c>
      <c r="L30" s="52" t="s">
        <v>4</v>
      </c>
    </row>
    <row r="31" spans="1:12" s="49" customFormat="1" ht="50" customHeight="1" x14ac:dyDescent="0.2">
      <c r="A31" s="65" t="s">
        <v>93</v>
      </c>
      <c r="B31" s="66" t="s">
        <v>635</v>
      </c>
      <c r="C31" s="52" t="str">
        <f t="shared" ref="C31:C41" si="3">IF(REDSHIFTInUse="Yes","Yes","No")</f>
        <v>No</v>
      </c>
      <c r="D31" s="52" t="s">
        <v>636</v>
      </c>
      <c r="E31" s="52" t="s">
        <v>637</v>
      </c>
      <c r="F31" s="52" t="str">
        <f t="shared" si="1"/>
        <v>No</v>
      </c>
      <c r="G31" s="52" t="s">
        <v>12</v>
      </c>
      <c r="I31" s="52" t="s">
        <v>217</v>
      </c>
      <c r="J31" s="52" t="s">
        <v>214</v>
      </c>
      <c r="K31" s="52" t="s">
        <v>218</v>
      </c>
      <c r="L31" s="52" t="s">
        <v>4</v>
      </c>
    </row>
    <row r="32" spans="1:12" s="49" customFormat="1" ht="35" customHeight="1" x14ac:dyDescent="0.2">
      <c r="A32" s="65" t="s">
        <v>93</v>
      </c>
      <c r="B32" s="66" t="s">
        <v>638</v>
      </c>
      <c r="C32" s="52" t="str">
        <f t="shared" si="3"/>
        <v>No</v>
      </c>
      <c r="D32" s="52" t="s">
        <v>639</v>
      </c>
      <c r="E32" s="52" t="s">
        <v>601</v>
      </c>
      <c r="F32" s="52" t="str">
        <f t="shared" si="1"/>
        <v>No</v>
      </c>
      <c r="G32" s="52" t="s">
        <v>12</v>
      </c>
      <c r="I32" s="52" t="s">
        <v>217</v>
      </c>
      <c r="J32" s="52" t="s">
        <v>214</v>
      </c>
      <c r="K32" s="52" t="s">
        <v>218</v>
      </c>
      <c r="L32" s="52" t="s">
        <v>4</v>
      </c>
    </row>
    <row r="33" spans="1:12" s="49" customFormat="1" ht="50" customHeight="1" x14ac:dyDescent="0.2">
      <c r="A33" s="65" t="s">
        <v>93</v>
      </c>
      <c r="B33" s="66" t="s">
        <v>640</v>
      </c>
      <c r="C33" s="52" t="str">
        <f t="shared" si="3"/>
        <v>No</v>
      </c>
      <c r="D33" s="52" t="s">
        <v>641</v>
      </c>
      <c r="E33" s="52" t="s">
        <v>642</v>
      </c>
      <c r="F33" s="52" t="str">
        <f t="shared" si="1"/>
        <v>No</v>
      </c>
      <c r="G33" s="52" t="s">
        <v>12</v>
      </c>
      <c r="I33" s="52" t="s">
        <v>217</v>
      </c>
      <c r="J33" s="52" t="s">
        <v>214</v>
      </c>
      <c r="K33" s="52" t="s">
        <v>218</v>
      </c>
      <c r="L33" s="52" t="s">
        <v>4</v>
      </c>
    </row>
    <row r="34" spans="1:12" s="49" customFormat="1" ht="35" customHeight="1" x14ac:dyDescent="0.2">
      <c r="A34" s="65" t="s">
        <v>93</v>
      </c>
      <c r="B34" s="66" t="s">
        <v>643</v>
      </c>
      <c r="C34" s="52" t="str">
        <f t="shared" si="3"/>
        <v>No</v>
      </c>
      <c r="D34" s="52" t="s">
        <v>644</v>
      </c>
      <c r="E34" s="52" t="s">
        <v>645</v>
      </c>
      <c r="F34" s="52" t="str">
        <f t="shared" ref="F34:F51" si="4">IF(AND(C34="Yes",G34="-"), "Yes", "No")</f>
        <v>No</v>
      </c>
      <c r="G34" s="52" t="s">
        <v>12</v>
      </c>
      <c r="I34" s="52" t="s">
        <v>230</v>
      </c>
      <c r="J34" s="52" t="s">
        <v>31</v>
      </c>
      <c r="K34" s="52" t="s">
        <v>218</v>
      </c>
      <c r="L34" s="52" t="s">
        <v>4</v>
      </c>
    </row>
    <row r="35" spans="1:12" s="49" customFormat="1" ht="35" customHeight="1" x14ac:dyDescent="0.2">
      <c r="A35" s="65" t="s">
        <v>93</v>
      </c>
      <c r="B35" s="66" t="s">
        <v>646</v>
      </c>
      <c r="C35" s="52" t="str">
        <f t="shared" si="3"/>
        <v>No</v>
      </c>
      <c r="D35" s="52" t="s">
        <v>647</v>
      </c>
      <c r="E35" s="52" t="s">
        <v>648</v>
      </c>
      <c r="F35" s="52" t="str">
        <f t="shared" si="4"/>
        <v>No</v>
      </c>
      <c r="G35" s="52" t="s">
        <v>12</v>
      </c>
      <c r="I35" s="52" t="s">
        <v>217</v>
      </c>
      <c r="J35" s="52" t="s">
        <v>214</v>
      </c>
      <c r="K35" s="52" t="s">
        <v>218</v>
      </c>
      <c r="L35" s="52" t="s">
        <v>4</v>
      </c>
    </row>
    <row r="36" spans="1:12" s="49" customFormat="1" ht="20" customHeight="1" x14ac:dyDescent="0.2">
      <c r="A36" s="65" t="s">
        <v>93</v>
      </c>
      <c r="B36" s="66" t="s">
        <v>649</v>
      </c>
      <c r="C36" s="52" t="str">
        <f t="shared" si="3"/>
        <v>No</v>
      </c>
      <c r="D36" s="52" t="s">
        <v>650</v>
      </c>
      <c r="E36" s="52" t="s">
        <v>651</v>
      </c>
      <c r="F36" s="52" t="str">
        <f t="shared" si="4"/>
        <v>No</v>
      </c>
      <c r="G36" s="52" t="s">
        <v>12</v>
      </c>
      <c r="I36" s="52" t="s">
        <v>217</v>
      </c>
      <c r="J36" s="52" t="s">
        <v>214</v>
      </c>
      <c r="K36" s="52" t="s">
        <v>218</v>
      </c>
      <c r="L36" s="52" t="s">
        <v>4</v>
      </c>
    </row>
    <row r="37" spans="1:12" s="49" customFormat="1" ht="20" customHeight="1" x14ac:dyDescent="0.2">
      <c r="A37" s="65" t="s">
        <v>93</v>
      </c>
      <c r="B37" s="66" t="s">
        <v>652</v>
      </c>
      <c r="C37" s="52" t="str">
        <f t="shared" si="3"/>
        <v>No</v>
      </c>
      <c r="D37" s="52" t="s">
        <v>653</v>
      </c>
      <c r="E37" s="52" t="s">
        <v>654</v>
      </c>
      <c r="F37" s="52" t="str">
        <f t="shared" si="4"/>
        <v>No</v>
      </c>
      <c r="G37" s="52" t="s">
        <v>12</v>
      </c>
      <c r="I37" s="52" t="s">
        <v>217</v>
      </c>
      <c r="J37" s="52" t="s">
        <v>214</v>
      </c>
      <c r="K37" s="52" t="s">
        <v>218</v>
      </c>
      <c r="L37" s="52" t="s">
        <v>4</v>
      </c>
    </row>
    <row r="38" spans="1:12" s="49" customFormat="1" ht="20" customHeight="1" x14ac:dyDescent="0.2">
      <c r="A38" s="65" t="s">
        <v>93</v>
      </c>
      <c r="B38" s="66" t="s">
        <v>655</v>
      </c>
      <c r="C38" s="52" t="str">
        <f t="shared" si="3"/>
        <v>No</v>
      </c>
      <c r="D38" s="52" t="s">
        <v>656</v>
      </c>
      <c r="E38" s="52" t="s">
        <v>657</v>
      </c>
      <c r="F38" s="52" t="str">
        <f t="shared" si="4"/>
        <v>No</v>
      </c>
      <c r="G38" s="52" t="s">
        <v>12</v>
      </c>
      <c r="I38" s="52" t="s">
        <v>217</v>
      </c>
      <c r="J38" s="52" t="s">
        <v>214</v>
      </c>
      <c r="K38" s="52" t="s">
        <v>218</v>
      </c>
      <c r="L38" s="52" t="s">
        <v>4</v>
      </c>
    </row>
    <row r="39" spans="1:12" s="49" customFormat="1" ht="35" customHeight="1" x14ac:dyDescent="0.2">
      <c r="A39" s="65" t="s">
        <v>93</v>
      </c>
      <c r="B39" s="66" t="s">
        <v>658</v>
      </c>
      <c r="C39" s="52" t="str">
        <f t="shared" si="3"/>
        <v>No</v>
      </c>
      <c r="D39" s="52" t="s">
        <v>659</v>
      </c>
      <c r="E39" s="52" t="s">
        <v>660</v>
      </c>
      <c r="F39" s="52" t="str">
        <f t="shared" si="4"/>
        <v>No</v>
      </c>
      <c r="G39" s="52" t="s">
        <v>12</v>
      </c>
      <c r="I39" s="52" t="s">
        <v>217</v>
      </c>
      <c r="J39" s="52" t="s">
        <v>214</v>
      </c>
      <c r="K39" s="52" t="s">
        <v>218</v>
      </c>
      <c r="L39" s="52" t="s">
        <v>4</v>
      </c>
    </row>
    <row r="40" spans="1:12" s="49" customFormat="1" ht="50" customHeight="1" x14ac:dyDescent="0.2">
      <c r="A40" s="65" t="s">
        <v>93</v>
      </c>
      <c r="B40" s="66" t="s">
        <v>661</v>
      </c>
      <c r="C40" s="52" t="str">
        <f t="shared" si="3"/>
        <v>No</v>
      </c>
      <c r="D40" s="52" t="s">
        <v>662</v>
      </c>
      <c r="E40" s="52" t="s">
        <v>663</v>
      </c>
      <c r="F40" s="52" t="str">
        <f t="shared" si="4"/>
        <v>No</v>
      </c>
      <c r="G40" s="52" t="s">
        <v>12</v>
      </c>
      <c r="I40" s="52" t="s">
        <v>217</v>
      </c>
      <c r="J40" s="52" t="s">
        <v>214</v>
      </c>
      <c r="K40" s="52" t="s">
        <v>218</v>
      </c>
      <c r="L40" s="52" t="s">
        <v>4</v>
      </c>
    </row>
    <row r="41" spans="1:12" s="49" customFormat="1" ht="80" customHeight="1" x14ac:dyDescent="0.2">
      <c r="A41" s="65" t="s">
        <v>93</v>
      </c>
      <c r="B41" s="66" t="s">
        <v>664</v>
      </c>
      <c r="C41" s="52" t="str">
        <f t="shared" si="3"/>
        <v>No</v>
      </c>
      <c r="D41" s="52" t="s">
        <v>665</v>
      </c>
      <c r="E41" s="52" t="s">
        <v>666</v>
      </c>
      <c r="F41" s="52" t="str">
        <f t="shared" si="4"/>
        <v>No</v>
      </c>
      <c r="G41" s="52" t="s">
        <v>12</v>
      </c>
      <c r="I41" s="52" t="s">
        <v>217</v>
      </c>
      <c r="J41" s="52" t="s">
        <v>214</v>
      </c>
      <c r="K41" s="52" t="s">
        <v>218</v>
      </c>
      <c r="L41" s="52" t="s">
        <v>4</v>
      </c>
    </row>
    <row r="42" spans="1:12" s="49" customFormat="1" ht="35" customHeight="1" x14ac:dyDescent="0.2">
      <c r="A42" s="67" t="s">
        <v>95</v>
      </c>
      <c r="B42" s="68" t="s">
        <v>667</v>
      </c>
      <c r="C42" s="52" t="str">
        <f>IF(DOCUMENT_DBInUse="Yes","Yes","No")</f>
        <v>No</v>
      </c>
      <c r="D42" s="52" t="s">
        <v>630</v>
      </c>
      <c r="E42" s="52" t="s">
        <v>668</v>
      </c>
      <c r="F42" s="52" t="str">
        <f t="shared" si="4"/>
        <v>No</v>
      </c>
      <c r="G42" s="52" t="s">
        <v>12</v>
      </c>
      <c r="I42" s="52" t="s">
        <v>217</v>
      </c>
      <c r="J42" s="52" t="s">
        <v>214</v>
      </c>
      <c r="K42" s="52" t="s">
        <v>218</v>
      </c>
      <c r="L42" s="52" t="s">
        <v>4</v>
      </c>
    </row>
    <row r="43" spans="1:12" s="49" customFormat="1" ht="35" customHeight="1" x14ac:dyDescent="0.2">
      <c r="A43" s="67" t="s">
        <v>95</v>
      </c>
      <c r="B43" s="68" t="s">
        <v>669</v>
      </c>
      <c r="C43" s="52" t="str">
        <f>IF(DOCUMENT_DBInUse="Yes","Yes","No")</f>
        <v>No</v>
      </c>
      <c r="D43" s="52" t="s">
        <v>670</v>
      </c>
      <c r="E43" s="52" t="s">
        <v>671</v>
      </c>
      <c r="F43" s="52" t="str">
        <f t="shared" si="4"/>
        <v>No</v>
      </c>
      <c r="G43" s="52" t="s">
        <v>12</v>
      </c>
      <c r="I43" s="52" t="s">
        <v>230</v>
      </c>
      <c r="J43" s="52" t="s">
        <v>31</v>
      </c>
      <c r="K43" s="52" t="s">
        <v>218</v>
      </c>
      <c r="L43" s="52" t="s">
        <v>4</v>
      </c>
    </row>
    <row r="44" spans="1:12" s="49" customFormat="1" ht="50" customHeight="1" x14ac:dyDescent="0.2">
      <c r="A44" s="67" t="s">
        <v>95</v>
      </c>
      <c r="B44" s="68" t="s">
        <v>672</v>
      </c>
      <c r="C44" s="52" t="str">
        <f>IF(DOCUMENT_DBInUse="Yes","Yes","No")</f>
        <v>No</v>
      </c>
      <c r="D44" s="52" t="s">
        <v>673</v>
      </c>
      <c r="E44" s="52" t="s">
        <v>674</v>
      </c>
      <c r="F44" s="52" t="str">
        <f t="shared" si="4"/>
        <v>No</v>
      </c>
      <c r="G44" s="52" t="s">
        <v>12</v>
      </c>
      <c r="I44" s="52" t="s">
        <v>217</v>
      </c>
      <c r="J44" s="52" t="s">
        <v>214</v>
      </c>
      <c r="K44" s="52" t="s">
        <v>218</v>
      </c>
      <c r="L44" s="52" t="s">
        <v>4</v>
      </c>
    </row>
    <row r="45" spans="1:12" s="49" customFormat="1" ht="65" customHeight="1" x14ac:dyDescent="0.2">
      <c r="A45" s="67" t="s">
        <v>95</v>
      </c>
      <c r="B45" s="68" t="s">
        <v>675</v>
      </c>
      <c r="C45" s="52" t="str">
        <f>IF(DOCUMENT_DBInUse="Yes","Yes","No")</f>
        <v>No</v>
      </c>
      <c r="D45" s="52" t="s">
        <v>676</v>
      </c>
      <c r="E45" s="52" t="s">
        <v>677</v>
      </c>
      <c r="F45" s="52" t="str">
        <f t="shared" si="4"/>
        <v>No</v>
      </c>
      <c r="G45" s="52" t="s">
        <v>12</v>
      </c>
      <c r="I45" s="52" t="s">
        <v>217</v>
      </c>
      <c r="J45" s="52" t="s">
        <v>214</v>
      </c>
      <c r="K45" s="52" t="s">
        <v>218</v>
      </c>
      <c r="L45" s="52" t="s">
        <v>4</v>
      </c>
    </row>
    <row r="46" spans="1:12" s="49" customFormat="1" ht="50" customHeight="1" x14ac:dyDescent="0.2">
      <c r="A46" s="67" t="s">
        <v>95</v>
      </c>
      <c r="B46" s="68" t="s">
        <v>678</v>
      </c>
      <c r="C46" s="52" t="str">
        <f>IF(DOCUMENT_DBInUse="Yes","Yes","No")</f>
        <v>No</v>
      </c>
      <c r="D46" s="52" t="s">
        <v>679</v>
      </c>
      <c r="E46" s="52" t="s">
        <v>680</v>
      </c>
      <c r="F46" s="52" t="str">
        <f t="shared" si="4"/>
        <v>No</v>
      </c>
      <c r="G46" s="52" t="s">
        <v>12</v>
      </c>
      <c r="I46" s="52" t="s">
        <v>217</v>
      </c>
      <c r="J46" s="52" t="s">
        <v>214</v>
      </c>
      <c r="K46" s="52" t="s">
        <v>218</v>
      </c>
      <c r="L46" s="52" t="s">
        <v>4</v>
      </c>
    </row>
    <row r="47" spans="1:12" s="49" customFormat="1" ht="65" customHeight="1" x14ac:dyDescent="0.2">
      <c r="A47" s="65" t="s">
        <v>97</v>
      </c>
      <c r="B47" s="66" t="s">
        <v>681</v>
      </c>
      <c r="C47" s="52" t="str">
        <f>IF(TIMESTREAMInUse="Yes","Yes","No")</f>
        <v>No</v>
      </c>
      <c r="D47" s="52" t="s">
        <v>682</v>
      </c>
      <c r="E47" s="52" t="s">
        <v>683</v>
      </c>
      <c r="F47" s="52" t="str">
        <f t="shared" si="4"/>
        <v>No</v>
      </c>
      <c r="G47" s="52" t="s">
        <v>12</v>
      </c>
      <c r="I47" s="52" t="s">
        <v>230</v>
      </c>
      <c r="J47" s="52" t="s">
        <v>31</v>
      </c>
      <c r="K47" s="52" t="s">
        <v>218</v>
      </c>
      <c r="L47" s="52" t="s">
        <v>4</v>
      </c>
    </row>
    <row r="48" spans="1:12" s="49" customFormat="1" ht="50" customHeight="1" x14ac:dyDescent="0.2">
      <c r="A48" s="65" t="s">
        <v>97</v>
      </c>
      <c r="B48" s="66" t="s">
        <v>684</v>
      </c>
      <c r="C48" s="52" t="str">
        <f>IF(TIMESTREAMInUse="Yes","Yes","No")</f>
        <v>No</v>
      </c>
      <c r="D48" s="52" t="s">
        <v>685</v>
      </c>
      <c r="E48" s="52" t="s">
        <v>475</v>
      </c>
      <c r="F48" s="52" t="str">
        <f t="shared" si="4"/>
        <v>No</v>
      </c>
      <c r="G48" s="52" t="s">
        <v>12</v>
      </c>
      <c r="I48" s="52" t="s">
        <v>230</v>
      </c>
      <c r="J48" s="52" t="s">
        <v>31</v>
      </c>
      <c r="K48" s="52" t="s">
        <v>218</v>
      </c>
      <c r="L48" s="52" t="s">
        <v>4</v>
      </c>
    </row>
    <row r="49" spans="1:12" s="49" customFormat="1" ht="65" customHeight="1" x14ac:dyDescent="0.2">
      <c r="A49" s="65" t="s">
        <v>97</v>
      </c>
      <c r="B49" s="66" t="s">
        <v>686</v>
      </c>
      <c r="C49" s="52" t="str">
        <f>IF(TIMESTREAMInUse="Yes","Yes","No")</f>
        <v>No</v>
      </c>
      <c r="D49" s="52" t="s">
        <v>687</v>
      </c>
      <c r="E49" s="52" t="s">
        <v>688</v>
      </c>
      <c r="F49" s="52" t="str">
        <f t="shared" si="4"/>
        <v>No</v>
      </c>
      <c r="G49" s="52" t="s">
        <v>12</v>
      </c>
      <c r="I49" s="52" t="s">
        <v>217</v>
      </c>
      <c r="J49" s="52" t="s">
        <v>214</v>
      </c>
      <c r="K49" s="52" t="s">
        <v>218</v>
      </c>
      <c r="L49" s="52" t="s">
        <v>4</v>
      </c>
    </row>
    <row r="50" spans="1:12" s="49" customFormat="1" ht="50" customHeight="1" x14ac:dyDescent="0.2">
      <c r="A50" s="65" t="s">
        <v>97</v>
      </c>
      <c r="B50" s="66" t="s">
        <v>689</v>
      </c>
      <c r="C50" s="52" t="str">
        <f>IF(TIMESTREAMInUse="Yes","Yes","No")</f>
        <v>No</v>
      </c>
      <c r="D50" s="52" t="s">
        <v>690</v>
      </c>
      <c r="E50" s="52" t="s">
        <v>691</v>
      </c>
      <c r="F50" s="52" t="str">
        <f t="shared" si="4"/>
        <v>No</v>
      </c>
      <c r="G50" s="52" t="s">
        <v>12</v>
      </c>
      <c r="I50" s="52" t="s">
        <v>217</v>
      </c>
      <c r="J50" s="52" t="s">
        <v>214</v>
      </c>
      <c r="K50" s="52" t="s">
        <v>218</v>
      </c>
      <c r="L50" s="52" t="s">
        <v>4</v>
      </c>
    </row>
    <row r="51" spans="1:12" s="49" customFormat="1" ht="35" customHeight="1" x14ac:dyDescent="0.2">
      <c r="A51" s="65" t="s">
        <v>97</v>
      </c>
      <c r="B51" s="66" t="s">
        <v>692</v>
      </c>
      <c r="C51" s="52" t="str">
        <f>IF(TIMESTREAMInUse="Yes","Yes","No")</f>
        <v>No</v>
      </c>
      <c r="D51" s="52" t="s">
        <v>693</v>
      </c>
      <c r="E51" s="52" t="s">
        <v>694</v>
      </c>
      <c r="F51" s="52" t="str">
        <f t="shared" si="4"/>
        <v>No</v>
      </c>
      <c r="G51" s="52" t="s">
        <v>12</v>
      </c>
      <c r="I51" s="52" t="s">
        <v>217</v>
      </c>
      <c r="J51" s="52" t="s">
        <v>214</v>
      </c>
      <c r="K51" s="52" t="s">
        <v>218</v>
      </c>
      <c r="L51" s="52" t="s">
        <v>4</v>
      </c>
    </row>
  </sheetData>
  <autoFilter ref="A1:L1" xr:uid="{00000000-0009-0000-0000-000007000000}"/>
  <dataValidations count="2">
    <dataValidation type="list" sqref="G2:G51" xr:uid="{00000000-0002-0000-0700-000000000000}">
      <formula1>"-,Yes,No; explanation in comments"</formula1>
    </dataValidation>
    <dataValidation type="list" sqref="K2:K51" xr:uid="{00000000-0002-0000-07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700-000001000000}">
            <xm:f>NOT(ISERROR(SEARCH("Yes",F2)))</xm:f>
            <x14:dxf>
              <font>
                <color rgb="FF9C6500"/>
              </font>
              <fill>
                <patternFill patternType="solid">
                  <bgColor rgb="FFFFEB9C"/>
                </patternFill>
              </fill>
            </x14:dxf>
          </x14:cfRule>
          <xm:sqref>F2:F51</xm:sqref>
        </x14:conditionalFormatting>
        <x14:conditionalFormatting xmlns:xm="http://schemas.microsoft.com/office/excel/2006/main">
          <x14:cfRule type="containsText" priority="2" operator="containsText" id="{00000000-000E-0000-0700-000002000000}">
            <xm:f>NOT(ISERROR(SEARCH("Yes",G2)))</xm:f>
            <x14:dxf>
              <font>
                <color rgb="FF006100"/>
              </font>
              <fill>
                <patternFill patternType="solid">
                  <bgColor rgb="FFC6EFCE"/>
                </patternFill>
              </fill>
            </x14:dxf>
          </x14:cfRule>
          <x14:cfRule type="containsText" priority="2" operator="containsText" id="{00000000-000E-0000-0700-000002000000}">
            <xm:f>NOT(ISERROR(SEARCH("No; explanation in comments",G2)))</xm:f>
            <x14:dxf>
              <font>
                <color rgb="FF9C0006"/>
              </font>
              <fill>
                <patternFill patternType="solid">
                  <bgColor rgb="FFFFC7CE"/>
                </patternFill>
              </fill>
            </x14:dxf>
          </x14:cfRule>
          <xm:sqref>G2:G51</xm:sqref>
        </x14:conditionalFormatting>
        <x14:conditionalFormatting xmlns:xm="http://schemas.microsoft.com/office/excel/2006/main">
          <x14:cfRule type="containsText" priority="3" operator="containsText" id="{00000000-000E-0000-0700-000003000000}">
            <xm:f>NOT(ISERROR(SEARCH("Yes",J2)))</xm:f>
            <x14:dxf>
              <font>
                <b/>
                <i/>
                <color rgb="FF403151"/>
              </font>
              <fill>
                <patternFill patternType="solid">
                  <bgColor rgb="FFCCC0DA"/>
                </patternFill>
              </fill>
            </x14:dxf>
          </x14:cfRule>
          <xm:sqref>J2:J51</xm:sqref>
        </x14:conditionalFormatting>
        <x14:conditionalFormatting xmlns:xm="http://schemas.microsoft.com/office/excel/2006/main">
          <x14:cfRule type="containsText" priority="4" operator="containsText" id="{00000000-000E-0000-0700-000004000000}">
            <xm:f>NOT(ISERROR(SEARCH("Mitigated",K2)))</xm:f>
            <x14:dxf>
              <font>
                <color rgb="FF006100"/>
              </font>
              <fill>
                <patternFill patternType="solid">
                  <bgColor rgb="FFC6EFCE"/>
                </patternFill>
              </fill>
            </x14:dxf>
          </x14:cfRule>
          <x14:cfRule type="containsText" priority="4" operator="containsText" id="{00000000-000E-0000-0700-000004000000}">
            <xm:f>NOT(ISERROR(SEARCH("Not Mitigated",K2)))</xm:f>
            <x14:dxf>
              <font>
                <color rgb="FF9C0006"/>
              </font>
              <fill>
                <patternFill patternType="solid">
                  <bgColor rgb="FFFFC7CE"/>
                </patternFill>
              </fill>
            </x14:dxf>
          </x14:cfRule>
          <xm:sqref>K2:K51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7"/>
  <sheetViews>
    <sheetView workbookViewId="0">
      <pane ySplit="1" topLeftCell="A15" activePane="bottomLeft" state="frozen"/>
      <selection pane="bottomLeft" activeCell="K16" sqref="K16"/>
    </sheetView>
  </sheetViews>
  <sheetFormatPr baseColWidth="10" defaultColWidth="8.83203125" defaultRowHeight="15" x14ac:dyDescent="0.2"/>
  <cols>
    <col min="1" max="1" width="15" customWidth="1"/>
    <col min="2" max="2" width="10" customWidth="1"/>
    <col min="3" max="3" width="0" hidden="1" customWidth="1"/>
    <col min="4" max="4" width="65" customWidth="1"/>
    <col min="5" max="5" width="90" customWidth="1"/>
    <col min="6" max="6" width="25" customWidth="1"/>
    <col min="7" max="7" width="21" customWidth="1"/>
    <col min="8" max="8" width="90" customWidth="1"/>
    <col min="9" max="9" width="58" customWidth="1"/>
    <col min="10" max="10" width="18" customWidth="1"/>
    <col min="11" max="11" width="16" customWidth="1"/>
    <col min="12" max="12" width="62" customWidth="1"/>
  </cols>
  <sheetData>
    <row r="1" spans="1:21" s="47" customFormat="1" ht="16" x14ac:dyDescent="0.2">
      <c r="A1" s="48" t="s">
        <v>200</v>
      </c>
      <c r="B1" s="48" t="s">
        <v>201</v>
      </c>
      <c r="C1" s="48" t="s">
        <v>202</v>
      </c>
      <c r="D1" s="48" t="s">
        <v>203</v>
      </c>
      <c r="E1" s="48" t="s">
        <v>204</v>
      </c>
      <c r="F1" s="48" t="s">
        <v>205</v>
      </c>
      <c r="G1" s="48" t="s">
        <v>206</v>
      </c>
      <c r="H1" s="48" t="s">
        <v>207</v>
      </c>
      <c r="I1" s="48" t="s">
        <v>208</v>
      </c>
      <c r="J1" s="48" t="s">
        <v>209</v>
      </c>
      <c r="K1" s="48" t="s">
        <v>210</v>
      </c>
      <c r="L1" s="48" t="s">
        <v>211</v>
      </c>
    </row>
    <row r="2" spans="1:21" s="49" customFormat="1" ht="50" customHeight="1" x14ac:dyDescent="0.2">
      <c r="A2" s="69" t="s">
        <v>36</v>
      </c>
      <c r="B2" s="70" t="s">
        <v>695</v>
      </c>
      <c r="C2" s="52" t="str">
        <f t="shared" ref="C2:C7" si="0">IF(VPCInUse="Yes","Yes","No")</f>
        <v>No</v>
      </c>
      <c r="D2" s="52" t="s">
        <v>696</v>
      </c>
      <c r="E2" s="52" t="s">
        <v>697</v>
      </c>
      <c r="F2" s="52" t="str">
        <f t="shared" ref="F2:F27" si="1">IF(AND(C2="Yes",G2="-"), "Yes", "No")</f>
        <v>No</v>
      </c>
      <c r="G2" s="52" t="s">
        <v>12</v>
      </c>
      <c r="I2" s="52" t="s">
        <v>217</v>
      </c>
      <c r="J2" s="52" t="s">
        <v>214</v>
      </c>
      <c r="K2" s="52" t="s">
        <v>218</v>
      </c>
      <c r="L2" s="52" t="s">
        <v>4</v>
      </c>
      <c r="T2" s="52" t="s">
        <v>6</v>
      </c>
      <c r="U2" s="52">
        <f>COUNTIFS(C2:C27,"Yes")</f>
        <v>9</v>
      </c>
    </row>
    <row r="3" spans="1:21" s="49" customFormat="1" ht="50" customHeight="1" x14ac:dyDescent="0.2">
      <c r="A3" s="69" t="s">
        <v>36</v>
      </c>
      <c r="B3" s="70" t="s">
        <v>698</v>
      </c>
      <c r="C3" s="52" t="str">
        <f t="shared" si="0"/>
        <v>No</v>
      </c>
      <c r="D3" s="52" t="s">
        <v>699</v>
      </c>
      <c r="E3" s="52" t="s">
        <v>700</v>
      </c>
      <c r="F3" s="52" t="str">
        <f t="shared" si="1"/>
        <v>No</v>
      </c>
      <c r="G3" s="52" t="s">
        <v>12</v>
      </c>
      <c r="I3" s="52" t="s">
        <v>217</v>
      </c>
      <c r="J3" s="52" t="s">
        <v>214</v>
      </c>
      <c r="K3" s="52" t="s">
        <v>218</v>
      </c>
      <c r="L3" s="52" t="s">
        <v>4</v>
      </c>
      <c r="T3" s="52" t="s">
        <v>33</v>
      </c>
      <c r="U3" s="52">
        <f>COUNTIF(G2:G27, "&lt;&gt;-")</f>
        <v>9</v>
      </c>
    </row>
    <row r="4" spans="1:21" s="49" customFormat="1" ht="80" customHeight="1" x14ac:dyDescent="0.2">
      <c r="A4" s="69" t="s">
        <v>36</v>
      </c>
      <c r="B4" s="70" t="s">
        <v>701</v>
      </c>
      <c r="C4" s="52" t="str">
        <f t="shared" si="0"/>
        <v>No</v>
      </c>
      <c r="D4" s="52" t="s">
        <v>702</v>
      </c>
      <c r="E4" s="52" t="s">
        <v>703</v>
      </c>
      <c r="F4" s="52" t="str">
        <f t="shared" si="1"/>
        <v>No</v>
      </c>
      <c r="G4" s="52" t="s">
        <v>12</v>
      </c>
      <c r="I4" s="52" t="s">
        <v>230</v>
      </c>
      <c r="J4" s="52" t="s">
        <v>31</v>
      </c>
      <c r="K4" s="52" t="s">
        <v>218</v>
      </c>
      <c r="L4" s="52" t="s">
        <v>4</v>
      </c>
      <c r="T4" s="52" t="s">
        <v>225</v>
      </c>
      <c r="U4" s="52">
        <f>COUNTIF(G2:G27, "No; explanation in comments")</f>
        <v>3</v>
      </c>
    </row>
    <row r="5" spans="1:21" s="49" customFormat="1" ht="65" customHeight="1" x14ac:dyDescent="0.2">
      <c r="A5" s="69" t="s">
        <v>36</v>
      </c>
      <c r="B5" s="70" t="s">
        <v>704</v>
      </c>
      <c r="C5" s="52" t="str">
        <f t="shared" si="0"/>
        <v>No</v>
      </c>
      <c r="D5" s="52" t="s">
        <v>705</v>
      </c>
      <c r="E5" s="52" t="s">
        <v>706</v>
      </c>
      <c r="F5" s="52" t="str">
        <f t="shared" si="1"/>
        <v>No</v>
      </c>
      <c r="G5" s="52" t="s">
        <v>12</v>
      </c>
      <c r="I5" s="52" t="s">
        <v>217</v>
      </c>
      <c r="J5" s="52" t="s">
        <v>214</v>
      </c>
      <c r="K5" s="52" t="s">
        <v>218</v>
      </c>
      <c r="L5" s="52" t="s">
        <v>4</v>
      </c>
      <c r="T5" s="52" t="s">
        <v>7</v>
      </c>
      <c r="U5" s="52">
        <f>COUNTIF(K2:K27, "Mitigated")</f>
        <v>6</v>
      </c>
    </row>
    <row r="6" spans="1:21" s="49" customFormat="1" ht="35" customHeight="1" x14ac:dyDescent="0.2">
      <c r="A6" s="69" t="s">
        <v>36</v>
      </c>
      <c r="B6" s="70" t="s">
        <v>707</v>
      </c>
      <c r="C6" s="52" t="str">
        <f t="shared" si="0"/>
        <v>No</v>
      </c>
      <c r="D6" s="52" t="s">
        <v>708</v>
      </c>
      <c r="E6" s="52" t="s">
        <v>709</v>
      </c>
      <c r="F6" s="52" t="str">
        <f t="shared" si="1"/>
        <v>No</v>
      </c>
      <c r="G6" s="52" t="s">
        <v>12</v>
      </c>
      <c r="I6" s="52" t="s">
        <v>230</v>
      </c>
      <c r="J6" s="52" t="s">
        <v>31</v>
      </c>
      <c r="K6" s="52" t="s">
        <v>218</v>
      </c>
      <c r="L6" s="52" t="s">
        <v>4</v>
      </c>
      <c r="T6" s="52" t="s">
        <v>8</v>
      </c>
      <c r="U6" s="52">
        <f>COUNTIF(K2:K27, "Not Mitigated")</f>
        <v>0</v>
      </c>
    </row>
    <row r="7" spans="1:21" s="49" customFormat="1" ht="65" customHeight="1" x14ac:dyDescent="0.2">
      <c r="A7" s="69" t="s">
        <v>36</v>
      </c>
      <c r="B7" s="70" t="s">
        <v>710</v>
      </c>
      <c r="C7" s="52" t="str">
        <f t="shared" si="0"/>
        <v>No</v>
      </c>
      <c r="D7" s="52" t="s">
        <v>711</v>
      </c>
      <c r="E7" s="52" t="s">
        <v>712</v>
      </c>
      <c r="F7" s="52" t="str">
        <f t="shared" si="1"/>
        <v>No</v>
      </c>
      <c r="G7" s="52" t="s">
        <v>12</v>
      </c>
      <c r="I7" s="52" t="s">
        <v>217</v>
      </c>
      <c r="J7" s="52" t="s">
        <v>214</v>
      </c>
      <c r="K7" s="52" t="s">
        <v>218</v>
      </c>
      <c r="L7" s="52" t="s">
        <v>4</v>
      </c>
    </row>
    <row r="8" spans="1:21" s="49" customFormat="1" ht="50" customHeight="1" x14ac:dyDescent="0.2">
      <c r="A8" s="71" t="s">
        <v>41</v>
      </c>
      <c r="B8" s="72" t="s">
        <v>713</v>
      </c>
      <c r="C8" s="52" t="str">
        <f t="shared" ref="C8:C14" si="2">IF(CLOUDFRONTInUse="Yes","Yes","No")</f>
        <v>No</v>
      </c>
      <c r="D8" s="52" t="s">
        <v>714</v>
      </c>
      <c r="E8" s="52" t="s">
        <v>715</v>
      </c>
      <c r="F8" s="52" t="str">
        <f t="shared" si="1"/>
        <v>No</v>
      </c>
      <c r="G8" s="52" t="s">
        <v>12</v>
      </c>
      <c r="I8" s="52" t="s">
        <v>230</v>
      </c>
      <c r="J8" s="52" t="s">
        <v>31</v>
      </c>
      <c r="K8" s="52" t="s">
        <v>218</v>
      </c>
      <c r="L8" s="52" t="s">
        <v>4</v>
      </c>
    </row>
    <row r="9" spans="1:21" s="49" customFormat="1" ht="50" customHeight="1" x14ac:dyDescent="0.2">
      <c r="A9" s="71" t="s">
        <v>41</v>
      </c>
      <c r="B9" s="72" t="s">
        <v>716</v>
      </c>
      <c r="C9" s="52" t="str">
        <f t="shared" si="2"/>
        <v>No</v>
      </c>
      <c r="D9" s="52" t="s">
        <v>717</v>
      </c>
      <c r="E9" s="52" t="s">
        <v>718</v>
      </c>
      <c r="F9" s="52" t="str">
        <f t="shared" si="1"/>
        <v>No</v>
      </c>
      <c r="G9" s="52" t="s">
        <v>12</v>
      </c>
      <c r="I9" s="52" t="s">
        <v>230</v>
      </c>
      <c r="J9" s="52" t="s">
        <v>31</v>
      </c>
      <c r="K9" s="52" t="s">
        <v>218</v>
      </c>
      <c r="L9" s="52" t="s">
        <v>4</v>
      </c>
    </row>
    <row r="10" spans="1:21" s="49" customFormat="1" ht="35" customHeight="1" x14ac:dyDescent="0.2">
      <c r="A10" s="71" t="s">
        <v>41</v>
      </c>
      <c r="B10" s="72" t="s">
        <v>719</v>
      </c>
      <c r="C10" s="52" t="str">
        <f t="shared" si="2"/>
        <v>No</v>
      </c>
      <c r="D10" s="52" t="s">
        <v>720</v>
      </c>
      <c r="E10" s="52" t="s">
        <v>721</v>
      </c>
      <c r="F10" s="52" t="str">
        <f t="shared" si="1"/>
        <v>No</v>
      </c>
      <c r="G10" s="52" t="s">
        <v>12</v>
      </c>
      <c r="I10" s="52" t="s">
        <v>217</v>
      </c>
      <c r="J10" s="52" t="s">
        <v>214</v>
      </c>
      <c r="K10" s="52" t="s">
        <v>218</v>
      </c>
      <c r="L10" s="52" t="s">
        <v>4</v>
      </c>
    </row>
    <row r="11" spans="1:21" s="49" customFormat="1" ht="65" customHeight="1" x14ac:dyDescent="0.2">
      <c r="A11" s="71" t="s">
        <v>41</v>
      </c>
      <c r="B11" s="72" t="s">
        <v>722</v>
      </c>
      <c r="C11" s="52" t="str">
        <f t="shared" si="2"/>
        <v>No</v>
      </c>
      <c r="D11" s="52" t="s">
        <v>723</v>
      </c>
      <c r="E11" s="52" t="s">
        <v>724</v>
      </c>
      <c r="F11" s="52" t="str">
        <f t="shared" si="1"/>
        <v>No</v>
      </c>
      <c r="G11" s="52" t="s">
        <v>12</v>
      </c>
      <c r="I11" s="52" t="s">
        <v>217</v>
      </c>
      <c r="J11" s="52" t="s">
        <v>214</v>
      </c>
      <c r="K11" s="52" t="s">
        <v>218</v>
      </c>
      <c r="L11" s="52" t="s">
        <v>4</v>
      </c>
    </row>
    <row r="12" spans="1:21" s="49" customFormat="1" ht="65" customHeight="1" x14ac:dyDescent="0.2">
      <c r="A12" s="71" t="s">
        <v>41</v>
      </c>
      <c r="B12" s="72" t="s">
        <v>725</v>
      </c>
      <c r="C12" s="52" t="str">
        <f t="shared" si="2"/>
        <v>No</v>
      </c>
      <c r="D12" s="52" t="s">
        <v>726</v>
      </c>
      <c r="E12" s="52" t="s">
        <v>727</v>
      </c>
      <c r="F12" s="52" t="str">
        <f t="shared" si="1"/>
        <v>No</v>
      </c>
      <c r="G12" s="52" t="s">
        <v>12</v>
      </c>
      <c r="I12" s="52" t="s">
        <v>217</v>
      </c>
      <c r="J12" s="52" t="s">
        <v>214</v>
      </c>
      <c r="K12" s="52" t="s">
        <v>218</v>
      </c>
      <c r="L12" s="52" t="s">
        <v>4</v>
      </c>
    </row>
    <row r="13" spans="1:21" s="49" customFormat="1" ht="50" customHeight="1" x14ac:dyDescent="0.2">
      <c r="A13" s="71" t="s">
        <v>41</v>
      </c>
      <c r="B13" s="72" t="s">
        <v>728</v>
      </c>
      <c r="C13" s="52" t="str">
        <f t="shared" si="2"/>
        <v>No</v>
      </c>
      <c r="D13" s="52" t="s">
        <v>729</v>
      </c>
      <c r="E13" s="52" t="s">
        <v>730</v>
      </c>
      <c r="F13" s="52" t="str">
        <f t="shared" si="1"/>
        <v>No</v>
      </c>
      <c r="G13" s="52" t="s">
        <v>12</v>
      </c>
      <c r="I13" s="52" t="s">
        <v>217</v>
      </c>
      <c r="J13" s="52" t="s">
        <v>214</v>
      </c>
      <c r="K13" s="52" t="s">
        <v>218</v>
      </c>
      <c r="L13" s="52" t="s">
        <v>4</v>
      </c>
    </row>
    <row r="14" spans="1:21" s="49" customFormat="1" ht="50" customHeight="1" x14ac:dyDescent="0.2">
      <c r="A14" s="71" t="s">
        <v>41</v>
      </c>
      <c r="B14" s="72" t="s">
        <v>731</v>
      </c>
      <c r="C14" s="52" t="str">
        <f t="shared" si="2"/>
        <v>No</v>
      </c>
      <c r="D14" s="52" t="s">
        <v>732</v>
      </c>
      <c r="E14" s="52" t="s">
        <v>733</v>
      </c>
      <c r="F14" s="52" t="str">
        <f t="shared" si="1"/>
        <v>No</v>
      </c>
      <c r="G14" s="52" t="s">
        <v>12</v>
      </c>
      <c r="I14" s="52" t="s">
        <v>230</v>
      </c>
      <c r="J14" s="52" t="s">
        <v>31</v>
      </c>
      <c r="K14" s="52" t="s">
        <v>218</v>
      </c>
      <c r="L14" s="52" t="s">
        <v>4</v>
      </c>
    </row>
    <row r="15" spans="1:21" s="49" customFormat="1" ht="20" customHeight="1" x14ac:dyDescent="0.2">
      <c r="A15" s="69" t="s">
        <v>45</v>
      </c>
      <c r="B15" s="70" t="s">
        <v>734</v>
      </c>
      <c r="C15" s="52" t="str">
        <f t="shared" ref="C15:C23" si="3">IF(API_GATEWAYInUse="Yes","Yes","No")</f>
        <v>Yes</v>
      </c>
      <c r="D15" s="52" t="s">
        <v>735</v>
      </c>
      <c r="E15" s="52" t="s">
        <v>736</v>
      </c>
      <c r="F15" s="52" t="s">
        <v>31</v>
      </c>
      <c r="G15" s="52" t="s">
        <v>214</v>
      </c>
      <c r="I15" s="52" t="s">
        <v>217</v>
      </c>
      <c r="J15" s="52" t="s">
        <v>214</v>
      </c>
      <c r="K15" s="52" t="s">
        <v>7</v>
      </c>
      <c r="L15" s="52" t="s">
        <v>4</v>
      </c>
    </row>
    <row r="16" spans="1:21" s="49" customFormat="1" ht="50" customHeight="1" x14ac:dyDescent="0.2">
      <c r="A16" s="69" t="s">
        <v>45</v>
      </c>
      <c r="B16" s="70" t="s">
        <v>737</v>
      </c>
      <c r="C16" s="52" t="str">
        <f t="shared" si="3"/>
        <v>Yes</v>
      </c>
      <c r="D16" s="52" t="s">
        <v>738</v>
      </c>
      <c r="E16" s="52" t="s">
        <v>739</v>
      </c>
      <c r="F16" s="52" t="s">
        <v>31</v>
      </c>
      <c r="G16" s="52" t="s">
        <v>1437</v>
      </c>
      <c r="H16" s="49" t="s">
        <v>1442</v>
      </c>
      <c r="I16" s="52" t="s">
        <v>217</v>
      </c>
      <c r="J16" s="52" t="s">
        <v>214</v>
      </c>
      <c r="K16" s="52" t="s">
        <v>1448</v>
      </c>
      <c r="L16" s="52" t="s">
        <v>4</v>
      </c>
    </row>
    <row r="17" spans="1:12" s="49" customFormat="1" ht="50" customHeight="1" x14ac:dyDescent="0.2">
      <c r="A17" s="69" t="s">
        <v>45</v>
      </c>
      <c r="B17" s="70" t="s">
        <v>740</v>
      </c>
      <c r="C17" s="52" t="str">
        <f t="shared" si="3"/>
        <v>Yes</v>
      </c>
      <c r="D17" s="52" t="s">
        <v>741</v>
      </c>
      <c r="E17" s="52" t="s">
        <v>742</v>
      </c>
      <c r="F17" s="52" t="s">
        <v>31</v>
      </c>
      <c r="G17" s="52" t="s">
        <v>214</v>
      </c>
      <c r="H17" s="49" t="s">
        <v>1443</v>
      </c>
      <c r="I17" s="52" t="s">
        <v>230</v>
      </c>
      <c r="J17" s="52" t="s">
        <v>31</v>
      </c>
      <c r="K17" s="52" t="s">
        <v>7</v>
      </c>
      <c r="L17" s="52" t="s">
        <v>4</v>
      </c>
    </row>
    <row r="18" spans="1:12" s="49" customFormat="1" ht="35" customHeight="1" x14ac:dyDescent="0.2">
      <c r="A18" s="69" t="s">
        <v>45</v>
      </c>
      <c r="B18" s="70" t="s">
        <v>743</v>
      </c>
      <c r="C18" s="52" t="str">
        <f t="shared" si="3"/>
        <v>Yes</v>
      </c>
      <c r="D18" s="52" t="s">
        <v>744</v>
      </c>
      <c r="E18" s="52" t="s">
        <v>745</v>
      </c>
      <c r="F18" s="52" t="s">
        <v>31</v>
      </c>
      <c r="G18" s="52" t="s">
        <v>214</v>
      </c>
      <c r="I18" s="52" t="s">
        <v>217</v>
      </c>
      <c r="J18" s="52" t="s">
        <v>214</v>
      </c>
      <c r="K18" s="52" t="s">
        <v>7</v>
      </c>
      <c r="L18" s="52" t="s">
        <v>4</v>
      </c>
    </row>
    <row r="19" spans="1:12" s="49" customFormat="1" ht="35" customHeight="1" x14ac:dyDescent="0.2">
      <c r="A19" s="69" t="s">
        <v>45</v>
      </c>
      <c r="B19" s="70" t="s">
        <v>746</v>
      </c>
      <c r="C19" s="52" t="str">
        <f t="shared" si="3"/>
        <v>Yes</v>
      </c>
      <c r="D19" s="52" t="s">
        <v>747</v>
      </c>
      <c r="E19" s="52" t="s">
        <v>748</v>
      </c>
      <c r="F19" s="52" t="s">
        <v>31</v>
      </c>
      <c r="G19" s="52" t="s">
        <v>1437</v>
      </c>
      <c r="H19" s="49" t="s">
        <v>1444</v>
      </c>
      <c r="I19" s="52" t="s">
        <v>230</v>
      </c>
      <c r="J19" s="52" t="s">
        <v>31</v>
      </c>
      <c r="K19" s="52" t="s">
        <v>1448</v>
      </c>
      <c r="L19" s="52" t="s">
        <v>4</v>
      </c>
    </row>
    <row r="20" spans="1:12" s="49" customFormat="1" ht="35" customHeight="1" x14ac:dyDescent="0.2">
      <c r="A20" s="69" t="s">
        <v>45</v>
      </c>
      <c r="B20" s="70" t="s">
        <v>749</v>
      </c>
      <c r="C20" s="52" t="str">
        <f t="shared" si="3"/>
        <v>Yes</v>
      </c>
      <c r="D20" s="52" t="s">
        <v>750</v>
      </c>
      <c r="E20" s="52" t="s">
        <v>751</v>
      </c>
      <c r="F20" s="52" t="s">
        <v>31</v>
      </c>
      <c r="G20" s="52" t="s">
        <v>214</v>
      </c>
      <c r="H20" s="49" t="s">
        <v>1445</v>
      </c>
      <c r="I20" s="52" t="s">
        <v>217</v>
      </c>
      <c r="J20" s="52" t="s">
        <v>214</v>
      </c>
      <c r="K20" s="52" t="s">
        <v>7</v>
      </c>
      <c r="L20" s="52" t="s">
        <v>4</v>
      </c>
    </row>
    <row r="21" spans="1:12" s="49" customFormat="1" ht="35" customHeight="1" x14ac:dyDescent="0.2">
      <c r="A21" s="69" t="s">
        <v>45</v>
      </c>
      <c r="B21" s="70" t="s">
        <v>752</v>
      </c>
      <c r="C21" s="52" t="str">
        <f t="shared" si="3"/>
        <v>Yes</v>
      </c>
      <c r="D21" s="52" t="s">
        <v>753</v>
      </c>
      <c r="E21" s="52" t="s">
        <v>754</v>
      </c>
      <c r="F21" s="52" t="s">
        <v>31</v>
      </c>
      <c r="G21" s="52" t="s">
        <v>214</v>
      </c>
      <c r="H21" s="49" t="s">
        <v>1446</v>
      </c>
      <c r="I21" s="52" t="s">
        <v>217</v>
      </c>
      <c r="J21" s="52" t="s">
        <v>214</v>
      </c>
      <c r="K21" s="52" t="s">
        <v>7</v>
      </c>
      <c r="L21" s="52" t="s">
        <v>4</v>
      </c>
    </row>
    <row r="22" spans="1:12" s="49" customFormat="1" ht="20" customHeight="1" x14ac:dyDescent="0.2">
      <c r="A22" s="69" t="s">
        <v>45</v>
      </c>
      <c r="B22" s="70" t="s">
        <v>755</v>
      </c>
      <c r="C22" s="52" t="str">
        <f t="shared" si="3"/>
        <v>Yes</v>
      </c>
      <c r="D22" s="52" t="s">
        <v>756</v>
      </c>
      <c r="E22" s="52" t="s">
        <v>757</v>
      </c>
      <c r="F22" s="52" t="s">
        <v>31</v>
      </c>
      <c r="G22" s="52" t="s">
        <v>1437</v>
      </c>
      <c r="H22" s="49" t="s">
        <v>1447</v>
      </c>
      <c r="I22" s="52" t="s">
        <v>217</v>
      </c>
      <c r="J22" s="52" t="s">
        <v>214</v>
      </c>
      <c r="K22" s="52" t="s">
        <v>1448</v>
      </c>
      <c r="L22" s="52" t="s">
        <v>4</v>
      </c>
    </row>
    <row r="23" spans="1:12" s="49" customFormat="1" ht="35" customHeight="1" x14ac:dyDescent="0.2">
      <c r="A23" s="69" t="s">
        <v>45</v>
      </c>
      <c r="B23" s="70" t="s">
        <v>758</v>
      </c>
      <c r="C23" s="52" t="str">
        <f t="shared" si="3"/>
        <v>Yes</v>
      </c>
      <c r="D23" s="52" t="s">
        <v>759</v>
      </c>
      <c r="E23" s="52" t="s">
        <v>760</v>
      </c>
      <c r="F23" s="52" t="s">
        <v>31</v>
      </c>
      <c r="G23" s="52" t="s">
        <v>214</v>
      </c>
      <c r="H23" s="49" t="s">
        <v>1449</v>
      </c>
      <c r="I23" s="52" t="s">
        <v>217</v>
      </c>
      <c r="J23" s="52" t="s">
        <v>214</v>
      </c>
      <c r="K23" s="52" t="s">
        <v>7</v>
      </c>
      <c r="L23" s="52" t="s">
        <v>4</v>
      </c>
    </row>
    <row r="24" spans="1:12" s="49" customFormat="1" ht="35" customHeight="1" x14ac:dyDescent="0.2">
      <c r="A24" s="71" t="s">
        <v>49</v>
      </c>
      <c r="B24" s="72" t="s">
        <v>761</v>
      </c>
      <c r="C24" s="52" t="str">
        <f>IF(TRANSIT_GATEWAYInUse="Yes","Yes","No")</f>
        <v>No</v>
      </c>
      <c r="D24" s="52" t="s">
        <v>762</v>
      </c>
      <c r="E24" s="52" t="s">
        <v>763</v>
      </c>
      <c r="F24" s="52" t="str">
        <f t="shared" si="1"/>
        <v>No</v>
      </c>
      <c r="G24" s="52" t="s">
        <v>12</v>
      </c>
      <c r="I24" s="52" t="s">
        <v>217</v>
      </c>
      <c r="J24" s="52" t="s">
        <v>214</v>
      </c>
      <c r="K24" s="52" t="s">
        <v>218</v>
      </c>
      <c r="L24" s="52" t="s">
        <v>4</v>
      </c>
    </row>
    <row r="25" spans="1:12" s="49" customFormat="1" ht="65" customHeight="1" x14ac:dyDescent="0.2">
      <c r="A25" s="71" t="s">
        <v>49</v>
      </c>
      <c r="B25" s="72" t="s">
        <v>764</v>
      </c>
      <c r="C25" s="52" t="str">
        <f>IF(TRANSIT_GATEWAYInUse="Yes","Yes","No")</f>
        <v>No</v>
      </c>
      <c r="D25" s="52" t="s">
        <v>765</v>
      </c>
      <c r="E25" s="52" t="s">
        <v>766</v>
      </c>
      <c r="F25" s="52" t="str">
        <f t="shared" si="1"/>
        <v>No</v>
      </c>
      <c r="G25" s="52" t="s">
        <v>12</v>
      </c>
      <c r="I25" s="52" t="s">
        <v>217</v>
      </c>
      <c r="J25" s="52" t="s">
        <v>214</v>
      </c>
      <c r="K25" s="52" t="s">
        <v>218</v>
      </c>
      <c r="L25" s="52" t="s">
        <v>4</v>
      </c>
    </row>
    <row r="26" spans="1:12" s="49" customFormat="1" ht="50" customHeight="1" x14ac:dyDescent="0.2">
      <c r="A26" s="69" t="s">
        <v>52</v>
      </c>
      <c r="B26" s="70" t="s">
        <v>767</v>
      </c>
      <c r="C26" s="52" t="str">
        <f>IF(NETWORK_FIREWALLInUse="Yes","Yes","No")</f>
        <v>No</v>
      </c>
      <c r="D26" s="52" t="s">
        <v>768</v>
      </c>
      <c r="E26" s="52" t="s">
        <v>769</v>
      </c>
      <c r="F26" s="52" t="str">
        <f t="shared" si="1"/>
        <v>No</v>
      </c>
      <c r="G26" s="52" t="s">
        <v>12</v>
      </c>
      <c r="I26" s="52" t="s">
        <v>217</v>
      </c>
      <c r="J26" s="52" t="s">
        <v>214</v>
      </c>
      <c r="K26" s="52" t="s">
        <v>218</v>
      </c>
      <c r="L26" s="52" t="s">
        <v>4</v>
      </c>
    </row>
    <row r="27" spans="1:12" s="49" customFormat="1" ht="35" customHeight="1" x14ac:dyDescent="0.2">
      <c r="A27" s="71" t="s">
        <v>55</v>
      </c>
      <c r="B27" s="72" t="s">
        <v>770</v>
      </c>
      <c r="C27" s="52" t="str">
        <f>IF(AWS_NETWORK_MANAGERInUse="Yes","Yes","No")</f>
        <v>No</v>
      </c>
      <c r="D27" s="52" t="s">
        <v>771</v>
      </c>
      <c r="E27" s="52" t="s">
        <v>772</v>
      </c>
      <c r="F27" s="52" t="str">
        <f t="shared" si="1"/>
        <v>No</v>
      </c>
      <c r="G27" s="52" t="s">
        <v>12</v>
      </c>
      <c r="I27" s="52" t="s">
        <v>230</v>
      </c>
      <c r="J27" s="52" t="s">
        <v>31</v>
      </c>
      <c r="K27" s="52" t="s">
        <v>218</v>
      </c>
      <c r="L27" s="52" t="s">
        <v>4</v>
      </c>
    </row>
  </sheetData>
  <autoFilter ref="A1:L1" xr:uid="{00000000-0009-0000-0000-000008000000}"/>
  <dataValidations count="2">
    <dataValidation type="list" sqref="G2:G27" xr:uid="{00000000-0002-0000-0800-000000000000}">
      <formula1>"-,Yes,No; explanation in comments"</formula1>
    </dataValidation>
    <dataValidation type="list" sqref="K2:K27" xr:uid="{00000000-0002-0000-0800-000002000000}">
      <formula1>"Mitigated,Not Mitigated,Not Assessed Yet,N/A"</formula1>
    </dataValidation>
  </dataValidations>
  <pageMargins left="0.7" right="0.7" top="0.75" bottom="0.75" header="0.3" footer="0.3"/>
  <pageSetup orientation="portrait" horizontalDpi="4294967295" verticalDpi="4294967295"/>
  <extLst>
    <ext xmlns:x14="http://schemas.microsoft.com/office/spreadsheetml/2009/9/main" uri="{78C0D931-6437-407d-A8EE-F0AAD7539E65}">
      <x14:conditionalFormattings>
        <x14:conditionalFormatting xmlns:xm="http://schemas.microsoft.com/office/excel/2006/main">
          <x14:cfRule type="containsText" priority="1" operator="containsText" id="{00000000-000E-0000-0800-000001000000}">
            <xm:f>NOT(ISERROR(SEARCH("Yes",F2)))</xm:f>
            <x14:dxf>
              <font>
                <color rgb="FF9C6500"/>
              </font>
              <fill>
                <patternFill patternType="solid">
                  <bgColor rgb="FFFFEB9C"/>
                </patternFill>
              </fill>
            </x14:dxf>
          </x14:cfRule>
          <xm:sqref>F2:F27</xm:sqref>
        </x14:conditionalFormatting>
        <x14:conditionalFormatting xmlns:xm="http://schemas.microsoft.com/office/excel/2006/main">
          <x14:cfRule type="containsText" priority="2" operator="containsText" id="{00000000-000E-0000-0800-000002000000}">
            <xm:f>NOT(ISERROR(SEARCH("Yes",G2)))</xm:f>
            <x14:dxf>
              <font>
                <color rgb="FF006100"/>
              </font>
              <fill>
                <patternFill patternType="solid">
                  <bgColor rgb="FFC6EFCE"/>
                </patternFill>
              </fill>
            </x14:dxf>
          </x14:cfRule>
          <x14:cfRule type="containsText" priority="2" operator="containsText" id="{00000000-000E-0000-0800-000002000000}">
            <xm:f>NOT(ISERROR(SEARCH("No; explanation in comments",G2)))</xm:f>
            <x14:dxf>
              <font>
                <color rgb="FF9C0006"/>
              </font>
              <fill>
                <patternFill patternType="solid">
                  <bgColor rgb="FFFFC7CE"/>
                </patternFill>
              </fill>
            </x14:dxf>
          </x14:cfRule>
          <xm:sqref>G2:G27</xm:sqref>
        </x14:conditionalFormatting>
        <x14:conditionalFormatting xmlns:xm="http://schemas.microsoft.com/office/excel/2006/main">
          <x14:cfRule type="containsText" priority="3" operator="containsText" id="{00000000-000E-0000-0800-000003000000}">
            <xm:f>NOT(ISERROR(SEARCH("Yes",J2)))</xm:f>
            <x14:dxf>
              <font>
                <b/>
                <i/>
                <color rgb="FF403151"/>
              </font>
              <fill>
                <patternFill patternType="solid">
                  <bgColor rgb="FFCCC0DA"/>
                </patternFill>
              </fill>
            </x14:dxf>
          </x14:cfRule>
          <xm:sqref>J2:J27</xm:sqref>
        </x14:conditionalFormatting>
        <x14:conditionalFormatting xmlns:xm="http://schemas.microsoft.com/office/excel/2006/main">
          <x14:cfRule type="containsText" priority="4" operator="containsText" id="{00000000-000E-0000-0800-000004000000}">
            <xm:f>NOT(ISERROR(SEARCH("Mitigated",K2)))</xm:f>
            <x14:dxf>
              <font>
                <color rgb="FF006100"/>
              </font>
              <fill>
                <patternFill patternType="solid">
                  <bgColor rgb="FFC6EFCE"/>
                </patternFill>
              </fill>
            </x14:dxf>
          </x14:cfRule>
          <x14:cfRule type="containsText" priority="4" operator="containsText" id="{00000000-000E-0000-0800-000004000000}">
            <xm:f>NOT(ISERROR(SEARCH("Not Mitigated",K2)))</xm:f>
            <x14:dxf>
              <font>
                <color rgb="FF9C0006"/>
              </font>
              <fill>
                <patternFill patternType="solid">
                  <bgColor rgb="FFFFC7CE"/>
                </patternFill>
              </fill>
            </x14:dxf>
          </x14:cfRule>
          <xm:sqref>K2:K27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135</vt:i4>
      </vt:variant>
    </vt:vector>
  </HeadingPairs>
  <TitlesOfParts>
    <vt:vector size="154" baseType="lpstr">
      <vt:lpstr>Instructions</vt:lpstr>
      <vt:lpstr>Summary</vt:lpstr>
      <vt:lpstr>List of Services</vt:lpstr>
      <vt:lpstr>Code Scanning Tools</vt:lpstr>
      <vt:lpstr>I. General</vt:lpstr>
      <vt:lpstr>II. Compute</vt:lpstr>
      <vt:lpstr>III. Storage</vt:lpstr>
      <vt:lpstr>IV. Databases</vt:lpstr>
      <vt:lpstr>V. Network &amp; Delivery</vt:lpstr>
      <vt:lpstr>VI. Management &amp; Governance</vt:lpstr>
      <vt:lpstr>VII. Machine Learning</vt:lpstr>
      <vt:lpstr>VIII. Analytics</vt:lpstr>
      <vt:lpstr>IX. Security &amp; Compliance</vt:lpstr>
      <vt:lpstr>X. Serverless</vt:lpstr>
      <vt:lpstr>XI. Application Integration</vt:lpstr>
      <vt:lpstr>XII. Media Services</vt:lpstr>
      <vt:lpstr>XIII. Developer Tools</vt:lpstr>
      <vt:lpstr>XIV. Internet of Things</vt:lpstr>
      <vt:lpstr>Release Notes</vt:lpstr>
      <vt:lpstr>AMAZON_LEXInUse</vt:lpstr>
      <vt:lpstr>AMAZON_REKOGNITIONInUse</vt:lpstr>
      <vt:lpstr>AMAZON_S3InUse</vt:lpstr>
      <vt:lpstr>ANALYTICSTotalAnswered</vt:lpstr>
      <vt:lpstr>ANALYTICSTotalAnsweredNo</vt:lpstr>
      <vt:lpstr>ANALYTICSTotalIdentified</vt:lpstr>
      <vt:lpstr>ANALYTICSTotalReviewedRiskMitigated</vt:lpstr>
      <vt:lpstr>ANALYTICSTotalReviewedRiskNotMitigated</vt:lpstr>
      <vt:lpstr>API_GATEWAYInUse</vt:lpstr>
      <vt:lpstr>APPLICATION_INTEGRATIONTotalAnswered</vt:lpstr>
      <vt:lpstr>APPLICATION_INTEGRATIONTotalAnsweredNo</vt:lpstr>
      <vt:lpstr>APPLICATION_INTEGRATIONTotalIdentified</vt:lpstr>
      <vt:lpstr>APPLICATION_INTEGRATIONTotalReviewedRiskMitigated</vt:lpstr>
      <vt:lpstr>APPLICATION_INTEGRATIONTotalReviewedRiskNotMitigated</vt:lpstr>
      <vt:lpstr>APPSYNCInUse</vt:lpstr>
      <vt:lpstr>ATHENAInUse</vt:lpstr>
      <vt:lpstr>AUTO_SCALINGInUse</vt:lpstr>
      <vt:lpstr>AWS_NETWORK_MANAGERInUse</vt:lpstr>
      <vt:lpstr>AWS_ORGANIZATIONSInUse</vt:lpstr>
      <vt:lpstr>AWS_RESOURCE_ACCESS_MANAGERInUse</vt:lpstr>
      <vt:lpstr>AWS_SECURITY_TOKEN_SERVICEInUse</vt:lpstr>
      <vt:lpstr>AWS_SYSTEM_MANAGER_AUTOMATION_DOCUMENTInUse</vt:lpstr>
      <vt:lpstr>BATCHInUse</vt:lpstr>
      <vt:lpstr>CLOUD_FORMATIONInUse</vt:lpstr>
      <vt:lpstr>CLOUD9InUse</vt:lpstr>
      <vt:lpstr>CLOUDFRONTInUse</vt:lpstr>
      <vt:lpstr>CLOUDWATCHInUse</vt:lpstr>
      <vt:lpstr>CODE_BUILDInUse</vt:lpstr>
      <vt:lpstr>CODE_COMMITInUse</vt:lpstr>
      <vt:lpstr>COGNITOInUse</vt:lpstr>
      <vt:lpstr>COMPREHENDInUse</vt:lpstr>
      <vt:lpstr>COMPUTETotalAnswered</vt:lpstr>
      <vt:lpstr>COMPUTETotalAnsweredNo</vt:lpstr>
      <vt:lpstr>COMPUTETotalIdentified</vt:lpstr>
      <vt:lpstr>COMPUTETotalReviewedRiskMitigated</vt:lpstr>
      <vt:lpstr>COMPUTETotalReviewedRiskNotMitigated</vt:lpstr>
      <vt:lpstr>DATABASESTotalAnswered</vt:lpstr>
      <vt:lpstr>DATABASESTotalAnsweredNo</vt:lpstr>
      <vt:lpstr>DATABASESTotalIdentified</vt:lpstr>
      <vt:lpstr>DATABASESTotalReviewedRiskMitigated</vt:lpstr>
      <vt:lpstr>DATABASESTotalReviewedRiskNotMitigated</vt:lpstr>
      <vt:lpstr>DEVELOPER_TOOLSTotalAnswered</vt:lpstr>
      <vt:lpstr>DEVELOPER_TOOLSTotalAnsweredNo</vt:lpstr>
      <vt:lpstr>DEVELOPER_TOOLSTotalIdentified</vt:lpstr>
      <vt:lpstr>DEVELOPER_TOOLSTotalReviewedRiskMitigated</vt:lpstr>
      <vt:lpstr>DEVELOPER_TOOLSTotalReviewedRiskNotMitigated</vt:lpstr>
      <vt:lpstr>DOCUMENT_DBInUse</vt:lpstr>
      <vt:lpstr>DYNAMO_DBInUse</vt:lpstr>
      <vt:lpstr>EC2InUse</vt:lpstr>
      <vt:lpstr>ECRInUse</vt:lpstr>
      <vt:lpstr>ECSInUse</vt:lpstr>
      <vt:lpstr>EFSInUse</vt:lpstr>
      <vt:lpstr>EKSInUse</vt:lpstr>
      <vt:lpstr>ELASTIC_BEANSTALKInUse</vt:lpstr>
      <vt:lpstr>ELASTIC_LOAD_BALANCINGInUse</vt:lpstr>
      <vt:lpstr>ELASTIC_MAP_REDUCEInUse</vt:lpstr>
      <vt:lpstr>ELASTICACHEInUse</vt:lpstr>
      <vt:lpstr>EVENT_BRIDGEInUse</vt:lpstr>
      <vt:lpstr>FORECASTInUse</vt:lpstr>
      <vt:lpstr>FSX_NInUse</vt:lpstr>
      <vt:lpstr>FSXInUse</vt:lpstr>
      <vt:lpstr>GENERALTotalAnswered</vt:lpstr>
      <vt:lpstr>GENERALTotalAnsweredNo</vt:lpstr>
      <vt:lpstr>GENERALTotalIdentified</vt:lpstr>
      <vt:lpstr>GENERALTotalReviewedRiskMitigated</vt:lpstr>
      <vt:lpstr>GENERALTotalReviewedRiskNotMitigated</vt:lpstr>
      <vt:lpstr>GLUEInUse</vt:lpstr>
      <vt:lpstr>IAMInUse</vt:lpstr>
      <vt:lpstr>INTERNET_OF_THINGSTotalAnswered</vt:lpstr>
      <vt:lpstr>INTERNET_OF_THINGSTotalAnsweredNo</vt:lpstr>
      <vt:lpstr>INTERNET_OF_THINGSTotalIdentified</vt:lpstr>
      <vt:lpstr>INTERNET_OF_THINGSTotalReviewedRiskMitigated</vt:lpstr>
      <vt:lpstr>INTERNET_OF_THINGSTotalReviewedRiskNotMitigated</vt:lpstr>
      <vt:lpstr>IOT_COREInUse</vt:lpstr>
      <vt:lpstr>KEY_MANAGEMENT_SERVICEInUse</vt:lpstr>
      <vt:lpstr>KINESIS_DATA_ANALYTICSInUse</vt:lpstr>
      <vt:lpstr>KINESIS_DATA_FIREHOSEInUse</vt:lpstr>
      <vt:lpstr>KINESIS_DATA_STREAMInUse</vt:lpstr>
      <vt:lpstr>LAMBDAInUse</vt:lpstr>
      <vt:lpstr>MACHINE_LEARNINGTotalAnswered</vt:lpstr>
      <vt:lpstr>MACHINE_LEARNINGTotalAnsweredNo</vt:lpstr>
      <vt:lpstr>MACHINE_LEARNINGTotalIdentified</vt:lpstr>
      <vt:lpstr>MACHINE_LEARNINGTotalReviewedRiskMitigated</vt:lpstr>
      <vt:lpstr>MACHINE_LEARNINGTotalReviewedRiskNotMitigated</vt:lpstr>
      <vt:lpstr>MANAGED_STREAMING_FOR_APACHE_KAFKAInUse</vt:lpstr>
      <vt:lpstr>MANAGEMENT_AND_GOVERNANCETotalAnswered</vt:lpstr>
      <vt:lpstr>MANAGEMENT_AND_GOVERNANCETotalAnsweredNo</vt:lpstr>
      <vt:lpstr>MANAGEMENT_AND_GOVERNANCETotalIdentified</vt:lpstr>
      <vt:lpstr>MANAGEMENT_AND_GOVERNANCETotalReviewedRiskMitigated</vt:lpstr>
      <vt:lpstr>MANAGEMENT_AND_GOVERNANCETotalReviewedRiskNotMitigated</vt:lpstr>
      <vt:lpstr>MEDIA_LIVEInUse</vt:lpstr>
      <vt:lpstr>MEDIA_SERVICESTotalAnswered</vt:lpstr>
      <vt:lpstr>MEDIA_SERVICESTotalAnsweredNo</vt:lpstr>
      <vt:lpstr>MEDIA_SERVICESTotalIdentified</vt:lpstr>
      <vt:lpstr>MEDIA_SERVICESTotalReviewedRiskMitigated</vt:lpstr>
      <vt:lpstr>MEDIA_SERVICESTotalReviewedRiskNotMitigated</vt:lpstr>
      <vt:lpstr>MEDIA_STOREInUse</vt:lpstr>
      <vt:lpstr>NEPTUNEInUse</vt:lpstr>
      <vt:lpstr>NETWORK_AND_DELIVERYTotalAnswered</vt:lpstr>
      <vt:lpstr>NETWORK_AND_DELIVERYTotalAnsweredNo</vt:lpstr>
      <vt:lpstr>NETWORK_AND_DELIVERYTotalIdentified</vt:lpstr>
      <vt:lpstr>NETWORK_AND_DELIVERYTotalReviewedRiskMitigated</vt:lpstr>
      <vt:lpstr>NETWORK_AND_DELIVERYTotalReviewedRiskNotMitigated</vt:lpstr>
      <vt:lpstr>NETWORK_FIREWALLInUse</vt:lpstr>
      <vt:lpstr>OPENSEARCHInUse</vt:lpstr>
      <vt:lpstr>PARAMETER_STOREInUse</vt:lpstr>
      <vt:lpstr>PERSONALIZEInUse</vt:lpstr>
      <vt:lpstr>QUICKSIGHTInUse</vt:lpstr>
      <vt:lpstr>RDSInUse</vt:lpstr>
      <vt:lpstr>REDSHIFTInUse</vt:lpstr>
      <vt:lpstr>SAGEMAKERInUse</vt:lpstr>
      <vt:lpstr>SECRETS_MANAGERInUse</vt:lpstr>
      <vt:lpstr>SECURITY_AND_COMPLIANCETotalAnswered</vt:lpstr>
      <vt:lpstr>SECURITY_AND_COMPLIANCETotalAnsweredNo</vt:lpstr>
      <vt:lpstr>SECURITY_AND_COMPLIANCETotalIdentified</vt:lpstr>
      <vt:lpstr>SECURITY_AND_COMPLIANCETotalReviewedRiskMitigated</vt:lpstr>
      <vt:lpstr>SECURITY_AND_COMPLIANCETotalReviewedRiskNotMitigated</vt:lpstr>
      <vt:lpstr>SERVERLESSTotalAnswered</vt:lpstr>
      <vt:lpstr>SERVERLESSTotalAnsweredNo</vt:lpstr>
      <vt:lpstr>SERVERLESSTotalIdentified</vt:lpstr>
      <vt:lpstr>SERVERLESSTotalReviewedRiskMitigated</vt:lpstr>
      <vt:lpstr>SERVERLESSTotalReviewedRiskNotMitigated</vt:lpstr>
      <vt:lpstr>SLTotalAnswered</vt:lpstr>
      <vt:lpstr>SLTotalIdentified</vt:lpstr>
      <vt:lpstr>SNSInUse</vt:lpstr>
      <vt:lpstr>SQSInUse</vt:lpstr>
      <vt:lpstr>STEP_FUNCTIONSInUse</vt:lpstr>
      <vt:lpstr>STORAGETotalAnswered</vt:lpstr>
      <vt:lpstr>STORAGETotalAnsweredNo</vt:lpstr>
      <vt:lpstr>STORAGETotalIdentified</vt:lpstr>
      <vt:lpstr>STORAGETotalReviewedRiskMitigated</vt:lpstr>
      <vt:lpstr>STORAGETotalReviewedRiskNotMitigated</vt:lpstr>
      <vt:lpstr>TIMESTREAMInUse</vt:lpstr>
      <vt:lpstr>TRANSIT_GATEWAYInUse</vt:lpstr>
      <vt:lpstr>VPCInUse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2023-04-11T19:10:54Z</cp:lastPrinted>
  <dcterms:created xsi:type="dcterms:W3CDTF">2023-04-11T19:10:54Z</dcterms:created>
  <dcterms:modified xsi:type="dcterms:W3CDTF">2023-08-28T07:13:30Z</dcterms:modified>
  <cp:category/>
</cp:coreProperties>
</file>