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rc\Cdk\ec2-instance-watchdog\doc\"/>
    </mc:Choice>
  </mc:AlternateContent>
  <xr:revisionPtr revIDLastSave="0" documentId="13_ncr:1_{1D0C743D-23F4-4DAC-9366-684E94B79FD8}" xr6:coauthVersionLast="47" xr6:coauthVersionMax="47" xr10:uidLastSave="{00000000-0000-0000-0000-000000000000}"/>
  <bookViews>
    <workbookView xWindow="-120" yWindow="-120" windowWidth="29040" windowHeight="15720" xr2:uid="{E24FE04E-2BAD-469E-9CCD-04368567B0DD}"/>
  </bookViews>
  <sheets>
    <sheet name="Tabl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6" i="1" l="1"/>
  <c r="H58" i="1"/>
  <c r="J58" i="1"/>
  <c r="H57" i="1"/>
  <c r="H44" i="1"/>
  <c r="H43" i="1"/>
  <c r="I25" i="1"/>
  <c r="J78" i="1"/>
  <c r="J77" i="1"/>
  <c r="H65" i="1"/>
  <c r="J65" i="1"/>
  <c r="H60" i="1"/>
  <c r="H66" i="1" s="1"/>
  <c r="M66" i="1" s="1"/>
  <c r="J57" i="1"/>
  <c r="H45" i="1"/>
  <c r="M45" i="1" s="1"/>
  <c r="J43" i="1"/>
  <c r="J42" i="1"/>
  <c r="H42" i="1"/>
  <c r="M71" i="1"/>
  <c r="M68" i="1" s="1"/>
  <c r="H41" i="1"/>
  <c r="M41" i="1" s="1"/>
  <c r="H40" i="1"/>
  <c r="M86" i="1" l="1"/>
  <c r="M85" i="1"/>
  <c r="M65" i="1"/>
  <c r="M62" i="1" s="1"/>
  <c r="M44" i="1"/>
  <c r="B26" i="1"/>
  <c r="M60" i="1"/>
  <c r="M42" i="1"/>
  <c r="M40" i="1"/>
  <c r="M43" i="1" l="1"/>
  <c r="M37" i="1" s="1"/>
  <c r="H51" i="1"/>
  <c r="H52" i="1" s="1"/>
  <c r="H59" i="1" s="1"/>
  <c r="I31" i="1"/>
  <c r="I32" i="1" l="1"/>
  <c r="H50" i="1"/>
  <c r="M50" i="1" s="1"/>
  <c r="M59" i="1"/>
  <c r="M58" i="1"/>
  <c r="M51" i="1"/>
  <c r="M52" i="1"/>
  <c r="H77" i="1" l="1"/>
  <c r="H87" i="1" s="1"/>
  <c r="M87" i="1" s="1"/>
  <c r="M82" i="1" s="1"/>
  <c r="M80" i="1" s="1"/>
  <c r="M57" i="1"/>
  <c r="M54" i="1" s="1"/>
  <c r="M47" i="1"/>
  <c r="M76" i="1" l="1"/>
  <c r="M77" i="1"/>
  <c r="H78" i="1"/>
  <c r="M78" i="1" s="1"/>
  <c r="M73" i="1" l="1"/>
  <c r="M35" i="1" s="1"/>
</calcChain>
</file>

<file path=xl/sharedStrings.xml><?xml version="1.0" encoding="utf-8"?>
<sst xmlns="http://schemas.openxmlformats.org/spreadsheetml/2006/main" count="135" uniqueCount="89">
  <si>
    <t>This cost estimation is based on the public pricing of the identified AWS services, captured and simplified in this</t>
  </si>
  <si>
    <t>AWS Pricing Calculator, since pricing can change and this spreadsheet has not undergone sufficient review and testing.</t>
  </si>
  <si>
    <t>AWS Pricing Calculator</t>
  </si>
  <si>
    <t xml:space="preserve">spreadsheet for casual estimation purposes.  Note that costs derived from this spreadsheet must be validated using the </t>
  </si>
  <si>
    <t>[pricing]</t>
  </si>
  <si>
    <t>Assumptions:</t>
  </si>
  <si>
    <t>cnt</t>
  </si>
  <si>
    <t>rate</t>
  </si>
  <si>
    <t>amt</t>
  </si>
  <si>
    <t>- No bounded free tier discounts</t>
  </si>
  <si>
    <t>unit</t>
  </si>
  <si>
    <t>GB</t>
  </si>
  <si>
    <t>Notes</t>
  </si>
  <si>
    <t>Storage</t>
  </si>
  <si>
    <t>1K</t>
  </si>
  <si>
    <t>- Region = US-East-1</t>
  </si>
  <si>
    <t>- No public volume discounts</t>
  </si>
  <si>
    <r>
      <t xml:space="preserve">- Cost estimate is </t>
    </r>
    <r>
      <rPr>
        <b/>
        <sz val="11"/>
        <color theme="1"/>
        <rFont val="Calibri"/>
        <family val="2"/>
        <scheme val="minor"/>
      </rPr>
      <t>per month</t>
    </r>
  </si>
  <si>
    <t>CDK/CFN Parameters:</t>
  </si>
  <si>
    <t>- StopAction = Enabled</t>
  </si>
  <si>
    <t>- TerminateActdion = Enabled</t>
  </si>
  <si>
    <t>- Defaults unless specified here</t>
  </si>
  <si>
    <t>- SnsTopicName = Specified</t>
  </si>
  <si>
    <t>Excludes:</t>
  </si>
  <si>
    <t>- Administrative activity (ex: retreiving logs)</t>
  </si>
  <si>
    <t>- SNS subscription deliveries (ex: emails)</t>
  </si>
  <si>
    <t>About</t>
  </si>
  <si>
    <t>Constants</t>
  </si>
  <si>
    <t>Bytes / EC2 start event</t>
  </si>
  <si>
    <t>Bytes / EC2 tag change event</t>
  </si>
  <si>
    <t>Bytes / Next schedule event</t>
  </si>
  <si>
    <t>Bytes / Periodic schedule event</t>
  </si>
  <si>
    <t>CloudWatch Logs bytes / Lambda invocation</t>
  </si>
  <si>
    <t>EC2 instance starts / month</t>
  </si>
  <si>
    <t>Average Lambda duration / invocation (ms)</t>
  </si>
  <si>
    <t>Amazon EventBridge</t>
  </si>
  <si>
    <t>This is a cost estimation framework for:</t>
  </si>
  <si>
    <t>EC2 state change events and rule</t>
  </si>
  <si>
    <t>All state change events published by AWS services by default are free.</t>
  </si>
  <si>
    <t>EC2 tag change events and rule</t>
  </si>
  <si>
    <t>Next schedule invocations</t>
  </si>
  <si>
    <t>Next schedule invocations / month</t>
  </si>
  <si>
    <t>Periodic schedule invocations</t>
  </si>
  <si>
    <t>Amazon SQS</t>
  </si>
  <si>
    <t>FIFO send, receive, visibility, delete</t>
  </si>
  <si>
    <t>Data transfer IN</t>
  </si>
  <si>
    <t>Data transfer OUT</t>
  </si>
  <si>
    <t>AWS Lambda</t>
  </si>
  <si>
    <t>Requests</t>
  </si>
  <si>
    <t>1M</t>
  </si>
  <si>
    <t>SQS messages / month</t>
  </si>
  <si>
    <t>1 for every SQS message.</t>
  </si>
  <si>
    <t>Duration</t>
  </si>
  <si>
    <t>ARM, 256 MB</t>
  </si>
  <si>
    <t>1K sec</t>
  </si>
  <si>
    <t>Data transfer IN from SQS</t>
  </si>
  <si>
    <t>Data transfer OUT to SNS</t>
  </si>
  <si>
    <t>Free to/from Amazon SQS.</t>
  </si>
  <si>
    <t>Free to/from Amazon SNS.</t>
  </si>
  <si>
    <t>KB</t>
  </si>
  <si>
    <t>Amazon SNS</t>
  </si>
  <si>
    <t>Publishes (Standard)</t>
  </si>
  <si>
    <t>Up to 64 KB / message.</t>
  </si>
  <si>
    <t>Up to 64 KB / event.</t>
  </si>
  <si>
    <t>AWS Systems Manager</t>
  </si>
  <si>
    <t>Parameters (Standard)</t>
  </si>
  <si>
    <t>Amazon CloudWatch Logs</t>
  </si>
  <si>
    <t>Ingestion (Standard)</t>
  </si>
  <si>
    <t>Rules and event delivery are free.</t>
  </si>
  <si>
    <t>There is no Data Transfer IN charge for any of CloudWatch Logs.</t>
  </si>
  <si>
    <t>Lamba invocations / month</t>
  </si>
  <si>
    <t>Max for 3 month log retention.</t>
  </si>
  <si>
    <t>CloudWatch Logs retention (months)</t>
  </si>
  <si>
    <t>1 of each (send, receive, visibility, delete) for each SQS message.</t>
  </si>
  <si>
    <t>Data transfer IN from Lambda</t>
  </si>
  <si>
    <t>Inputs</t>
  </si>
  <si>
    <t>Periodic schedule invocations / month</t>
  </si>
  <si>
    <t>Costs - Default</t>
  </si>
  <si>
    <t>Costs - Optional</t>
  </si>
  <si>
    <t>Amazon CloudWatch Dashboard</t>
  </si>
  <si>
    <t>Metrics</t>
  </si>
  <si>
    <t>Dashboard</t>
  </si>
  <si>
    <t>Log Queries</t>
  </si>
  <si>
    <t>Guidance for Instance Expiration on AWS</t>
  </si>
  <si>
    <t>EC2 instance expiration tag changes / month</t>
  </si>
  <si>
    <t>Expiration actions / month</t>
  </si>
  <si>
    <t>Bytes / Expiration action event</t>
  </si>
  <si>
    <t>Expiration action events</t>
  </si>
  <si>
    <t>Expiration action rule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</si>
</sst>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8" formatCode="&quot;$&quot;#,##0.00_);[Red]\(&quot;$&quot;#,##0.00\)"/>
    <numFmt numFmtId="164" formatCode="&quot;$&quot;#,##0.000_);[Red]\(&quot;$&quot;#,##0.000\)"/>
    <numFmt numFmtId="165" formatCode="&quot;$&quot;#,##0.00000_);[Red]\(&quot;$&quot;#,##0.00000\)"/>
    <numFmt numFmtId="166" formatCode="0.000000"/>
    <numFmt numFmtId="167" formatCode="0.00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6600"/>
      <name val="Calibri"/>
      <family val="2"/>
      <scheme val="minor"/>
    </font>
    <font>
      <u/>
      <sz val="11"/>
      <color theme="1" tint="0.34998626667073579"/>
      <name val="Calibri"/>
      <family val="2"/>
      <scheme val="minor"/>
    </font>
    <font>
      <u/>
      <sz val="1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4" fillId="0" borderId="0" applyNumberFormat="0" applyFill="0" applyBorder="0" applyAlignment="0" applyProtection="0"/>
  </cellStyleXfs>
  <cellXfs count="40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2"/>
    <xf numFmtId="0" fontId="4" fillId="0" borderId="0" xfId="2" quotePrefix="1"/>
    <xf numFmtId="0" fontId="0" fillId="0" borderId="0" xfId="0" quotePrefix="1"/>
    <xf numFmtId="0" fontId="5" fillId="0" borderId="0" xfId="0" applyFont="1"/>
    <xf numFmtId="6" fontId="5" fillId="0" borderId="0" xfId="0" applyNumberFormat="1" applyFont="1"/>
    <xf numFmtId="8" fontId="5" fillId="0" borderId="0" xfId="0" applyNumberFormat="1" applyFont="1"/>
    <xf numFmtId="0" fontId="6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8" fillId="0" borderId="0" xfId="2" quotePrefix="1" applyFont="1"/>
    <xf numFmtId="0" fontId="0" fillId="3" borderId="0" xfId="0" quotePrefix="1" applyFill="1"/>
    <xf numFmtId="0" fontId="8" fillId="0" borderId="0" xfId="0" applyFont="1"/>
    <xf numFmtId="0" fontId="8" fillId="0" borderId="0" xfId="0" quotePrefix="1" applyFont="1"/>
    <xf numFmtId="0" fontId="8" fillId="0" borderId="0" xfId="0" applyFont="1" applyAlignment="1">
      <alignment horizontal="center"/>
    </xf>
    <xf numFmtId="0" fontId="7" fillId="0" borderId="0" xfId="0" applyFont="1"/>
    <xf numFmtId="0" fontId="8" fillId="3" borderId="0" xfId="0" applyFont="1" applyFill="1"/>
    <xf numFmtId="0" fontId="2" fillId="4" borderId="0" xfId="0" applyFont="1" applyFill="1" applyAlignment="1">
      <alignment horizontal="center"/>
    </xf>
    <xf numFmtId="164" fontId="5" fillId="0" borderId="0" xfId="0" applyNumberFormat="1" applyFont="1"/>
    <xf numFmtId="165" fontId="5" fillId="0" borderId="0" xfId="0" applyNumberFormat="1" applyFont="1"/>
    <xf numFmtId="166" fontId="5" fillId="0" borderId="0" xfId="0" applyNumberFormat="1" applyFont="1"/>
    <xf numFmtId="167" fontId="5" fillId="0" borderId="0" xfId="0" applyNumberFormat="1" applyFont="1"/>
    <xf numFmtId="0" fontId="8" fillId="3" borderId="0" xfId="0" applyFont="1" applyFill="1" applyAlignment="1">
      <alignment horizontal="right"/>
    </xf>
    <xf numFmtId="165" fontId="0" fillId="0" borderId="0" xfId="0" applyNumberFormat="1"/>
    <xf numFmtId="165" fontId="6" fillId="0" borderId="0" xfId="0" applyNumberFormat="1" applyFont="1" applyAlignment="1">
      <alignment horizontal="right"/>
    </xf>
    <xf numFmtId="8" fontId="0" fillId="0" borderId="0" xfId="0" applyNumberFormat="1"/>
    <xf numFmtId="8" fontId="2" fillId="0" borderId="0" xfId="0" applyNumberFormat="1" applyFont="1"/>
    <xf numFmtId="0" fontId="0" fillId="5" borderId="0" xfId="0" quotePrefix="1" applyFill="1"/>
    <xf numFmtId="0" fontId="8" fillId="5" borderId="0" xfId="0" applyFont="1" applyFill="1"/>
    <xf numFmtId="0" fontId="2" fillId="6" borderId="0" xfId="0" quotePrefix="1" applyFont="1" applyFill="1" applyAlignment="1">
      <alignment horizontal="center"/>
    </xf>
    <xf numFmtId="0" fontId="2" fillId="7" borderId="0" xfId="0" quotePrefix="1" applyFont="1" applyFill="1" applyAlignment="1">
      <alignment horizontal="center"/>
    </xf>
    <xf numFmtId="8" fontId="2" fillId="8" borderId="0" xfId="1" applyNumberFormat="1" applyFont="1" applyFill="1" applyAlignment="1">
      <alignment horizontal="right"/>
    </xf>
    <xf numFmtId="1" fontId="5" fillId="0" borderId="0" xfId="0" applyNumberFormat="1" applyFont="1"/>
    <xf numFmtId="0" fontId="2" fillId="8" borderId="0" xfId="1" applyFont="1" applyFill="1" applyAlignment="1">
      <alignment horizontal="center"/>
    </xf>
    <xf numFmtId="0" fontId="2" fillId="6" borderId="0" xfId="0" quotePrefix="1" applyFont="1" applyFill="1" applyAlignment="1">
      <alignment horizontal="center"/>
    </xf>
    <xf numFmtId="0" fontId="2" fillId="7" borderId="0" xfId="0" quotePrefix="1" applyFont="1" applyFill="1" applyAlignment="1">
      <alignment horizontal="center"/>
    </xf>
    <xf numFmtId="0" fontId="2" fillId="4" borderId="0" xfId="0" applyFont="1" applyFill="1" applyAlignment="1">
      <alignment horizontal="center"/>
    </xf>
  </cellXfs>
  <cellStyles count="3">
    <cellStyle name="20% - Accent3" xfId="1" builtinId="38"/>
    <cellStyle name="Hyperlink" xfId="2" builtinId="8"/>
    <cellStyle name="Normal" xfId="0" builtinId="0"/>
  </cellStyles>
  <dxfs count="0"/>
  <tableStyles count="0" defaultTableStyle="TableStyleMedium2" defaultPivotStyle="PivotStyleLight16"/>
  <colors>
    <mruColors>
      <color rgb="FFCCCCFF"/>
      <color rgb="FF006600"/>
      <color rgb="FFCC99FF"/>
      <color rgb="FFCC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aws.amazon.com/cloudwatch/pricing/" TargetMode="External"/><Relationship Id="rId3" Type="http://schemas.openxmlformats.org/officeDocument/2006/relationships/hyperlink" Target="https://aws.amazon.com/sqs/pricing/" TargetMode="External"/><Relationship Id="rId7" Type="http://schemas.openxmlformats.org/officeDocument/2006/relationships/hyperlink" Target="https://aws.amazon.com/systems-manager/pricing/" TargetMode="External"/><Relationship Id="rId2" Type="http://schemas.openxmlformats.org/officeDocument/2006/relationships/hyperlink" Target="https://aws.amazon.com/eventbridge/pricing/" TargetMode="External"/><Relationship Id="rId1" Type="http://schemas.openxmlformats.org/officeDocument/2006/relationships/hyperlink" Target="https://calculator.aws/" TargetMode="External"/><Relationship Id="rId6" Type="http://schemas.openxmlformats.org/officeDocument/2006/relationships/hyperlink" Target="https://aws.amazon.com/sns/pricing/" TargetMode="External"/><Relationship Id="rId5" Type="http://schemas.openxmlformats.org/officeDocument/2006/relationships/hyperlink" Target="https://gitlab.aws.dev/ryamelvi/ec2-instance-watchdog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aws.amazon.com/lambda/pricing/" TargetMode="External"/><Relationship Id="rId9" Type="http://schemas.openxmlformats.org/officeDocument/2006/relationships/hyperlink" Target="https://aws.amazon.com/cloudwatch/pricin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13C5D-E03C-43D8-8EDE-7366854BF5A4}">
  <sheetPr>
    <pageSetUpPr fitToPage="1"/>
  </sheetPr>
  <dimension ref="A1:O87"/>
  <sheetViews>
    <sheetView tabSelected="1" workbookViewId="0"/>
  </sheetViews>
  <sheetFormatPr defaultRowHeight="15" x14ac:dyDescent="0.25"/>
  <cols>
    <col min="1" max="1" width="4.5703125" customWidth="1"/>
    <col min="7" max="7" width="3.7109375" customWidth="1"/>
    <col min="8" max="8" width="11.7109375" customWidth="1"/>
    <col min="9" max="9" width="9.140625" style="10" customWidth="1"/>
    <col min="10" max="10" width="11.7109375" customWidth="1"/>
    <col min="12" max="12" width="12.7109375" customWidth="1"/>
    <col min="13" max="13" width="10.85546875" bestFit="1" customWidth="1"/>
    <col min="14" max="14" width="4.7109375" customWidth="1"/>
    <col min="15" max="15" width="65.7109375" style="15" bestFit="1" customWidth="1"/>
  </cols>
  <sheetData>
    <row r="1" spans="1:13" ht="18.75" x14ac:dyDescent="0.3">
      <c r="A1" s="2" t="s">
        <v>83</v>
      </c>
    </row>
    <row r="3" spans="1:13" x14ac:dyDescent="0.25">
      <c r="B3" s="39" t="s">
        <v>26</v>
      </c>
      <c r="C3" s="39"/>
      <c r="D3" s="39"/>
      <c r="E3" s="39"/>
      <c r="F3" s="39"/>
      <c r="G3" s="39"/>
      <c r="H3" s="39"/>
      <c r="I3" s="39"/>
      <c r="J3" s="39"/>
      <c r="K3" s="39"/>
      <c r="L3" s="39"/>
      <c r="M3" s="20"/>
    </row>
    <row r="5" spans="1:13" x14ac:dyDescent="0.25">
      <c r="B5" t="s">
        <v>36</v>
      </c>
    </row>
    <row r="7" spans="1:13" x14ac:dyDescent="0.25">
      <c r="C7" s="3" t="s">
        <v>83</v>
      </c>
    </row>
    <row r="9" spans="1:13" x14ac:dyDescent="0.25">
      <c r="B9" t="s">
        <v>0</v>
      </c>
    </row>
    <row r="10" spans="1:13" x14ac:dyDescent="0.25">
      <c r="B10" t="s">
        <v>3</v>
      </c>
    </row>
    <row r="11" spans="1:13" x14ac:dyDescent="0.25">
      <c r="B11" t="s">
        <v>1</v>
      </c>
    </row>
    <row r="13" spans="1:13" x14ac:dyDescent="0.25">
      <c r="C13" s="3" t="s">
        <v>2</v>
      </c>
    </row>
    <row r="14" spans="1:13" x14ac:dyDescent="0.25">
      <c r="C14" s="3"/>
    </row>
    <row r="15" spans="1:13" x14ac:dyDescent="0.25">
      <c r="B15" s="1" t="s">
        <v>5</v>
      </c>
      <c r="C15" s="3"/>
      <c r="F15" s="1" t="s">
        <v>18</v>
      </c>
      <c r="J15" s="1" t="s">
        <v>23</v>
      </c>
    </row>
    <row r="16" spans="1:13" x14ac:dyDescent="0.25">
      <c r="B16" s="5" t="s">
        <v>15</v>
      </c>
      <c r="C16" s="4"/>
      <c r="F16" s="5" t="s">
        <v>21</v>
      </c>
      <c r="J16" s="5" t="s">
        <v>24</v>
      </c>
    </row>
    <row r="17" spans="2:13" x14ac:dyDescent="0.25">
      <c r="B17" s="5" t="s">
        <v>9</v>
      </c>
      <c r="C17" s="4"/>
      <c r="F17" s="5" t="s">
        <v>19</v>
      </c>
      <c r="J17" s="5" t="s">
        <v>25</v>
      </c>
    </row>
    <row r="18" spans="2:13" x14ac:dyDescent="0.25">
      <c r="B18" s="5" t="s">
        <v>16</v>
      </c>
      <c r="C18" s="4"/>
      <c r="F18" s="5" t="s">
        <v>20</v>
      </c>
    </row>
    <row r="19" spans="2:13" x14ac:dyDescent="0.25">
      <c r="B19" s="5" t="s">
        <v>17</v>
      </c>
      <c r="C19" s="4"/>
      <c r="F19" s="5" t="s">
        <v>22</v>
      </c>
    </row>
    <row r="20" spans="2:13" x14ac:dyDescent="0.25">
      <c r="B20" s="5"/>
      <c r="C20" s="4"/>
      <c r="F20" s="5"/>
    </row>
    <row r="21" spans="2:13" x14ac:dyDescent="0.25">
      <c r="B21" s="37" t="s">
        <v>75</v>
      </c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2"/>
    </row>
    <row r="22" spans="2:13" x14ac:dyDescent="0.25">
      <c r="B22" s="5"/>
      <c r="C22" s="13"/>
      <c r="D22" s="15"/>
      <c r="E22" s="15"/>
      <c r="F22" s="16"/>
      <c r="G22" s="15"/>
      <c r="H22" s="15"/>
      <c r="I22" s="17"/>
      <c r="J22" s="15"/>
      <c r="K22" s="15"/>
      <c r="L22" s="15"/>
      <c r="M22" s="15"/>
    </row>
    <row r="23" spans="2:13" x14ac:dyDescent="0.25">
      <c r="B23" s="30">
        <v>1000</v>
      </c>
      <c r="C23" s="13" t="s">
        <v>33</v>
      </c>
      <c r="D23" s="15"/>
      <c r="E23" s="15"/>
      <c r="F23" s="16"/>
      <c r="I23" s="31">
        <v>1000</v>
      </c>
      <c r="J23" s="15" t="s">
        <v>85</v>
      </c>
      <c r="K23" s="15"/>
      <c r="L23" s="15"/>
      <c r="M23" s="15"/>
    </row>
    <row r="24" spans="2:13" x14ac:dyDescent="0.25">
      <c r="B24" s="30">
        <v>1000</v>
      </c>
      <c r="C24" s="13" t="s">
        <v>84</v>
      </c>
      <c r="D24" s="15"/>
      <c r="E24" s="15"/>
      <c r="F24" s="16"/>
      <c r="I24" s="31">
        <v>5000</v>
      </c>
      <c r="J24" s="15" t="s">
        <v>34</v>
      </c>
      <c r="K24" s="15"/>
      <c r="L24" s="15"/>
      <c r="M24" s="15"/>
    </row>
    <row r="25" spans="2:13" x14ac:dyDescent="0.25">
      <c r="B25" s="30">
        <v>3000</v>
      </c>
      <c r="C25" s="13" t="s">
        <v>41</v>
      </c>
      <c r="D25" s="15"/>
      <c r="E25" s="15"/>
      <c r="F25" s="16"/>
      <c r="I25" s="31">
        <f>10*1024</f>
        <v>10240</v>
      </c>
      <c r="J25" s="15" t="s">
        <v>32</v>
      </c>
      <c r="K25" s="15"/>
      <c r="L25" s="15"/>
      <c r="M25" s="15"/>
    </row>
    <row r="26" spans="2:13" x14ac:dyDescent="0.25">
      <c r="B26" s="30">
        <f>24*365/12</f>
        <v>730</v>
      </c>
      <c r="C26" s="13" t="s">
        <v>76</v>
      </c>
      <c r="D26" s="15"/>
      <c r="E26" s="15"/>
      <c r="F26" s="16"/>
      <c r="K26" s="15"/>
      <c r="L26" s="15"/>
      <c r="M26" s="15"/>
    </row>
    <row r="27" spans="2:13" x14ac:dyDescent="0.25">
      <c r="C27" s="15"/>
      <c r="D27" s="15"/>
      <c r="E27" s="15"/>
      <c r="F27" s="15"/>
      <c r="G27" s="15"/>
      <c r="H27" s="15"/>
      <c r="I27" s="17"/>
      <c r="J27" s="15"/>
      <c r="K27" s="15"/>
      <c r="L27" s="15"/>
      <c r="M27" s="15"/>
    </row>
    <row r="28" spans="2:13" x14ac:dyDescent="0.25">
      <c r="B28" s="38" t="s">
        <v>27</v>
      </c>
      <c r="C28" s="38"/>
      <c r="D28" s="38"/>
      <c r="E28" s="38"/>
      <c r="F28" s="38"/>
      <c r="G28" s="38"/>
      <c r="H28" s="38"/>
      <c r="I28" s="38"/>
      <c r="J28" s="38"/>
      <c r="K28" s="38"/>
      <c r="L28" s="38"/>
      <c r="M28" s="33"/>
    </row>
    <row r="29" spans="2:13" x14ac:dyDescent="0.25">
      <c r="B29" s="5"/>
      <c r="C29" s="13"/>
      <c r="D29" s="15"/>
      <c r="E29" s="15"/>
      <c r="F29" s="16"/>
      <c r="G29" s="15"/>
      <c r="H29" s="15"/>
      <c r="K29" s="15"/>
      <c r="L29" s="15"/>
      <c r="M29" s="15"/>
    </row>
    <row r="30" spans="2:13" x14ac:dyDescent="0.25">
      <c r="B30" s="14">
        <v>354</v>
      </c>
      <c r="C30" s="13" t="s">
        <v>28</v>
      </c>
      <c r="D30" s="15"/>
      <c r="E30" s="15"/>
      <c r="F30" s="16"/>
      <c r="I30" s="19">
        <v>1024</v>
      </c>
      <c r="J30" s="15" t="s">
        <v>86</v>
      </c>
      <c r="K30" s="16"/>
      <c r="L30" s="15"/>
      <c r="M30" s="15"/>
    </row>
    <row r="31" spans="2:13" x14ac:dyDescent="0.25">
      <c r="B31" s="14">
        <v>515</v>
      </c>
      <c r="C31" s="13" t="s">
        <v>29</v>
      </c>
      <c r="D31" s="15"/>
      <c r="E31" s="15"/>
      <c r="F31" s="16"/>
      <c r="I31" s="19">
        <f>B23+B24+B26+B25</f>
        <v>5730</v>
      </c>
      <c r="J31" s="15" t="s">
        <v>50</v>
      </c>
      <c r="K31" s="15"/>
      <c r="L31" s="15"/>
      <c r="M31" s="15"/>
    </row>
    <row r="32" spans="2:13" x14ac:dyDescent="0.25">
      <c r="B32" s="14">
        <v>342</v>
      </c>
      <c r="C32" s="13" t="s">
        <v>30</v>
      </c>
      <c r="D32" s="15"/>
      <c r="E32" s="15"/>
      <c r="F32" s="16"/>
      <c r="I32" s="19">
        <f>I31</f>
        <v>5730</v>
      </c>
      <c r="J32" s="15" t="s">
        <v>70</v>
      </c>
      <c r="K32" s="15"/>
      <c r="L32" s="15"/>
      <c r="M32" s="15"/>
    </row>
    <row r="33" spans="2:15" x14ac:dyDescent="0.25">
      <c r="B33" s="14">
        <v>342</v>
      </c>
      <c r="C33" s="13" t="s">
        <v>31</v>
      </c>
      <c r="D33" s="15"/>
      <c r="E33" s="15"/>
      <c r="F33" s="16"/>
      <c r="G33" s="15"/>
      <c r="H33" s="15"/>
      <c r="I33" s="25">
        <v>3</v>
      </c>
      <c r="J33" s="15" t="s">
        <v>72</v>
      </c>
      <c r="K33" s="15"/>
      <c r="L33" s="15"/>
      <c r="M33" s="15"/>
    </row>
    <row r="34" spans="2:15" x14ac:dyDescent="0.25">
      <c r="B34" s="5"/>
      <c r="C34" s="13"/>
      <c r="D34" s="15"/>
      <c r="E34" s="15"/>
      <c r="F34" s="16"/>
      <c r="G34" s="15"/>
      <c r="H34" s="15"/>
      <c r="I34" s="17"/>
      <c r="J34" s="15"/>
      <c r="K34" s="15"/>
      <c r="L34" s="15"/>
      <c r="M34" s="15"/>
    </row>
    <row r="35" spans="2:15" x14ac:dyDescent="0.25">
      <c r="B35" s="36" t="s">
        <v>77</v>
      </c>
      <c r="C35" s="36"/>
      <c r="D35" s="36"/>
      <c r="E35" s="36"/>
      <c r="F35" s="36"/>
      <c r="G35" s="36"/>
      <c r="H35" s="36"/>
      <c r="I35" s="36"/>
      <c r="J35" s="36"/>
      <c r="K35" s="36"/>
      <c r="L35" s="36"/>
      <c r="M35" s="34">
        <f>SUM(M37,M47,M54,M62,M68,M73)</f>
        <v>0.14766663093930482</v>
      </c>
      <c r="O35" s="18" t="s">
        <v>12</v>
      </c>
    </row>
    <row r="36" spans="2:15" x14ac:dyDescent="0.25">
      <c r="M36" s="28"/>
    </row>
    <row r="37" spans="2:15" x14ac:dyDescent="0.25">
      <c r="B37" s="1" t="s">
        <v>35</v>
      </c>
      <c r="F37" s="3" t="s">
        <v>4</v>
      </c>
      <c r="M37" s="29">
        <f>SUM(M40:M46)</f>
        <v>4.7299999999999998E-3</v>
      </c>
    </row>
    <row r="38" spans="2:15" x14ac:dyDescent="0.25">
      <c r="M38" s="28"/>
    </row>
    <row r="39" spans="2:15" x14ac:dyDescent="0.25">
      <c r="H39" s="9" t="s">
        <v>6</v>
      </c>
      <c r="I39" s="11" t="s">
        <v>10</v>
      </c>
      <c r="J39" s="9" t="s">
        <v>7</v>
      </c>
      <c r="K39" s="9" t="s">
        <v>8</v>
      </c>
      <c r="M39" s="28"/>
    </row>
    <row r="40" spans="2:15" x14ac:dyDescent="0.25">
      <c r="B40" s="6"/>
      <c r="C40" s="6" t="s">
        <v>37</v>
      </c>
      <c r="D40" s="6"/>
      <c r="E40" s="6"/>
      <c r="F40" s="6"/>
      <c r="G40" s="6"/>
      <c r="H40" s="6">
        <f>B23</f>
        <v>1000</v>
      </c>
      <c r="I40" s="12">
        <v>1</v>
      </c>
      <c r="J40" s="7">
        <v>0</v>
      </c>
      <c r="K40" s="6">
        <v>1</v>
      </c>
      <c r="L40" s="6"/>
      <c r="M40" s="8">
        <f t="shared" ref="M40:M45" si="0">H40*J40*K40</f>
        <v>0</v>
      </c>
      <c r="O40" s="15" t="s">
        <v>38</v>
      </c>
    </row>
    <row r="41" spans="2:15" x14ac:dyDescent="0.25">
      <c r="B41" s="6"/>
      <c r="C41" s="6" t="s">
        <v>39</v>
      </c>
      <c r="D41" s="6"/>
      <c r="E41" s="6"/>
      <c r="F41" s="6"/>
      <c r="G41" s="6"/>
      <c r="H41" s="6">
        <f>B24</f>
        <v>1000</v>
      </c>
      <c r="I41" s="12">
        <v>1</v>
      </c>
      <c r="J41" s="7">
        <v>0</v>
      </c>
      <c r="K41" s="6">
        <v>1</v>
      </c>
      <c r="L41" s="6"/>
      <c r="M41" s="8">
        <f t="shared" si="0"/>
        <v>0</v>
      </c>
      <c r="O41" s="15" t="s">
        <v>38</v>
      </c>
    </row>
    <row r="42" spans="2:15" x14ac:dyDescent="0.25">
      <c r="B42" s="6"/>
      <c r="C42" s="6" t="s">
        <v>40</v>
      </c>
      <c r="D42" s="6"/>
      <c r="E42" s="6"/>
      <c r="F42" s="6"/>
      <c r="G42" s="6"/>
      <c r="H42" s="23">
        <f>B25/1000/1000</f>
        <v>3.0000000000000001E-3</v>
      </c>
      <c r="I42" s="12" t="s">
        <v>49</v>
      </c>
      <c r="J42" s="8">
        <f>1</f>
        <v>1</v>
      </c>
      <c r="K42" s="6">
        <v>1</v>
      </c>
      <c r="L42" s="6"/>
      <c r="M42" s="8">
        <f t="shared" si="0"/>
        <v>3.0000000000000001E-3</v>
      </c>
    </row>
    <row r="43" spans="2:15" x14ac:dyDescent="0.25">
      <c r="B43" s="6"/>
      <c r="C43" s="6" t="s">
        <v>42</v>
      </c>
      <c r="D43" s="6"/>
      <c r="E43" s="6"/>
      <c r="F43" s="6"/>
      <c r="G43" s="6"/>
      <c r="H43" s="23">
        <f>B26/1000/1000</f>
        <v>7.2999999999999996E-4</v>
      </c>
      <c r="I43" s="12" t="s">
        <v>49</v>
      </c>
      <c r="J43" s="8">
        <f>1</f>
        <v>1</v>
      </c>
      <c r="K43" s="6">
        <v>1</v>
      </c>
      <c r="L43" s="6"/>
      <c r="M43" s="8">
        <f t="shared" si="0"/>
        <v>7.2999999999999996E-4</v>
      </c>
    </row>
    <row r="44" spans="2:15" x14ac:dyDescent="0.25">
      <c r="B44" s="6"/>
      <c r="C44" s="6" t="s">
        <v>87</v>
      </c>
      <c r="D44" s="6"/>
      <c r="E44" s="6"/>
      <c r="F44" s="6"/>
      <c r="G44" s="6"/>
      <c r="H44" s="23">
        <f>I23/1000/1000</f>
        <v>1E-3</v>
      </c>
      <c r="I44" s="12" t="s">
        <v>49</v>
      </c>
      <c r="J44" s="8">
        <v>1</v>
      </c>
      <c r="K44" s="6">
        <v>1</v>
      </c>
      <c r="L44" s="6"/>
      <c r="M44" s="8">
        <f t="shared" si="0"/>
        <v>1E-3</v>
      </c>
      <c r="O44" s="15" t="s">
        <v>63</v>
      </c>
    </row>
    <row r="45" spans="2:15" x14ac:dyDescent="0.25">
      <c r="B45" s="6"/>
      <c r="C45" s="6" t="s">
        <v>88</v>
      </c>
      <c r="D45" s="6"/>
      <c r="E45" s="6"/>
      <c r="F45" s="6"/>
      <c r="G45" s="6"/>
      <c r="H45" s="23">
        <f>H44</f>
        <v>1E-3</v>
      </c>
      <c r="I45" s="12" t="s">
        <v>14</v>
      </c>
      <c r="J45" s="7">
        <v>0</v>
      </c>
      <c r="K45" s="6">
        <v>1</v>
      </c>
      <c r="L45" s="6"/>
      <c r="M45" s="8">
        <f t="shared" si="0"/>
        <v>0</v>
      </c>
      <c r="O45" s="15" t="s">
        <v>68</v>
      </c>
    </row>
    <row r="46" spans="2:15" x14ac:dyDescent="0.25">
      <c r="J46" s="26"/>
      <c r="M46" s="28"/>
    </row>
    <row r="47" spans="2:15" x14ac:dyDescent="0.25">
      <c r="B47" s="1" t="s">
        <v>43</v>
      </c>
      <c r="F47" s="3" t="s">
        <v>4</v>
      </c>
      <c r="J47" s="26"/>
      <c r="M47" s="29">
        <f>SUM(M50:M53)</f>
        <v>1.1639763324558737E-2</v>
      </c>
    </row>
    <row r="48" spans="2:15" x14ac:dyDescent="0.25">
      <c r="J48" s="26"/>
      <c r="M48" s="28"/>
    </row>
    <row r="49" spans="2:15" x14ac:dyDescent="0.25">
      <c r="H49" s="9" t="s">
        <v>6</v>
      </c>
      <c r="I49" s="11" t="s">
        <v>10</v>
      </c>
      <c r="J49" s="27" t="s">
        <v>7</v>
      </c>
      <c r="K49" s="9" t="s">
        <v>8</v>
      </c>
      <c r="M49" s="28"/>
    </row>
    <row r="50" spans="2:15" x14ac:dyDescent="0.25">
      <c r="C50" s="6" t="s">
        <v>44</v>
      </c>
      <c r="D50" s="6"/>
      <c r="E50" s="6"/>
      <c r="F50" s="6"/>
      <c r="G50" s="6"/>
      <c r="H50" s="23">
        <f>4*I31/1000/1000</f>
        <v>2.2920000000000003E-2</v>
      </c>
      <c r="I50" s="12" t="s">
        <v>49</v>
      </c>
      <c r="J50" s="8">
        <v>0.5</v>
      </c>
      <c r="K50" s="6">
        <v>1</v>
      </c>
      <c r="L50" s="6"/>
      <c r="M50" s="8">
        <f>H50*J50*K50</f>
        <v>1.1460000000000001E-2</v>
      </c>
      <c r="O50" s="15" t="s">
        <v>73</v>
      </c>
    </row>
    <row r="51" spans="2:15" x14ac:dyDescent="0.25">
      <c r="C51" s="6" t="s">
        <v>45</v>
      </c>
      <c r="D51" s="6"/>
      <c r="E51" s="6"/>
      <c r="F51" s="6"/>
      <c r="G51" s="6"/>
      <c r="H51" s="6">
        <f>((B23*B30)+(B24*B31)+(B26*B33)+(B25*B32))/1024/1024/1024</f>
        <v>1.9973702728748322E-3</v>
      </c>
      <c r="I51" s="12" t="s">
        <v>11</v>
      </c>
      <c r="J51" s="7">
        <v>0</v>
      </c>
      <c r="K51" s="6">
        <v>1</v>
      </c>
      <c r="L51" s="6"/>
      <c r="M51" s="8">
        <f t="shared" ref="M51:M52" si="1">H51*J51*K51</f>
        <v>0</v>
      </c>
    </row>
    <row r="52" spans="2:15" x14ac:dyDescent="0.25">
      <c r="C52" s="6" t="s">
        <v>46</v>
      </c>
      <c r="D52" s="6"/>
      <c r="E52" s="6"/>
      <c r="F52" s="6"/>
      <c r="G52" s="6"/>
      <c r="H52" s="6">
        <f>H51</f>
        <v>1.9973702728748322E-3</v>
      </c>
      <c r="I52" s="12" t="s">
        <v>11</v>
      </c>
      <c r="J52" s="8">
        <v>0.09</v>
      </c>
      <c r="K52" s="6">
        <v>1</v>
      </c>
      <c r="L52" s="6"/>
      <c r="M52" s="8">
        <f t="shared" si="1"/>
        <v>1.7976332455873489E-4</v>
      </c>
    </row>
    <row r="53" spans="2:15" x14ac:dyDescent="0.25">
      <c r="C53" s="6"/>
      <c r="D53" s="6"/>
      <c r="E53" s="6"/>
      <c r="F53" s="6"/>
      <c r="G53" s="6"/>
      <c r="H53" s="6"/>
      <c r="I53" s="12"/>
      <c r="J53" s="22"/>
      <c r="K53" s="6"/>
      <c r="L53" s="6"/>
      <c r="M53" s="8"/>
    </row>
    <row r="54" spans="2:15" x14ac:dyDescent="0.25">
      <c r="B54" s="1" t="s">
        <v>47</v>
      </c>
      <c r="F54" s="3" t="s">
        <v>4</v>
      </c>
      <c r="J54" s="26"/>
      <c r="M54" s="29">
        <f>SUM(M57:M61)</f>
        <v>9.8555999999999991E-2</v>
      </c>
    </row>
    <row r="55" spans="2:15" x14ac:dyDescent="0.25">
      <c r="J55" s="26"/>
      <c r="M55" s="28"/>
    </row>
    <row r="56" spans="2:15" x14ac:dyDescent="0.25">
      <c r="H56" s="9" t="s">
        <v>6</v>
      </c>
      <c r="I56" s="11" t="s">
        <v>10</v>
      </c>
      <c r="J56" s="27" t="s">
        <v>7</v>
      </c>
      <c r="K56" s="9" t="s">
        <v>8</v>
      </c>
      <c r="M56" s="28"/>
    </row>
    <row r="57" spans="2:15" x14ac:dyDescent="0.25">
      <c r="C57" s="6" t="s">
        <v>48</v>
      </c>
      <c r="D57" s="6"/>
      <c r="E57" s="6"/>
      <c r="F57" s="6"/>
      <c r="G57" s="6"/>
      <c r="H57" s="23">
        <f>I32/1000/1000</f>
        <v>5.7300000000000007E-3</v>
      </c>
      <c r="I57" s="12" t="s">
        <v>49</v>
      </c>
      <c r="J57" s="22">
        <f>0.2</f>
        <v>0.2</v>
      </c>
      <c r="K57" s="6">
        <v>1</v>
      </c>
      <c r="L57" s="6"/>
      <c r="M57" s="8">
        <f>H57*J57*K57</f>
        <v>1.1460000000000001E-3</v>
      </c>
      <c r="O57" s="15" t="s">
        <v>51</v>
      </c>
    </row>
    <row r="58" spans="2:15" x14ac:dyDescent="0.25">
      <c r="C58" s="6" t="s">
        <v>52</v>
      </c>
      <c r="D58" s="6"/>
      <c r="E58" s="6"/>
      <c r="F58" s="6"/>
      <c r="G58" s="6"/>
      <c r="H58" s="23">
        <f>I24/1000/1000*I32</f>
        <v>28.650000000000002</v>
      </c>
      <c r="I58" s="12" t="s">
        <v>54</v>
      </c>
      <c r="J58" s="22">
        <f>0.0000000017*2*1000*1000</f>
        <v>3.3999999999999998E-3</v>
      </c>
      <c r="K58" s="6">
        <v>1</v>
      </c>
      <c r="L58" s="6"/>
      <c r="M58" s="8">
        <f t="shared" ref="M58:M60" si="2">H58*J58*K58</f>
        <v>9.7409999999999997E-2</v>
      </c>
      <c r="O58" s="15" t="s">
        <v>53</v>
      </c>
    </row>
    <row r="59" spans="2:15" x14ac:dyDescent="0.25">
      <c r="C59" s="6" t="s">
        <v>55</v>
      </c>
      <c r="D59" s="6"/>
      <c r="E59" s="6"/>
      <c r="F59" s="6"/>
      <c r="G59" s="6"/>
      <c r="H59" s="6">
        <f>H52</f>
        <v>1.9973702728748322E-3</v>
      </c>
      <c r="I59" s="12" t="s">
        <v>11</v>
      </c>
      <c r="J59" s="7">
        <v>0</v>
      </c>
      <c r="K59" s="6">
        <v>1</v>
      </c>
      <c r="L59" s="6"/>
      <c r="M59" s="8">
        <f t="shared" si="2"/>
        <v>0</v>
      </c>
      <c r="O59" s="15" t="s">
        <v>57</v>
      </c>
    </row>
    <row r="60" spans="2:15" x14ac:dyDescent="0.25">
      <c r="C60" s="6" t="s">
        <v>56</v>
      </c>
      <c r="D60" s="6"/>
      <c r="E60" s="6"/>
      <c r="F60" s="6"/>
      <c r="G60" s="6"/>
      <c r="H60" s="24">
        <f>I23*I30/1024</f>
        <v>1000</v>
      </c>
      <c r="I60" s="12" t="s">
        <v>59</v>
      </c>
      <c r="J60" s="7">
        <v>0</v>
      </c>
      <c r="K60" s="6">
        <v>1</v>
      </c>
      <c r="L60" s="6"/>
      <c r="M60" s="8">
        <f t="shared" si="2"/>
        <v>0</v>
      </c>
      <c r="O60" s="15" t="s">
        <v>58</v>
      </c>
    </row>
    <row r="61" spans="2:15" x14ac:dyDescent="0.25">
      <c r="C61" s="6"/>
      <c r="D61" s="6"/>
      <c r="E61" s="6"/>
      <c r="F61" s="6"/>
      <c r="G61" s="6"/>
      <c r="H61" s="6"/>
      <c r="I61" s="12"/>
      <c r="J61" s="22"/>
      <c r="K61" s="6"/>
      <c r="L61" s="6"/>
      <c r="M61" s="8"/>
    </row>
    <row r="62" spans="2:15" x14ac:dyDescent="0.25">
      <c r="B62" s="1" t="s">
        <v>60</v>
      </c>
      <c r="F62" s="3" t="s">
        <v>4</v>
      </c>
      <c r="J62" s="26"/>
      <c r="M62" s="29">
        <f>SUM(M65:M67)</f>
        <v>5.0000000000000001E-4</v>
      </c>
    </row>
    <row r="63" spans="2:15" x14ac:dyDescent="0.25">
      <c r="J63" s="26"/>
      <c r="M63" s="28"/>
    </row>
    <row r="64" spans="2:15" x14ac:dyDescent="0.25">
      <c r="H64" s="9" t="s">
        <v>6</v>
      </c>
      <c r="I64" s="11" t="s">
        <v>10</v>
      </c>
      <c r="J64" s="27" t="s">
        <v>7</v>
      </c>
      <c r="K64" s="9" t="s">
        <v>8</v>
      </c>
      <c r="M64" s="28"/>
    </row>
    <row r="65" spans="2:15" s="6" customFormat="1" x14ac:dyDescent="0.25">
      <c r="C65" s="6" t="s">
        <v>61</v>
      </c>
      <c r="H65" s="23">
        <f>I23/1000/1000</f>
        <v>1E-3</v>
      </c>
      <c r="I65" s="12" t="s">
        <v>49</v>
      </c>
      <c r="J65" s="8">
        <f>0.5</f>
        <v>0.5</v>
      </c>
      <c r="K65" s="6">
        <v>1</v>
      </c>
      <c r="M65" s="8">
        <f t="shared" ref="M65:M66" si="3">H65*J65*K65</f>
        <v>5.0000000000000001E-4</v>
      </c>
      <c r="O65" s="15" t="s">
        <v>62</v>
      </c>
    </row>
    <row r="66" spans="2:15" s="6" customFormat="1" x14ac:dyDescent="0.25">
      <c r="C66" s="6" t="s">
        <v>74</v>
      </c>
      <c r="H66" s="24">
        <f>H60</f>
        <v>1000</v>
      </c>
      <c r="I66" s="12" t="s">
        <v>59</v>
      </c>
      <c r="J66" s="7">
        <v>0</v>
      </c>
      <c r="K66" s="6">
        <v>1</v>
      </c>
      <c r="M66" s="8">
        <f t="shared" si="3"/>
        <v>0</v>
      </c>
      <c r="O66" s="15"/>
    </row>
    <row r="67" spans="2:15" x14ac:dyDescent="0.25">
      <c r="J67" s="26"/>
      <c r="M67" s="28"/>
    </row>
    <row r="68" spans="2:15" x14ac:dyDescent="0.25">
      <c r="B68" s="1" t="s">
        <v>64</v>
      </c>
      <c r="F68" s="3" t="s">
        <v>4</v>
      </c>
      <c r="J68" s="26"/>
      <c r="M68" s="29">
        <f>SUM(M71:M72)</f>
        <v>0</v>
      </c>
    </row>
    <row r="69" spans="2:15" x14ac:dyDescent="0.25">
      <c r="J69" s="26"/>
      <c r="M69" s="28"/>
    </row>
    <row r="70" spans="2:15" x14ac:dyDescent="0.25">
      <c r="H70" s="9" t="s">
        <v>6</v>
      </c>
      <c r="I70" s="11" t="s">
        <v>10</v>
      </c>
      <c r="J70" s="27" t="s">
        <v>7</v>
      </c>
      <c r="K70" s="9" t="s">
        <v>8</v>
      </c>
      <c r="M70" s="28"/>
    </row>
    <row r="71" spans="2:15" s="6" customFormat="1" x14ac:dyDescent="0.25">
      <c r="C71" s="6" t="s">
        <v>65</v>
      </c>
      <c r="H71" s="6">
        <v>1</v>
      </c>
      <c r="I71" s="12">
        <v>1</v>
      </c>
      <c r="J71" s="7">
        <v>0</v>
      </c>
      <c r="K71" s="6">
        <v>1</v>
      </c>
      <c r="M71" s="8">
        <f t="shared" ref="M71" si="4">H71*J71*K71</f>
        <v>0</v>
      </c>
      <c r="O71" s="15"/>
    </row>
    <row r="72" spans="2:15" s="6" customFormat="1" x14ac:dyDescent="0.25">
      <c r="I72" s="12"/>
      <c r="J72" s="22"/>
      <c r="M72" s="8"/>
      <c r="O72" s="15"/>
    </row>
    <row r="73" spans="2:15" x14ac:dyDescent="0.25">
      <c r="B73" s="1" t="s">
        <v>66</v>
      </c>
      <c r="F73" s="3" t="s">
        <v>4</v>
      </c>
      <c r="J73" s="26"/>
      <c r="M73" s="29">
        <f>SUM(M76:M79)</f>
        <v>3.2240867614746094E-2</v>
      </c>
    </row>
    <row r="74" spans="2:15" x14ac:dyDescent="0.25">
      <c r="J74" s="26"/>
      <c r="M74" s="28"/>
    </row>
    <row r="75" spans="2:15" x14ac:dyDescent="0.25">
      <c r="H75" s="9" t="s">
        <v>6</v>
      </c>
      <c r="I75" s="11" t="s">
        <v>10</v>
      </c>
      <c r="J75" s="27" t="s">
        <v>7</v>
      </c>
      <c r="K75" s="9" t="s">
        <v>8</v>
      </c>
      <c r="M75" s="28"/>
    </row>
    <row r="76" spans="2:15" x14ac:dyDescent="0.25">
      <c r="C76" s="6" t="s">
        <v>45</v>
      </c>
      <c r="D76" s="6"/>
      <c r="E76" s="6"/>
      <c r="F76" s="6"/>
      <c r="G76" s="6"/>
      <c r="H76" s="6">
        <f>I32*I25/1024</f>
        <v>57300</v>
      </c>
      <c r="I76" s="12" t="s">
        <v>59</v>
      </c>
      <c r="J76" s="7">
        <v>0</v>
      </c>
      <c r="K76" s="6">
        <v>1</v>
      </c>
      <c r="L76" s="6"/>
      <c r="M76" s="8">
        <f t="shared" ref="M76" si="5">H76*J76*K76</f>
        <v>0</v>
      </c>
      <c r="N76" s="6"/>
      <c r="O76" s="15" t="s">
        <v>69</v>
      </c>
    </row>
    <row r="77" spans="2:15" x14ac:dyDescent="0.25">
      <c r="C77" s="6" t="s">
        <v>67</v>
      </c>
      <c r="H77" s="23">
        <f>H76/1024/1024</f>
        <v>5.4645538330078125E-2</v>
      </c>
      <c r="I77" s="12" t="s">
        <v>11</v>
      </c>
      <c r="J77" s="8">
        <f>0.5</f>
        <v>0.5</v>
      </c>
      <c r="K77" s="6">
        <v>1</v>
      </c>
      <c r="L77" s="6"/>
      <c r="M77" s="8">
        <f t="shared" ref="M77:M78" si="6">H77*J77*K77</f>
        <v>2.7322769165039063E-2</v>
      </c>
    </row>
    <row r="78" spans="2:15" x14ac:dyDescent="0.25">
      <c r="C78" s="6" t="s">
        <v>13</v>
      </c>
      <c r="H78" s="23">
        <f>H77*I33</f>
        <v>0.16393661499023438</v>
      </c>
      <c r="I78" s="12" t="s">
        <v>11</v>
      </c>
      <c r="J78" s="8">
        <f>0.03</f>
        <v>0.03</v>
      </c>
      <c r="K78" s="6">
        <v>1</v>
      </c>
      <c r="L78" s="6"/>
      <c r="M78" s="8">
        <f t="shared" si="6"/>
        <v>4.9180984497070313E-3</v>
      </c>
      <c r="O78" s="15" t="s">
        <v>71</v>
      </c>
    </row>
    <row r="80" spans="2:15" x14ac:dyDescent="0.25">
      <c r="B80" s="36" t="s">
        <v>78</v>
      </c>
      <c r="C80" s="36"/>
      <c r="D80" s="36"/>
      <c r="E80" s="36"/>
      <c r="F80" s="36"/>
      <c r="G80" s="36"/>
      <c r="H80" s="36"/>
      <c r="I80" s="36"/>
      <c r="J80" s="36"/>
      <c r="K80" s="36"/>
      <c r="L80" s="36"/>
      <c r="M80" s="34">
        <f>M82</f>
        <v>11.70027322769165</v>
      </c>
      <c r="O80" s="18" t="s">
        <v>12</v>
      </c>
    </row>
    <row r="81" spans="2:14" x14ac:dyDescent="0.25">
      <c r="M81" s="28"/>
    </row>
    <row r="82" spans="2:14" x14ac:dyDescent="0.25">
      <c r="B82" s="1" t="s">
        <v>79</v>
      </c>
      <c r="F82" s="3" t="s">
        <v>4</v>
      </c>
      <c r="J82" s="26"/>
      <c r="M82" s="29">
        <f>SUM(M85:M88)</f>
        <v>11.70027322769165</v>
      </c>
    </row>
    <row r="83" spans="2:14" x14ac:dyDescent="0.25">
      <c r="J83" s="26"/>
      <c r="M83" s="28"/>
    </row>
    <row r="84" spans="2:14" x14ac:dyDescent="0.25">
      <c r="H84" s="9" t="s">
        <v>6</v>
      </c>
      <c r="I84" s="11" t="s">
        <v>10</v>
      </c>
      <c r="J84" s="27" t="s">
        <v>7</v>
      </c>
      <c r="K84" s="9" t="s">
        <v>8</v>
      </c>
      <c r="M84" s="28"/>
    </row>
    <row r="85" spans="2:14" x14ac:dyDescent="0.25">
      <c r="C85" s="6" t="s">
        <v>81</v>
      </c>
      <c r="D85" s="6"/>
      <c r="E85" s="6"/>
      <c r="F85" s="6"/>
      <c r="G85" s="6"/>
      <c r="H85" s="6">
        <v>1</v>
      </c>
      <c r="I85" s="12">
        <v>1</v>
      </c>
      <c r="J85" s="7">
        <v>3</v>
      </c>
      <c r="K85" s="6">
        <v>1</v>
      </c>
      <c r="L85" s="6"/>
      <c r="M85" s="8">
        <f t="shared" ref="M85:M87" si="7">H85*J85*K85</f>
        <v>3</v>
      </c>
      <c r="N85" s="6"/>
    </row>
    <row r="86" spans="2:14" x14ac:dyDescent="0.25">
      <c r="C86" s="6" t="s">
        <v>80</v>
      </c>
      <c r="H86" s="35">
        <v>29</v>
      </c>
      <c r="I86" s="12">
        <v>1</v>
      </c>
      <c r="J86" s="8">
        <v>0.3</v>
      </c>
      <c r="K86" s="6">
        <v>1</v>
      </c>
      <c r="L86" s="6"/>
      <c r="M86" s="8">
        <f t="shared" si="7"/>
        <v>8.6999999999999993</v>
      </c>
    </row>
    <row r="87" spans="2:14" x14ac:dyDescent="0.25">
      <c r="C87" s="6" t="s">
        <v>82</v>
      </c>
      <c r="H87" s="23">
        <f>H77</f>
        <v>5.4645538330078125E-2</v>
      </c>
      <c r="I87" s="12" t="s">
        <v>11</v>
      </c>
      <c r="J87" s="21">
        <v>5.0000000000000001E-3</v>
      </c>
      <c r="K87" s="6">
        <v>1</v>
      </c>
      <c r="L87" s="6"/>
      <c r="M87" s="8">
        <f t="shared" si="7"/>
        <v>2.7322769165039063E-4</v>
      </c>
    </row>
  </sheetData>
  <mergeCells count="5">
    <mergeCell ref="B80:L80"/>
    <mergeCell ref="B21:L21"/>
    <mergeCell ref="B28:L28"/>
    <mergeCell ref="B3:L3"/>
    <mergeCell ref="B35:L35"/>
  </mergeCells>
  <hyperlinks>
    <hyperlink ref="C13" r:id="rId1" xr:uid="{4C02F65A-AAC0-4CB6-A878-681CDEA8321D}"/>
    <hyperlink ref="F37" r:id="rId2" xr:uid="{3697308E-3076-4C67-8C3D-E99C899438A6}"/>
    <hyperlink ref="F47" r:id="rId3" xr:uid="{3A311B74-9A92-4717-8637-3F3E0DA5E1E7}"/>
    <hyperlink ref="F54" r:id="rId4" xr:uid="{FA75757F-7913-48D0-A10E-B9651A4E639D}"/>
    <hyperlink ref="C7" r:id="rId5" display="EC2 Instance Watchdog" xr:uid="{2299A522-9AF8-48BC-AEDC-A351890C04DA}"/>
    <hyperlink ref="F62" r:id="rId6" xr:uid="{96EC9F8D-5927-47A2-A4F3-439886265821}"/>
    <hyperlink ref="F68" r:id="rId7" xr:uid="{C5182291-0C1B-4F67-9F05-2D27FC27E1FA}"/>
    <hyperlink ref="F73" r:id="rId8" xr:uid="{D67C9753-4982-4312-8F22-C055C7A5BC89}"/>
    <hyperlink ref="F82" r:id="rId9" xr:uid="{2B302FFE-463E-4052-9503-F5D4A840EBD4}"/>
  </hyperlinks>
  <pageMargins left="0.25" right="0.25" top="0.75" bottom="0.75" header="0.3" footer="0.3"/>
  <pageSetup scale="53" fitToHeight="0" orientation="portrait"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</vt:lpstr>
    </vt:vector>
  </TitlesOfParts>
  <Company>Amazon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Melville</dc:creator>
  <cp:lastModifiedBy>Melville, Ryan</cp:lastModifiedBy>
  <cp:lastPrinted>2024-06-20T20:31:54Z</cp:lastPrinted>
  <dcterms:created xsi:type="dcterms:W3CDTF">2021-11-17T19:45:25Z</dcterms:created>
  <dcterms:modified xsi:type="dcterms:W3CDTF">2024-10-16T20:29:43Z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b19ca94-c290-44a3-80c4-dfd6adf0620b_Enabled">
    <vt:lpwstr>true</vt:lpwstr>
  </property>
  <property fmtid="{D5CDD505-2E9C-101B-9397-08002B2CF9AE}" pid="3" name="MSIP_Label_eb19ca94-c290-44a3-80c4-dfd6adf0620b_SetDate">
    <vt:lpwstr>2024-06-17T21:40:12Z</vt:lpwstr>
  </property>
  <property fmtid="{D5CDD505-2E9C-101B-9397-08002B2CF9AE}" pid="4" name="MSIP_Label_eb19ca94-c290-44a3-80c4-dfd6adf0620b_Method">
    <vt:lpwstr>Privileged</vt:lpwstr>
  </property>
  <property fmtid="{D5CDD505-2E9C-101B-9397-08002B2CF9AE}" pid="5" name="MSIP_Label_eb19ca94-c290-44a3-80c4-dfd6adf0620b_Name">
    <vt:lpwstr>Amazon Public</vt:lpwstr>
  </property>
  <property fmtid="{D5CDD505-2E9C-101B-9397-08002B2CF9AE}" pid="6" name="MSIP_Label_eb19ca94-c290-44a3-80c4-dfd6adf0620b_SiteId">
    <vt:lpwstr>5280104a-472d-4538-9ccf-1e1d0efe8b1b</vt:lpwstr>
  </property>
  <property fmtid="{D5CDD505-2E9C-101B-9397-08002B2CF9AE}" pid="7" name="MSIP_Label_eb19ca94-c290-44a3-80c4-dfd6adf0620b_ActionId">
    <vt:lpwstr>84457ea8-22f7-4686-8e66-dc8aff20ca63</vt:lpwstr>
  </property>
  <property fmtid="{D5CDD505-2E9C-101B-9397-08002B2CF9AE}" pid="8" name="MSIP_Label_eb19ca94-c290-44a3-80c4-dfd6adf0620b_ContentBits">
    <vt:lpwstr>0</vt:lpwstr>
  </property>
</Properties>
</file>